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tables/table9.xml" ContentType="application/vnd.openxmlformats-officedocument.spreadsheetml.table+xml"/>
  <Override PartName="/xl/comments6.xml" ContentType="application/vnd.openxmlformats-officedocument.spreadsheetml.comments+xml"/>
  <Override PartName="/xl/tables/table10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5.xml" ContentType="application/vnd.ms-excel.threadedcomments+xml"/>
  <Override PartName="/xl/tables/table11.xml" ContentType="application/vnd.openxmlformats-officedocument.spreadsheetml.table+xml"/>
  <Override PartName="/xl/comments8.xml" ContentType="application/vnd.openxmlformats-officedocument.spreadsheetml.comments+xml"/>
  <Override PartName="/xl/threadedComments/threadedComment6.xml" ContentType="application/vnd.ms-excel.threaded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Business\OMEGA\Private\BUDGET FACTURATION\1-BUDGET\BN_2023-2024\"/>
    </mc:Choice>
  </mc:AlternateContent>
  <xr:revisionPtr revIDLastSave="0" documentId="13_ncr:1_{05CD7BE8-3522-42CC-8E5D-5C3BAE130801}" xr6:coauthVersionLast="47" xr6:coauthVersionMax="47" xr10:uidLastSave="{00000000-0000-0000-0000-000000000000}"/>
  <bookViews>
    <workbookView xWindow="780" yWindow="780" windowWidth="18960" windowHeight="12795" tabRatio="769" activeTab="7" xr2:uid="{00000000-000D-0000-FFFF-FFFF00000000}"/>
  </bookViews>
  <sheets>
    <sheet name="BUDGET_N-1" sheetId="25" r:id="rId1"/>
    <sheet name="CA" sheetId="31" r:id="rId2"/>
    <sheet name="CA_BN-1" sheetId="14" r:id="rId3"/>
    <sheet name="CA_LE3" sheetId="26" r:id="rId4"/>
    <sheet name="CA_BN+1" sheetId="27" r:id="rId5"/>
    <sheet name="OPEX" sheetId="32" r:id="rId6"/>
    <sheet name="OPX_LE3 (2)" sheetId="34" state="hidden" r:id="rId7"/>
    <sheet name="OPX_BN-1" sheetId="29" r:id="rId8"/>
    <sheet name="OPX_LE3" sheetId="28" r:id="rId9"/>
    <sheet name="OPX_BN+1" sheetId="18" r:id="rId10"/>
    <sheet name="Anaplan Désignation (2)" sheetId="33" state="hidden" r:id="rId11"/>
    <sheet name="Anaplan Désignation" sheetId="24" state="hidden" r:id="rId12"/>
    <sheet name="Pour listes" sheetId="23" state="hidden" r:id="rId13"/>
    <sheet name="Codes articles" sheetId="22" state="hidden" r:id="rId14"/>
    <sheet name="DATA" sheetId="21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4" hidden="1">'CA_BN+1'!$S$1:$V$121</definedName>
    <definedName name="_xlnm._FilterDatabase" localSheetId="2" hidden="1">'CA_BN-1'!$R$1:$U$122</definedName>
    <definedName name="_xlnm._FilterDatabase" localSheetId="3" hidden="1">CA_LE3!$R$1:$U$121</definedName>
    <definedName name="_xlnm._FilterDatabase" localSheetId="9" hidden="1">'OPX_BN+1'!$A$6:$AM$200</definedName>
    <definedName name="_xlnm._FilterDatabase" localSheetId="7" hidden="1">'OPX_BN-1'!$A$6:$AE$10</definedName>
    <definedName name="_xlnm._FilterDatabase" localSheetId="8" hidden="1">OPX_LE3!$A$3:$I$3</definedName>
    <definedName name="_xlnm._FilterDatabase" localSheetId="6" hidden="1">OPX_LE3!$A$6:$AE$10</definedName>
    <definedName name="CARL">#REF!</definedName>
    <definedName name="EMPLOYES_DVAS">INDIRECT("EMPLOYES!$B$2:$B"&amp;(ROWS([1]EMPLOYES!$B:$B)-COUNTBLANK([1]EMPLOYES!$B:$B)))</definedName>
    <definedName name="EMPLOYES_REA">INDIRECT("EMPLOYES!$F$2:$F"&amp;(ROWS([1]EMPLOYES!$F:$F)-COUNTBLANK([1]EMPLOYES!$F:$F)))</definedName>
    <definedName name="KWAOUTASCO">[2]CalculKWMensuel!$I$27</definedName>
    <definedName name="KWAOUTVN">[2]CalculKWMensuel!$I$11</definedName>
    <definedName name="KWAVRILASCO">[2]CalculKWMensuel!$I$23</definedName>
    <definedName name="KWAVRILVN">[2]CalculKWMensuel!$I$7</definedName>
    <definedName name="KWDECASCO">[2]CalculKWMensuel!$I$31</definedName>
    <definedName name="KWDECVN">[2]CalculKWMensuel!$I$15</definedName>
    <definedName name="KWFEVASCO">[2]CalculKWMensuel!$I$21</definedName>
    <definedName name="KWFEVVN">[2]CalculKWMensuel!$I$5</definedName>
    <definedName name="KWJANASCO">[2]CalculKWMensuel!$I$20</definedName>
    <definedName name="KWJANVN">[2]CalculKWMensuel!$I$4</definedName>
    <definedName name="KWJUILASCO">[2]CalculKWMensuel!$I$26</definedName>
    <definedName name="KWJUILLETVN">[2]CalculKWMensuel!$I$10</definedName>
    <definedName name="KWJUINASCO">[2]CalculKWMensuel!$I$25</definedName>
    <definedName name="KWJUINVN">[2]CalculKWMensuel!$I$9</definedName>
    <definedName name="KWMAIASCO">[2]CalculKWMensuel!$I$24</definedName>
    <definedName name="KWMAIVN">[2]CalculKWMensuel!$I$8</definedName>
    <definedName name="KWMARSASCO">[2]CalculKWMensuel!$I$22</definedName>
    <definedName name="KWMARSVN">[2]CalculKWMensuel!$I$6</definedName>
    <definedName name="KWNOVASCO">[2]CalculKWMensuel!$I$30</definedName>
    <definedName name="KWNOVVN">[2]CalculKWMensuel!$I$14</definedName>
    <definedName name="KWOCTASCO">[2]CalculKWMensuel!$I$29</definedName>
    <definedName name="KWOCTVN">[2]CalculKWMensuel!$I$13</definedName>
    <definedName name="KWSEPTASCO">[2]CalculKWMensuel!$I$28</definedName>
    <definedName name="KWSEPTVN">[2]CalculKWMensuel!$I$12</definedName>
    <definedName name="Nom">#REF!</definedName>
    <definedName name="Type_Util_DataRef">[3]Paramètres!$B$4:$B$6</definedName>
  </definedName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" i="26" l="1"/>
  <c r="J32" i="27" l="1"/>
  <c r="B199" i="18"/>
  <c r="C199" i="18"/>
  <c r="D199" i="18"/>
  <c r="E199" i="18"/>
  <c r="AB199" i="18" s="1"/>
  <c r="F199" i="18"/>
  <c r="G199" i="18"/>
  <c r="H199" i="18"/>
  <c r="I199" i="18"/>
  <c r="AJ199" i="18"/>
  <c r="AM168" i="28"/>
  <c r="AM138" i="28"/>
  <c r="AM10" i="28"/>
  <c r="AM128" i="28"/>
  <c r="AM113" i="28"/>
  <c r="AN89" i="28"/>
  <c r="B199" i="28"/>
  <c r="C199" i="28"/>
  <c r="D199" i="28"/>
  <c r="E199" i="28"/>
  <c r="R199" i="28" s="1"/>
  <c r="F199" i="28"/>
  <c r="G199" i="28"/>
  <c r="H199" i="28"/>
  <c r="I199" i="28"/>
  <c r="AB199" i="28"/>
  <c r="AJ199" i="28"/>
  <c r="S112" i="18"/>
  <c r="S114" i="28"/>
  <c r="R199" i="18" l="1"/>
  <c r="AL199" i="18" s="1"/>
  <c r="AL199" i="28"/>
  <c r="AN200" i="28" l="1"/>
  <c r="S99" i="28" l="1"/>
  <c r="Q198" i="28"/>
  <c r="K165" i="18"/>
  <c r="K168" i="28"/>
  <c r="K136" i="18"/>
  <c r="K138" i="28"/>
  <c r="L33" i="26" l="1"/>
  <c r="J31" i="27" l="1"/>
  <c r="J31" i="26"/>
  <c r="J90" i="27"/>
  <c r="J90" i="26"/>
  <c r="S183" i="28"/>
  <c r="K41" i="28"/>
  <c r="L71" i="26"/>
  <c r="U52" i="28"/>
  <c r="J176" i="28"/>
  <c r="X134" i="28"/>
  <c r="V42" i="28"/>
  <c r="U42" i="28"/>
  <c r="Z96" i="28" l="1"/>
  <c r="Z40" i="28"/>
  <c r="N4" i="32" l="1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0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8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143" i="32"/>
  <c r="N144" i="32"/>
  <c r="N145" i="32"/>
  <c r="N146" i="32"/>
  <c r="N147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169" i="32"/>
  <c r="N170" i="32"/>
  <c r="N171" i="32"/>
  <c r="N172" i="32"/>
  <c r="N173" i="32"/>
  <c r="N174" i="32"/>
  <c r="N175" i="32"/>
  <c r="N176" i="32"/>
  <c r="N177" i="32"/>
  <c r="N178" i="32"/>
  <c r="N179" i="32"/>
  <c r="N180" i="32"/>
  <c r="N181" i="32"/>
  <c r="N182" i="32"/>
  <c r="N183" i="32"/>
  <c r="N184" i="32"/>
  <c r="N185" i="32"/>
  <c r="N186" i="32"/>
  <c r="N187" i="32"/>
  <c r="N188" i="32"/>
  <c r="N189" i="32"/>
  <c r="N190" i="32"/>
  <c r="N191" i="32"/>
  <c r="N192" i="32"/>
  <c r="N193" i="32"/>
  <c r="N194" i="32"/>
  <c r="N195" i="32"/>
  <c r="N196" i="32"/>
  <c r="M184" i="32"/>
  <c r="M187" i="32"/>
  <c r="M192" i="32"/>
  <c r="M195" i="32"/>
  <c r="L184" i="32"/>
  <c r="L187" i="32"/>
  <c r="L192" i="32"/>
  <c r="L195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41" i="32"/>
  <c r="K142" i="32"/>
  <c r="K143" i="32"/>
  <c r="K144" i="32"/>
  <c r="K145" i="32"/>
  <c r="K146" i="32"/>
  <c r="K147" i="32"/>
  <c r="K148" i="32"/>
  <c r="K149" i="32"/>
  <c r="K150" i="32"/>
  <c r="K151" i="32"/>
  <c r="K152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4" i="32"/>
  <c r="K195" i="32"/>
  <c r="K196" i="32"/>
  <c r="J184" i="32"/>
  <c r="J187" i="32"/>
  <c r="J192" i="32"/>
  <c r="J195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115" i="32"/>
  <c r="I116" i="32"/>
  <c r="I117" i="32"/>
  <c r="I118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85" i="32"/>
  <c r="I186" i="32"/>
  <c r="I187" i="32"/>
  <c r="I188" i="32"/>
  <c r="I189" i="32"/>
  <c r="I190" i="32"/>
  <c r="I191" i="32"/>
  <c r="I192" i="32"/>
  <c r="I193" i="32"/>
  <c r="I194" i="32"/>
  <c r="I195" i="32"/>
  <c r="I196" i="32"/>
  <c r="B195" i="32"/>
  <c r="C195" i="32"/>
  <c r="D195" i="32"/>
  <c r="E195" i="32"/>
  <c r="F195" i="32"/>
  <c r="G195" i="32"/>
  <c r="H195" i="32"/>
  <c r="P195" i="32"/>
  <c r="R195" i="32"/>
  <c r="U195" i="32"/>
  <c r="W195" i="32"/>
  <c r="AB195" i="32"/>
  <c r="B184" i="32"/>
  <c r="C184" i="32"/>
  <c r="D184" i="32"/>
  <c r="E184" i="32"/>
  <c r="F184" i="32"/>
  <c r="G184" i="32"/>
  <c r="H184" i="32"/>
  <c r="P184" i="32"/>
  <c r="R184" i="32"/>
  <c r="U184" i="32"/>
  <c r="AB184" i="32"/>
  <c r="B185" i="32"/>
  <c r="C185" i="32"/>
  <c r="D185" i="32"/>
  <c r="E185" i="32"/>
  <c r="F185" i="32"/>
  <c r="G185" i="32"/>
  <c r="H185" i="32"/>
  <c r="P185" i="32"/>
  <c r="R185" i="32"/>
  <c r="U185" i="32"/>
  <c r="AB185" i="32"/>
  <c r="B186" i="32"/>
  <c r="C186" i="32"/>
  <c r="D186" i="32"/>
  <c r="E186" i="32"/>
  <c r="F186" i="32"/>
  <c r="G186" i="32"/>
  <c r="H186" i="32"/>
  <c r="P186" i="32"/>
  <c r="R186" i="32"/>
  <c r="U186" i="32"/>
  <c r="AB186" i="32"/>
  <c r="B187" i="32"/>
  <c r="C187" i="32"/>
  <c r="D187" i="32"/>
  <c r="E187" i="32"/>
  <c r="F187" i="32"/>
  <c r="G187" i="32"/>
  <c r="H187" i="32"/>
  <c r="U187" i="32"/>
  <c r="W187" i="32"/>
  <c r="AB187" i="32"/>
  <c r="B188" i="32"/>
  <c r="C188" i="32"/>
  <c r="D188" i="32"/>
  <c r="E188" i="32"/>
  <c r="F188" i="32"/>
  <c r="G188" i="32"/>
  <c r="H188" i="32"/>
  <c r="P188" i="32"/>
  <c r="R188" i="32"/>
  <c r="U188" i="32"/>
  <c r="AB188" i="32"/>
  <c r="B189" i="32"/>
  <c r="C189" i="32"/>
  <c r="D189" i="32"/>
  <c r="E189" i="32"/>
  <c r="F189" i="32"/>
  <c r="G189" i="32"/>
  <c r="H189" i="32"/>
  <c r="P189" i="32"/>
  <c r="R189" i="32"/>
  <c r="U189" i="32"/>
  <c r="AB189" i="32"/>
  <c r="B190" i="32"/>
  <c r="C190" i="32"/>
  <c r="D190" i="32"/>
  <c r="E190" i="32"/>
  <c r="F190" i="32"/>
  <c r="G190" i="32"/>
  <c r="H190" i="32"/>
  <c r="P190" i="32"/>
  <c r="R190" i="32"/>
  <c r="U190" i="32"/>
  <c r="AB190" i="32"/>
  <c r="B191" i="32"/>
  <c r="C191" i="32"/>
  <c r="D191" i="32"/>
  <c r="E191" i="32"/>
  <c r="F191" i="32"/>
  <c r="G191" i="32"/>
  <c r="H191" i="32"/>
  <c r="P191" i="32"/>
  <c r="R191" i="32"/>
  <c r="U191" i="32"/>
  <c r="AB191" i="32"/>
  <c r="B192" i="32"/>
  <c r="C192" i="32"/>
  <c r="D192" i="32"/>
  <c r="E192" i="32"/>
  <c r="F192" i="32"/>
  <c r="G192" i="32"/>
  <c r="H192" i="32"/>
  <c r="P192" i="32"/>
  <c r="R192" i="32"/>
  <c r="U192" i="32"/>
  <c r="AB192" i="32"/>
  <c r="B193" i="32"/>
  <c r="C193" i="32"/>
  <c r="D193" i="32"/>
  <c r="E193" i="32"/>
  <c r="F193" i="32"/>
  <c r="G193" i="32"/>
  <c r="H193" i="32"/>
  <c r="P193" i="32"/>
  <c r="R193" i="32"/>
  <c r="U193" i="32"/>
  <c r="AB193" i="32"/>
  <c r="B194" i="32"/>
  <c r="C194" i="32"/>
  <c r="D194" i="32"/>
  <c r="E194" i="32"/>
  <c r="F194" i="32"/>
  <c r="G194" i="32"/>
  <c r="H194" i="32"/>
  <c r="P194" i="32"/>
  <c r="R194" i="32"/>
  <c r="U194" i="32"/>
  <c r="AB194" i="32"/>
  <c r="B196" i="32"/>
  <c r="C196" i="32"/>
  <c r="D196" i="32"/>
  <c r="E196" i="32"/>
  <c r="F196" i="32"/>
  <c r="G196" i="32"/>
  <c r="H196" i="32"/>
  <c r="P196" i="32"/>
  <c r="R196" i="32"/>
  <c r="U196" i="32"/>
  <c r="AB196" i="32"/>
  <c r="O184" i="32" l="1"/>
  <c r="O195" i="32"/>
  <c r="O187" i="32"/>
  <c r="O192" i="32"/>
  <c r="J27" i="27"/>
  <c r="Q34" i="31"/>
  <c r="P89" i="28"/>
  <c r="V77" i="28"/>
  <c r="J32" i="26"/>
  <c r="J116" i="26"/>
  <c r="E5" i="31"/>
  <c r="E16" i="31"/>
  <c r="E71" i="31"/>
  <c r="E9" i="31"/>
  <c r="E43" i="31"/>
  <c r="E12" i="31"/>
  <c r="E13" i="31"/>
  <c r="E61" i="31"/>
  <c r="E100" i="31"/>
  <c r="E17" i="31"/>
  <c r="E89" i="31"/>
  <c r="E157" i="31"/>
  <c r="E21" i="31"/>
  <c r="E37" i="31"/>
  <c r="E23" i="31"/>
  <c r="E7" i="31"/>
  <c r="E25" i="31"/>
  <c r="E26" i="31"/>
  <c r="E76" i="31"/>
  <c r="E123" i="31"/>
  <c r="E30" i="31"/>
  <c r="E150" i="31"/>
  <c r="E49" i="31"/>
  <c r="E34" i="31"/>
  <c r="E35" i="31"/>
  <c r="E36" i="31"/>
  <c r="E104" i="31"/>
  <c r="E88" i="31"/>
  <c r="E106" i="31"/>
  <c r="E40" i="31"/>
  <c r="E132" i="31"/>
  <c r="E130" i="31"/>
  <c r="E118" i="31"/>
  <c r="E32" i="31"/>
  <c r="E45" i="31"/>
  <c r="E47" i="31"/>
  <c r="E11" i="31"/>
  <c r="E180" i="31"/>
  <c r="E51" i="31"/>
  <c r="E52" i="31"/>
  <c r="E59" i="31"/>
  <c r="E54" i="31"/>
  <c r="E55" i="31"/>
  <c r="E73" i="31"/>
  <c r="E90" i="31"/>
  <c r="E58" i="31"/>
  <c r="E177" i="31"/>
  <c r="E60" i="31"/>
  <c r="E147" i="31"/>
  <c r="E63" i="31"/>
  <c r="E74" i="31"/>
  <c r="E65" i="31"/>
  <c r="E67" i="31"/>
  <c r="E68" i="31"/>
  <c r="E69" i="31"/>
  <c r="E70" i="31"/>
  <c r="E135" i="31"/>
  <c r="E72" i="31"/>
  <c r="E128" i="31"/>
  <c r="E31" i="31"/>
  <c r="E80" i="31"/>
  <c r="E95" i="31"/>
  <c r="E75" i="31"/>
  <c r="E107" i="31"/>
  <c r="E109" i="31"/>
  <c r="E127" i="31"/>
  <c r="E133" i="31"/>
  <c r="E137" i="31"/>
  <c r="E142" i="31"/>
  <c r="E145" i="31"/>
  <c r="E182" i="31"/>
  <c r="E5" i="32"/>
  <c r="E6" i="32"/>
  <c r="E7" i="32"/>
  <c r="E8" i="32"/>
  <c r="E10" i="32"/>
  <c r="E11" i="32"/>
  <c r="E13" i="32"/>
  <c r="E15" i="32"/>
  <c r="E16" i="32"/>
  <c r="E17" i="32"/>
  <c r="E18" i="32"/>
  <c r="E19" i="32"/>
  <c r="E22" i="32"/>
  <c r="E23" i="32"/>
  <c r="E24" i="32"/>
  <c r="E27" i="32"/>
  <c r="E28" i="32"/>
  <c r="E31" i="32"/>
  <c r="E32" i="32"/>
  <c r="E33" i="32"/>
  <c r="E37" i="32"/>
  <c r="E38" i="32"/>
  <c r="E39" i="32"/>
  <c r="E41" i="32"/>
  <c r="E42" i="32"/>
  <c r="E43" i="32"/>
  <c r="E44" i="32"/>
  <c r="E46" i="32"/>
  <c r="E48" i="32"/>
  <c r="E49" i="32"/>
  <c r="E50" i="32"/>
  <c r="E52" i="32"/>
  <c r="E53" i="32"/>
  <c r="E55" i="32"/>
  <c r="E56" i="32"/>
  <c r="E57" i="32"/>
  <c r="E59" i="32"/>
  <c r="E60" i="32"/>
  <c r="E61" i="32"/>
  <c r="E63" i="32"/>
  <c r="E64" i="32"/>
  <c r="E70" i="32"/>
  <c r="E71" i="32"/>
  <c r="E72" i="32"/>
  <c r="E73" i="32"/>
  <c r="E74" i="32"/>
  <c r="E79" i="32"/>
  <c r="E81" i="32"/>
  <c r="E82" i="32"/>
  <c r="E83" i="32"/>
  <c r="E96" i="32"/>
  <c r="E98" i="32"/>
  <c r="E102" i="32"/>
  <c r="E103" i="32"/>
  <c r="E117" i="32"/>
  <c r="E126" i="32"/>
  <c r="E127" i="32"/>
  <c r="E133" i="32"/>
  <c r="E137" i="32"/>
  <c r="E145" i="32"/>
  <c r="E149" i="32"/>
  <c r="E151" i="32"/>
  <c r="E152" i="32"/>
  <c r="E153" i="32"/>
  <c r="E161" i="32"/>
  <c r="E162" i="32"/>
  <c r="E165" i="32"/>
  <c r="E167" i="32"/>
  <c r="E169" i="32"/>
  <c r="E171" i="32"/>
  <c r="E173" i="32"/>
  <c r="AK61" i="28"/>
  <c r="V55" i="28"/>
  <c r="M156" i="31"/>
  <c r="R193" i="29"/>
  <c r="J183" i="32" s="1"/>
  <c r="Z193" i="18"/>
  <c r="H7" i="18"/>
  <c r="AD194" i="18"/>
  <c r="AJ194" i="18" s="1"/>
  <c r="AA185" i="32" s="1"/>
  <c r="AD195" i="18"/>
  <c r="AD196" i="18"/>
  <c r="AD197" i="18"/>
  <c r="AJ197" i="18" s="1"/>
  <c r="AA193" i="32" s="1"/>
  <c r="AD198" i="18"/>
  <c r="AJ198" i="18" s="1"/>
  <c r="AA196" i="32" s="1"/>
  <c r="AJ195" i="18"/>
  <c r="AA186" i="32" s="1"/>
  <c r="AJ196" i="18"/>
  <c r="AA188" i="32" s="1"/>
  <c r="J174" i="18"/>
  <c r="W192" i="32" s="1"/>
  <c r="S174" i="18"/>
  <c r="Y192" i="32" s="1"/>
  <c r="J170" i="26"/>
  <c r="J165" i="26"/>
  <c r="J75" i="26"/>
  <c r="Q138" i="31"/>
  <c r="Q179" i="31"/>
  <c r="J75" i="27"/>
  <c r="AF194" i="28" l="1"/>
  <c r="AG194" i="28"/>
  <c r="Z43" i="28" l="1"/>
  <c r="Y181" i="18"/>
  <c r="W181" i="18"/>
  <c r="W124" i="18"/>
  <c r="P124" i="18"/>
  <c r="AC186" i="18"/>
  <c r="AC128" i="18"/>
  <c r="AC118" i="18"/>
  <c r="AC84" i="18"/>
  <c r="AC50" i="18"/>
  <c r="AC17" i="18"/>
  <c r="AC6" i="18"/>
  <c r="AC6" i="28"/>
  <c r="P186" i="18"/>
  <c r="P128" i="18"/>
  <c r="P118" i="18"/>
  <c r="P84" i="18"/>
  <c r="P50" i="18"/>
  <c r="P17" i="18"/>
  <c r="P6" i="18"/>
  <c r="AC190" i="28"/>
  <c r="AC130" i="28"/>
  <c r="AC120" i="28"/>
  <c r="AC85" i="28"/>
  <c r="AC50" i="28"/>
  <c r="AC17" i="28"/>
  <c r="J66" i="28"/>
  <c r="AC95" i="28"/>
  <c r="T95" i="28"/>
  <c r="M2" i="27"/>
  <c r="M11" i="27"/>
  <c r="M17" i="27"/>
  <c r="M19" i="27"/>
  <c r="M20" i="27"/>
  <c r="M38" i="27"/>
  <c r="M41" i="27"/>
  <c r="M42" i="27"/>
  <c r="M55" i="27"/>
  <c r="M56" i="27"/>
  <c r="M60" i="27"/>
  <c r="M91" i="27"/>
  <c r="M93" i="27"/>
  <c r="M151" i="27"/>
  <c r="M161" i="27"/>
  <c r="M179" i="27"/>
  <c r="M181" i="27"/>
  <c r="AC186" i="28"/>
  <c r="AC187" i="28"/>
  <c r="AE183" i="28"/>
  <c r="AG195" i="28"/>
  <c r="AF195" i="28" s="1"/>
  <c r="AE195" i="28" s="1"/>
  <c r="J122" i="26"/>
  <c r="AD124" i="18"/>
  <c r="AC124" i="18"/>
  <c r="AD126" i="28"/>
  <c r="AC126" i="28"/>
  <c r="Y126" i="28"/>
  <c r="J126" i="28"/>
  <c r="P187" i="32" s="1"/>
  <c r="S126" i="28"/>
  <c r="R187" i="32" s="1"/>
  <c r="S124" i="18"/>
  <c r="Y187" i="32" s="1"/>
  <c r="S181" i="18"/>
  <c r="Y195" i="32" s="1"/>
  <c r="L78" i="26"/>
  <c r="V192" i="18"/>
  <c r="J98" i="27"/>
  <c r="L98" i="26"/>
  <c r="J98" i="26"/>
  <c r="M170" i="26"/>
  <c r="J141" i="26" l="1"/>
  <c r="J105" i="26"/>
  <c r="J71" i="26"/>
  <c r="M122" i="26"/>
  <c r="AJ126" i="28"/>
  <c r="T187" i="32" s="1"/>
  <c r="AJ124" i="18"/>
  <c r="AA187" i="32" s="1"/>
  <c r="M173" i="26"/>
  <c r="AB185" i="28"/>
  <c r="S195" i="32" s="1"/>
  <c r="AJ185" i="28" l="1"/>
  <c r="T195" i="32" s="1"/>
  <c r="M2" i="26" l="1"/>
  <c r="M3" i="26"/>
  <c r="M4" i="26"/>
  <c r="M5" i="26"/>
  <c r="M6" i="26"/>
  <c r="M7" i="26"/>
  <c r="M8" i="26"/>
  <c r="M9" i="26"/>
  <c r="M10" i="26"/>
  <c r="M11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171" i="26"/>
  <c r="M172" i="26"/>
  <c r="M174" i="26"/>
  <c r="M175" i="26"/>
  <c r="M176" i="26"/>
  <c r="M177" i="26"/>
  <c r="M178" i="26"/>
  <c r="M179" i="26"/>
  <c r="M180" i="26"/>
  <c r="M181" i="26"/>
  <c r="M182" i="26"/>
  <c r="M183" i="26"/>
  <c r="M184" i="26"/>
  <c r="M185" i="26"/>
  <c r="M31" i="26" l="1"/>
  <c r="J13" i="26"/>
  <c r="M13" i="26" s="1"/>
  <c r="J12" i="26"/>
  <c r="M12" i="26" s="1"/>
  <c r="V186" i="28"/>
  <c r="W186" i="28"/>
  <c r="T167" i="28"/>
  <c r="W81" i="18"/>
  <c r="W82" i="28"/>
  <c r="Z187" i="28"/>
  <c r="Z186" i="28"/>
  <c r="W170" i="28"/>
  <c r="W191" i="28"/>
  <c r="W187" i="28"/>
  <c r="W143" i="28"/>
  <c r="W141" i="28"/>
  <c r="W37" i="28"/>
  <c r="W33" i="28"/>
  <c r="W167" i="28"/>
  <c r="AA187" i="18"/>
  <c r="AA183" i="18"/>
  <c r="AA182" i="18"/>
  <c r="AA167" i="18"/>
  <c r="AA141" i="18"/>
  <c r="AA139" i="18"/>
  <c r="AA127" i="18"/>
  <c r="AA37" i="18"/>
  <c r="AA33" i="18"/>
  <c r="Z129" i="28"/>
  <c r="Z141" i="28"/>
  <c r="Z191" i="28"/>
  <c r="Z170" i="28"/>
  <c r="Z167" i="28"/>
  <c r="Z143" i="28"/>
  <c r="Z37" i="28"/>
  <c r="Z33" i="28"/>
  <c r="J119" i="18" l="1"/>
  <c r="J178" i="18"/>
  <c r="P145" i="18" l="1"/>
  <c r="P140" i="18"/>
  <c r="P100" i="18"/>
  <c r="S51" i="28"/>
  <c r="N147" i="28"/>
  <c r="J142" i="28"/>
  <c r="Y193" i="18"/>
  <c r="P193" i="18"/>
  <c r="P159" i="18"/>
  <c r="P134" i="18"/>
  <c r="P98" i="18"/>
  <c r="P69" i="18"/>
  <c r="P32" i="18"/>
  <c r="Z99" i="28"/>
  <c r="AJ15" i="18"/>
  <c r="AA184" i="32" s="1"/>
  <c r="I15" i="18"/>
  <c r="H15" i="18"/>
  <c r="G15" i="18"/>
  <c r="F15" i="18"/>
  <c r="E15" i="18"/>
  <c r="D15" i="18"/>
  <c r="C15" i="18"/>
  <c r="B15" i="18"/>
  <c r="AJ15" i="28"/>
  <c r="T184" i="32" s="1"/>
  <c r="AB15" i="28"/>
  <c r="S184" i="32" s="1"/>
  <c r="I15" i="28"/>
  <c r="H15" i="28"/>
  <c r="G15" i="28"/>
  <c r="F15" i="28"/>
  <c r="E15" i="28"/>
  <c r="D15" i="28"/>
  <c r="C15" i="28"/>
  <c r="B15" i="28"/>
  <c r="AJ147" i="18"/>
  <c r="AA189" i="32" s="1"/>
  <c r="AM200" i="18"/>
  <c r="A200" i="18"/>
  <c r="AN200" i="18"/>
  <c r="AA191" i="28"/>
  <c r="AA187" i="28"/>
  <c r="AA186" i="28"/>
  <c r="AA170" i="28"/>
  <c r="AA167" i="28"/>
  <c r="AA143" i="28"/>
  <c r="AA141" i="28"/>
  <c r="AA129" i="28"/>
  <c r="AA37" i="28"/>
  <c r="AA33" i="28"/>
  <c r="V187" i="28"/>
  <c r="S170" i="28"/>
  <c r="Q15" i="18" l="1"/>
  <c r="Z15" i="18"/>
  <c r="Q15" i="28"/>
  <c r="AB15" i="18"/>
  <c r="Z184" i="32" s="1"/>
  <c r="J99" i="18"/>
  <c r="J58" i="18"/>
  <c r="J48" i="18"/>
  <c r="AE82" i="18"/>
  <c r="AH48" i="18"/>
  <c r="AG13" i="18"/>
  <c r="AF13" i="18"/>
  <c r="AE13" i="18"/>
  <c r="Q124" i="28"/>
  <c r="Q161" i="28"/>
  <c r="Q119" i="28"/>
  <c r="AG190" i="18"/>
  <c r="Q102" i="28"/>
  <c r="Q54" i="28"/>
  <c r="Q24" i="28"/>
  <c r="J39" i="18"/>
  <c r="J38" i="18"/>
  <c r="J100" i="28"/>
  <c r="T126" i="18"/>
  <c r="AE168" i="28"/>
  <c r="J59" i="28"/>
  <c r="J61" i="18"/>
  <c r="R15" i="18" l="1"/>
  <c r="X184" i="32" s="1"/>
  <c r="R15" i="28"/>
  <c r="N111" i="18"/>
  <c r="N161" i="18"/>
  <c r="N160" i="18"/>
  <c r="Y57" i="18"/>
  <c r="T190" i="18"/>
  <c r="T81" i="18"/>
  <c r="P184" i="31"/>
  <c r="U184" i="31" s="1"/>
  <c r="R184" i="31"/>
  <c r="Q184" i="31"/>
  <c r="O184" i="31"/>
  <c r="N184" i="31"/>
  <c r="M184" i="31"/>
  <c r="L184" i="31"/>
  <c r="K184" i="31"/>
  <c r="AD174" i="18"/>
  <c r="AJ174" i="18" s="1"/>
  <c r="AA192" i="32" s="1"/>
  <c r="T194" i="28"/>
  <c r="T82" i="28"/>
  <c r="AB177" i="28"/>
  <c r="S192" i="32" s="1"/>
  <c r="C53" i="18"/>
  <c r="W179" i="18"/>
  <c r="S84" i="28"/>
  <c r="Y13" i="18"/>
  <c r="Y82" i="18"/>
  <c r="Y13" i="28"/>
  <c r="AC83" i="18"/>
  <c r="AC82" i="18"/>
  <c r="S13" i="28"/>
  <c r="W13" i="18"/>
  <c r="P13" i="18"/>
  <c r="AJ155" i="18"/>
  <c r="AA190" i="32" s="1"/>
  <c r="AE179" i="18"/>
  <c r="AD179" i="18"/>
  <c r="P161" i="18"/>
  <c r="P160" i="18"/>
  <c r="P111" i="18"/>
  <c r="P10" i="18"/>
  <c r="M27" i="31"/>
  <c r="AC111" i="18"/>
  <c r="AC10" i="18"/>
  <c r="T10" i="18"/>
  <c r="AC152" i="28"/>
  <c r="AK83" i="28"/>
  <c r="T163" i="28"/>
  <c r="T164" i="28"/>
  <c r="S10" i="28"/>
  <c r="V82" i="18"/>
  <c r="W13" i="28"/>
  <c r="W23" i="28"/>
  <c r="W152" i="28"/>
  <c r="V84" i="28"/>
  <c r="V83" i="18"/>
  <c r="P149" i="18"/>
  <c r="P23" i="18"/>
  <c r="V23" i="28"/>
  <c r="S83" i="28"/>
  <c r="S152" i="28"/>
  <c r="L72" i="26"/>
  <c r="S23" i="28"/>
  <c r="Y83" i="28"/>
  <c r="AL15" i="28" l="1"/>
  <c r="Q184" i="32"/>
  <c r="V184" i="32" s="1"/>
  <c r="AE184" i="32" s="1"/>
  <c r="T184" i="31"/>
  <c r="AJ177" i="28"/>
  <c r="T192" i="32" s="1"/>
  <c r="AJ179" i="18"/>
  <c r="AA194" i="32" s="1"/>
  <c r="T161" i="18"/>
  <c r="T160" i="18"/>
  <c r="AJ181" i="18"/>
  <c r="AA195" i="32" s="1"/>
  <c r="N41" i="18"/>
  <c r="AD173" i="18"/>
  <c r="AJ173" i="18" s="1"/>
  <c r="AA191" i="32" s="1"/>
  <c r="AI94" i="28"/>
  <c r="AI93" i="28"/>
  <c r="Z189" i="28"/>
  <c r="Z166" i="28"/>
  <c r="Z146" i="28"/>
  <c r="Z123" i="28"/>
  <c r="Z122" i="28"/>
  <c r="Z113" i="28"/>
  <c r="Z103" i="28"/>
  <c r="Z88" i="28"/>
  <c r="AC96" i="28"/>
  <c r="S52" i="28"/>
  <c r="W34" i="18"/>
  <c r="Y101" i="28"/>
  <c r="V181" i="28"/>
  <c r="AE83" i="28"/>
  <c r="V137" i="28"/>
  <c r="V60" i="28"/>
  <c r="AJ70" i="28"/>
  <c r="AJ56" i="18"/>
  <c r="Z89" i="28"/>
  <c r="V104" i="28"/>
  <c r="AK25" i="28"/>
  <c r="AI25" i="28"/>
  <c r="AB71" i="28"/>
  <c r="AJ71" i="28"/>
  <c r="AK145" i="28"/>
  <c r="AK137" i="28"/>
  <c r="Z196" i="28"/>
  <c r="Z197" i="28"/>
  <c r="Z147" i="28"/>
  <c r="Z135" i="28"/>
  <c r="Z127" i="28"/>
  <c r="Z50" i="28"/>
  <c r="Z30" i="28"/>
  <c r="Z21" i="28"/>
  <c r="Z12" i="28"/>
  <c r="Z17" i="28"/>
  <c r="Z172" i="28"/>
  <c r="Z132" i="28"/>
  <c r="Z101" i="28"/>
  <c r="Z100" i="28"/>
  <c r="Z97" i="28"/>
  <c r="Z81" i="28"/>
  <c r="Z70" i="28"/>
  <c r="Z63" i="28"/>
  <c r="Z47" i="28"/>
  <c r="AB36" i="28"/>
  <c r="Z162" i="28"/>
  <c r="AD184" i="32" l="1"/>
  <c r="T51" i="18"/>
  <c r="L141" i="26"/>
  <c r="W101" i="28"/>
  <c r="AH57" i="18"/>
  <c r="Y133" i="28"/>
  <c r="Z145" i="28"/>
  <c r="Z108" i="28"/>
  <c r="Z77" i="28"/>
  <c r="AA162" i="28" l="1"/>
  <c r="AB193" i="18"/>
  <c r="Z198" i="28"/>
  <c r="P83" i="18"/>
  <c r="W112" i="18"/>
  <c r="W79" i="18"/>
  <c r="W67" i="18"/>
  <c r="W56" i="18"/>
  <c r="AD9" i="18"/>
  <c r="AD10" i="18"/>
  <c r="AD20" i="18"/>
  <c r="AD25" i="18"/>
  <c r="AD32" i="18"/>
  <c r="AD34" i="18"/>
  <c r="AD36" i="18"/>
  <c r="AD40" i="18"/>
  <c r="AD41" i="18"/>
  <c r="AD42" i="18"/>
  <c r="AD44" i="18"/>
  <c r="AD45" i="18"/>
  <c r="AD49" i="18"/>
  <c r="AD52" i="18"/>
  <c r="AD57" i="18"/>
  <c r="AD60" i="18"/>
  <c r="AD64" i="18"/>
  <c r="AD65" i="18"/>
  <c r="AD69" i="18"/>
  <c r="AD77" i="18"/>
  <c r="AD81" i="18"/>
  <c r="AD83" i="18"/>
  <c r="AD92" i="18"/>
  <c r="AD93" i="18"/>
  <c r="AD94" i="18"/>
  <c r="AD95" i="18"/>
  <c r="AD98" i="18"/>
  <c r="AD103" i="18"/>
  <c r="AD109" i="18"/>
  <c r="AD111" i="18"/>
  <c r="AD126" i="18"/>
  <c r="AD127" i="18"/>
  <c r="AD130" i="18"/>
  <c r="AD132" i="18"/>
  <c r="AD134" i="18"/>
  <c r="AD136" i="18"/>
  <c r="AD137" i="18"/>
  <c r="AD146" i="18"/>
  <c r="AD154" i="18"/>
  <c r="AD159" i="18"/>
  <c r="AD160" i="18"/>
  <c r="AD161" i="18"/>
  <c r="AD165" i="18"/>
  <c r="AD180" i="18"/>
  <c r="AD185" i="18"/>
  <c r="AD188" i="18"/>
  <c r="AD190" i="18"/>
  <c r="AD193" i="18"/>
  <c r="AA159" i="18"/>
  <c r="AD84" i="28"/>
  <c r="AC84" i="28"/>
  <c r="AC83" i="28"/>
  <c r="P82" i="18"/>
  <c r="W183" i="28"/>
  <c r="W114" i="28"/>
  <c r="W80" i="28"/>
  <c r="W68" i="28"/>
  <c r="W56" i="28"/>
  <c r="AD20" i="28"/>
  <c r="AD36" i="28"/>
  <c r="AD49" i="28"/>
  <c r="AD66" i="28"/>
  <c r="AD95" i="28"/>
  <c r="AD111" i="28"/>
  <c r="AD129" i="28"/>
  <c r="AD132" i="28"/>
  <c r="AD138" i="28"/>
  <c r="AD149" i="28"/>
  <c r="AD163" i="28"/>
  <c r="AD164" i="28"/>
  <c r="AD168" i="28"/>
  <c r="AD189" i="28"/>
  <c r="W51" i="28"/>
  <c r="AD200" i="18" l="1"/>
  <c r="AH198" i="28"/>
  <c r="AG40" i="28"/>
  <c r="AJ20" i="28"/>
  <c r="T133" i="28"/>
  <c r="W194" i="28"/>
  <c r="J128" i="28" l="1"/>
  <c r="AI81" i="18" l="1"/>
  <c r="AI82" i="28"/>
  <c r="V82" i="28" l="1"/>
  <c r="L123" i="26" l="1"/>
  <c r="L102" i="26"/>
  <c r="L76" i="26"/>
  <c r="AA57" i="18"/>
  <c r="AA58" i="28"/>
  <c r="V58" i="28"/>
  <c r="V57" i="18"/>
  <c r="Y58" i="28"/>
  <c r="S58" i="28"/>
  <c r="V108" i="28"/>
  <c r="V81" i="28"/>
  <c r="V68" i="28"/>
  <c r="T104" i="28"/>
  <c r="V61" i="28"/>
  <c r="V65" i="28"/>
  <c r="T157" i="28"/>
  <c r="T93" i="28"/>
  <c r="T65" i="28"/>
  <c r="T41" i="28"/>
  <c r="A200" i="28"/>
  <c r="L200" i="28"/>
  <c r="T200" i="28"/>
  <c r="U200" i="28"/>
  <c r="X200" i="28"/>
  <c r="AD200" i="28"/>
  <c r="AE200" i="28"/>
  <c r="AF200" i="28"/>
  <c r="AG200" i="28"/>
  <c r="AH200" i="28"/>
  <c r="AI200" i="28"/>
  <c r="AK200" i="28"/>
  <c r="AM195" i="34" l="1"/>
  <c r="AK195" i="34"/>
  <c r="AI195" i="34"/>
  <c r="AH195" i="34"/>
  <c r="AG195" i="34"/>
  <c r="AF195" i="34"/>
  <c r="AE195" i="34"/>
  <c r="AD195" i="34"/>
  <c r="AA195" i="34"/>
  <c r="Z195" i="34"/>
  <c r="Y195" i="34"/>
  <c r="X195" i="34"/>
  <c r="W195" i="34"/>
  <c r="V195" i="34"/>
  <c r="U195" i="34"/>
  <c r="T195" i="34"/>
  <c r="S195" i="34"/>
  <c r="L195" i="34"/>
  <c r="K195" i="34"/>
  <c r="A195" i="34"/>
  <c r="AC194" i="34"/>
  <c r="AB194" i="34"/>
  <c r="AC193" i="34"/>
  <c r="AB193" i="34"/>
  <c r="AC192" i="34"/>
  <c r="AB192" i="34"/>
  <c r="AC191" i="34"/>
  <c r="AB191" i="34"/>
  <c r="AC190" i="34"/>
  <c r="AC189" i="34"/>
  <c r="AB189" i="34"/>
  <c r="AC188" i="34"/>
  <c r="AB188" i="34"/>
  <c r="AC187" i="34"/>
  <c r="AB187" i="34"/>
  <c r="AC186" i="34"/>
  <c r="V186" i="34"/>
  <c r="AC185" i="34"/>
  <c r="AB185" i="34"/>
  <c r="AC184" i="34"/>
  <c r="AB184" i="34"/>
  <c r="AC183" i="34"/>
  <c r="AB183" i="34"/>
  <c r="AC182" i="34"/>
  <c r="AB182" i="34"/>
  <c r="AC181" i="34"/>
  <c r="AB181" i="34"/>
  <c r="AC180" i="34"/>
  <c r="AA180" i="34"/>
  <c r="AC179" i="34"/>
  <c r="AB179" i="34"/>
  <c r="AC178" i="34"/>
  <c r="AB178" i="34"/>
  <c r="AC177" i="34"/>
  <c r="AB177" i="34"/>
  <c r="AC176" i="34"/>
  <c r="AB176" i="34"/>
  <c r="AC175" i="34"/>
  <c r="AB175" i="34"/>
  <c r="AC174" i="34"/>
  <c r="AC173" i="34"/>
  <c r="AB173" i="34"/>
  <c r="AC172" i="34"/>
  <c r="AB172" i="34"/>
  <c r="AC171" i="34"/>
  <c r="AB171" i="34"/>
  <c r="AC170" i="34"/>
  <c r="AB170" i="34"/>
  <c r="AC169" i="34"/>
  <c r="AB169" i="34"/>
  <c r="AC168" i="34"/>
  <c r="AB168" i="34"/>
  <c r="AC167" i="34"/>
  <c r="AB167" i="34"/>
  <c r="AC166" i="34"/>
  <c r="AB166" i="34"/>
  <c r="AC165" i="34"/>
  <c r="AB165" i="34"/>
  <c r="AC164" i="34"/>
  <c r="AB164" i="34"/>
  <c r="AC163" i="34"/>
  <c r="AB163" i="34"/>
  <c r="J163" i="34"/>
  <c r="AJ162" i="34"/>
  <c r="AJ161" i="34"/>
  <c r="AC160" i="34"/>
  <c r="AC159" i="34"/>
  <c r="AC158" i="34"/>
  <c r="AB158" i="34"/>
  <c r="AC157" i="34"/>
  <c r="AB157" i="34"/>
  <c r="AC156" i="34"/>
  <c r="AB156" i="34"/>
  <c r="AC155" i="34"/>
  <c r="AB155" i="34"/>
  <c r="AC154" i="34"/>
  <c r="AB154" i="34"/>
  <c r="AC153" i="34"/>
  <c r="AB153" i="34"/>
  <c r="AC152" i="34"/>
  <c r="AB152" i="34"/>
  <c r="AC151" i="34"/>
  <c r="V151" i="34"/>
  <c r="J151" i="34"/>
  <c r="AC150" i="34"/>
  <c r="AC149" i="34"/>
  <c r="AB149" i="34"/>
  <c r="AC148" i="34"/>
  <c r="AB148" i="34"/>
  <c r="AC147" i="34"/>
  <c r="AB147" i="34"/>
  <c r="AC146" i="34"/>
  <c r="AB146" i="34"/>
  <c r="AC145" i="34"/>
  <c r="AB145" i="34"/>
  <c r="AC144" i="34"/>
  <c r="AB144" i="34"/>
  <c r="AC143" i="34"/>
  <c r="AB143" i="34"/>
  <c r="AC142" i="34"/>
  <c r="AB142" i="34"/>
  <c r="AC141" i="34"/>
  <c r="AB141" i="34"/>
  <c r="AC140" i="34"/>
  <c r="AB140" i="34"/>
  <c r="AC139" i="34"/>
  <c r="AB139" i="34"/>
  <c r="AC138" i="34"/>
  <c r="AB138" i="34"/>
  <c r="AC137" i="34"/>
  <c r="AC136" i="34"/>
  <c r="AB136" i="34"/>
  <c r="AC135" i="34"/>
  <c r="AB135" i="34"/>
  <c r="AC134" i="34"/>
  <c r="AC133" i="34"/>
  <c r="AB133" i="34"/>
  <c r="AC132" i="34"/>
  <c r="AC131" i="34"/>
  <c r="W131" i="34"/>
  <c r="V131" i="34"/>
  <c r="AC130" i="34"/>
  <c r="AB130" i="34"/>
  <c r="AC129" i="34"/>
  <c r="AB129" i="34"/>
  <c r="AC128" i="34"/>
  <c r="V128" i="34"/>
  <c r="AC127" i="34"/>
  <c r="AB127" i="34"/>
  <c r="AC126" i="34"/>
  <c r="J126" i="34"/>
  <c r="J195" i="34" s="1"/>
  <c r="AC125" i="34"/>
  <c r="AB125" i="34"/>
  <c r="AC124" i="34"/>
  <c r="AB124" i="34"/>
  <c r="AC123" i="34"/>
  <c r="AC122" i="34"/>
  <c r="AB122" i="34"/>
  <c r="AC121" i="34"/>
  <c r="AB121" i="34"/>
  <c r="AC120" i="34"/>
  <c r="AB120" i="34"/>
  <c r="AC119" i="34"/>
  <c r="V119" i="34"/>
  <c r="AC118" i="34"/>
  <c r="AC117" i="34"/>
  <c r="AB117" i="34"/>
  <c r="AC116" i="34"/>
  <c r="AB116" i="34"/>
  <c r="AC115" i="34"/>
  <c r="AB115" i="34"/>
  <c r="AJ114" i="34"/>
  <c r="AB114" i="34"/>
  <c r="AC113" i="34"/>
  <c r="AA113" i="34"/>
  <c r="S112" i="34"/>
  <c r="AC111" i="34"/>
  <c r="AB111" i="34"/>
  <c r="AC110" i="34"/>
  <c r="AB110" i="34"/>
  <c r="AJ109" i="34"/>
  <c r="AB109" i="34"/>
  <c r="AC108" i="34"/>
  <c r="AB108" i="34"/>
  <c r="AC107" i="34"/>
  <c r="AB107" i="34"/>
  <c r="AC106" i="34"/>
  <c r="AB106" i="34"/>
  <c r="AC105" i="34"/>
  <c r="AB105" i="34"/>
  <c r="AC104" i="34"/>
  <c r="AB104" i="34"/>
  <c r="AC103" i="34"/>
  <c r="AC102" i="34"/>
  <c r="AB102" i="34"/>
  <c r="AC101" i="34"/>
  <c r="AC100" i="34"/>
  <c r="AC99" i="34"/>
  <c r="AB99" i="34"/>
  <c r="J99" i="34"/>
  <c r="AC98" i="34"/>
  <c r="AC97" i="34"/>
  <c r="AB97" i="34"/>
  <c r="AJ96" i="34"/>
  <c r="AB96" i="34"/>
  <c r="AC95" i="34"/>
  <c r="AB95" i="34"/>
  <c r="AC94" i="34"/>
  <c r="AB94" i="34"/>
  <c r="AC93" i="34"/>
  <c r="AB93" i="34"/>
  <c r="AC92" i="34"/>
  <c r="AB92" i="34"/>
  <c r="AC91" i="34"/>
  <c r="AB91" i="34"/>
  <c r="AC90" i="34"/>
  <c r="AB90" i="34"/>
  <c r="AC89" i="34"/>
  <c r="AB89" i="34"/>
  <c r="AC88" i="34"/>
  <c r="AB88" i="34"/>
  <c r="AC87" i="34"/>
  <c r="AB87" i="34"/>
  <c r="AC86" i="34"/>
  <c r="AB86" i="34"/>
  <c r="AC85" i="34"/>
  <c r="AB85" i="34"/>
  <c r="AC84" i="34"/>
  <c r="V84" i="34"/>
  <c r="AC83" i="34"/>
  <c r="AC82" i="34"/>
  <c r="AC81" i="34"/>
  <c r="AC80" i="34"/>
  <c r="AB80" i="34"/>
  <c r="AC79" i="34"/>
  <c r="Z79" i="34"/>
  <c r="AJ78" i="34"/>
  <c r="AB78" i="34"/>
  <c r="AC77" i="34"/>
  <c r="AB77" i="34"/>
  <c r="AC76" i="34"/>
  <c r="AB76" i="34"/>
  <c r="AC75" i="34"/>
  <c r="AB75" i="34"/>
  <c r="AC74" i="34"/>
  <c r="AB74" i="34"/>
  <c r="AC73" i="34"/>
  <c r="AB73" i="34"/>
  <c r="AC72" i="34"/>
  <c r="AB72" i="34"/>
  <c r="AC71" i="34"/>
  <c r="AB71" i="34"/>
  <c r="AC70" i="34"/>
  <c r="AB70" i="34"/>
  <c r="AC69" i="34"/>
  <c r="AC68" i="34"/>
  <c r="AB68" i="34"/>
  <c r="AC67" i="34"/>
  <c r="AJ66" i="34"/>
  <c r="AB66" i="34"/>
  <c r="AC65" i="34"/>
  <c r="AB65" i="34"/>
  <c r="AC64" i="34"/>
  <c r="AB64" i="34"/>
  <c r="AC63" i="34"/>
  <c r="AB63" i="34"/>
  <c r="AC62" i="34"/>
  <c r="AB62" i="34"/>
  <c r="AC61" i="34"/>
  <c r="AB61" i="34"/>
  <c r="AC60" i="34"/>
  <c r="AB60" i="34"/>
  <c r="M60" i="34"/>
  <c r="AC59" i="34"/>
  <c r="AB59" i="34"/>
  <c r="AC58" i="34"/>
  <c r="AB58" i="34"/>
  <c r="AC57" i="34"/>
  <c r="AC56" i="34"/>
  <c r="AB56" i="34"/>
  <c r="AC55" i="34"/>
  <c r="AC54" i="34"/>
  <c r="AB54" i="34"/>
  <c r="AC53" i="34"/>
  <c r="I53" i="34"/>
  <c r="H53" i="34"/>
  <c r="G53" i="34"/>
  <c r="F53" i="34"/>
  <c r="E53" i="34"/>
  <c r="D53" i="34"/>
  <c r="C53" i="34"/>
  <c r="B53" i="34"/>
  <c r="AC52" i="34"/>
  <c r="AB52" i="34"/>
  <c r="I52" i="34"/>
  <c r="H52" i="34"/>
  <c r="G52" i="34"/>
  <c r="F52" i="34"/>
  <c r="E52" i="34"/>
  <c r="D52" i="34"/>
  <c r="C52" i="34"/>
  <c r="B52" i="34"/>
  <c r="AC51" i="34"/>
  <c r="I51" i="34"/>
  <c r="H51" i="34"/>
  <c r="G51" i="34"/>
  <c r="F51" i="34"/>
  <c r="E51" i="34"/>
  <c r="D51" i="34"/>
  <c r="C51" i="34"/>
  <c r="B51" i="34"/>
  <c r="AC50" i="34"/>
  <c r="AB50" i="34"/>
  <c r="I50" i="34"/>
  <c r="H50" i="34"/>
  <c r="G50" i="34"/>
  <c r="F50" i="34"/>
  <c r="E50" i="34"/>
  <c r="D50" i="34"/>
  <c r="C50" i="34"/>
  <c r="B50" i="34"/>
  <c r="AC49" i="34"/>
  <c r="V49" i="34"/>
  <c r="I49" i="34"/>
  <c r="H49" i="34"/>
  <c r="G49" i="34"/>
  <c r="F49" i="34"/>
  <c r="E49" i="34"/>
  <c r="D49" i="34"/>
  <c r="C49" i="34"/>
  <c r="B49" i="34"/>
  <c r="AC48" i="34"/>
  <c r="AB48" i="34"/>
  <c r="S48" i="34"/>
  <c r="I48" i="34"/>
  <c r="H48" i="34"/>
  <c r="G48" i="34"/>
  <c r="F48" i="34"/>
  <c r="E48" i="34"/>
  <c r="D48" i="34"/>
  <c r="C48" i="34"/>
  <c r="B48" i="34"/>
  <c r="AC47" i="34"/>
  <c r="AB47" i="34"/>
  <c r="I47" i="34"/>
  <c r="H47" i="34"/>
  <c r="G47" i="34"/>
  <c r="F47" i="34"/>
  <c r="E47" i="34"/>
  <c r="D47" i="34"/>
  <c r="C47" i="34"/>
  <c r="B47" i="34"/>
  <c r="AC46" i="34"/>
  <c r="AB46" i="34"/>
  <c r="I46" i="34"/>
  <c r="H46" i="34"/>
  <c r="G46" i="34"/>
  <c r="F46" i="34"/>
  <c r="E46" i="34"/>
  <c r="D46" i="34"/>
  <c r="C46" i="34"/>
  <c r="B46" i="34"/>
  <c r="AC45" i="34"/>
  <c r="I45" i="34"/>
  <c r="H45" i="34"/>
  <c r="G45" i="34"/>
  <c r="F45" i="34"/>
  <c r="E45" i="34"/>
  <c r="D45" i="34"/>
  <c r="C45" i="34"/>
  <c r="B45" i="34"/>
  <c r="AC44" i="34"/>
  <c r="I44" i="34"/>
  <c r="H44" i="34"/>
  <c r="G44" i="34"/>
  <c r="F44" i="34"/>
  <c r="E44" i="34"/>
  <c r="D44" i="34"/>
  <c r="C44" i="34"/>
  <c r="B44" i="34"/>
  <c r="AC43" i="34"/>
  <c r="I43" i="34"/>
  <c r="H43" i="34"/>
  <c r="G43" i="34"/>
  <c r="F43" i="34"/>
  <c r="E43" i="34"/>
  <c r="D43" i="34"/>
  <c r="C43" i="34"/>
  <c r="B43" i="34"/>
  <c r="AC42" i="34"/>
  <c r="AB42" i="34"/>
  <c r="I42" i="34"/>
  <c r="H42" i="34"/>
  <c r="G42" i="34"/>
  <c r="F42" i="34"/>
  <c r="E42" i="34"/>
  <c r="D42" i="34"/>
  <c r="C42" i="34"/>
  <c r="B42" i="34"/>
  <c r="AC41" i="34"/>
  <c r="AC195" i="34" s="1"/>
  <c r="I41" i="34"/>
  <c r="H41" i="34"/>
  <c r="G41" i="34"/>
  <c r="F41" i="34"/>
  <c r="E41" i="34"/>
  <c r="D41" i="34"/>
  <c r="C41" i="34"/>
  <c r="B41" i="34"/>
  <c r="AC40" i="34"/>
  <c r="AB40" i="34"/>
  <c r="I40" i="34"/>
  <c r="H40" i="34"/>
  <c r="G40" i="34"/>
  <c r="F40" i="34"/>
  <c r="E40" i="34"/>
  <c r="D40" i="34"/>
  <c r="C40" i="34"/>
  <c r="B40" i="34"/>
  <c r="AC39" i="34"/>
  <c r="AB39" i="34"/>
  <c r="I39" i="34"/>
  <c r="H39" i="34"/>
  <c r="G39" i="34"/>
  <c r="F39" i="34"/>
  <c r="E39" i="34"/>
  <c r="D39" i="34"/>
  <c r="C39" i="34"/>
  <c r="B39" i="34"/>
  <c r="AC38" i="34"/>
  <c r="AB38" i="34"/>
  <c r="I38" i="34"/>
  <c r="H38" i="34"/>
  <c r="G38" i="34"/>
  <c r="F38" i="34"/>
  <c r="E38" i="34"/>
  <c r="D38" i="34"/>
  <c r="C38" i="34"/>
  <c r="B38" i="34"/>
  <c r="AC37" i="34"/>
  <c r="AB37" i="34"/>
  <c r="I37" i="34"/>
  <c r="H37" i="34"/>
  <c r="G37" i="34"/>
  <c r="F37" i="34"/>
  <c r="E37" i="34"/>
  <c r="D37" i="34"/>
  <c r="C37" i="34"/>
  <c r="B37" i="34"/>
  <c r="AC36" i="34"/>
  <c r="AB36" i="34"/>
  <c r="I36" i="34"/>
  <c r="H36" i="34"/>
  <c r="G36" i="34"/>
  <c r="F36" i="34"/>
  <c r="E36" i="34"/>
  <c r="D36" i="34"/>
  <c r="C36" i="34"/>
  <c r="B36" i="34"/>
  <c r="AC35" i="34"/>
  <c r="AB35" i="34"/>
  <c r="I35" i="34"/>
  <c r="H35" i="34"/>
  <c r="G35" i="34"/>
  <c r="F35" i="34"/>
  <c r="E35" i="34"/>
  <c r="D35" i="34"/>
  <c r="C35" i="34"/>
  <c r="B35" i="34"/>
  <c r="AC34" i="34"/>
  <c r="I34" i="34"/>
  <c r="H34" i="34"/>
  <c r="G34" i="34"/>
  <c r="F34" i="34"/>
  <c r="E34" i="34"/>
  <c r="D34" i="34"/>
  <c r="C34" i="34"/>
  <c r="B34" i="34"/>
  <c r="AC33" i="34"/>
  <c r="I33" i="34"/>
  <c r="H33" i="34"/>
  <c r="G33" i="34"/>
  <c r="F33" i="34"/>
  <c r="E33" i="34"/>
  <c r="D33" i="34"/>
  <c r="C33" i="34"/>
  <c r="B33" i="34"/>
  <c r="AC32" i="34"/>
  <c r="AB32" i="34"/>
  <c r="I32" i="34"/>
  <c r="H32" i="34"/>
  <c r="G32" i="34"/>
  <c r="F32" i="34"/>
  <c r="E32" i="34"/>
  <c r="D32" i="34"/>
  <c r="C32" i="34"/>
  <c r="B32" i="34"/>
  <c r="AC31" i="34"/>
  <c r="I31" i="34"/>
  <c r="H31" i="34"/>
  <c r="G31" i="34"/>
  <c r="F31" i="34"/>
  <c r="E31" i="34"/>
  <c r="D31" i="34"/>
  <c r="C31" i="34"/>
  <c r="B31" i="34"/>
  <c r="AC30" i="34"/>
  <c r="AB30" i="34"/>
  <c r="I30" i="34"/>
  <c r="H30" i="34"/>
  <c r="G30" i="34"/>
  <c r="F30" i="34"/>
  <c r="E30" i="34"/>
  <c r="D30" i="34"/>
  <c r="C30" i="34"/>
  <c r="B30" i="34"/>
  <c r="AC29" i="34"/>
  <c r="AB29" i="34"/>
  <c r="I29" i="34"/>
  <c r="H29" i="34"/>
  <c r="G29" i="34"/>
  <c r="F29" i="34"/>
  <c r="E29" i="34"/>
  <c r="D29" i="34"/>
  <c r="C29" i="34"/>
  <c r="B29" i="34"/>
  <c r="AC28" i="34"/>
  <c r="AB28" i="34"/>
  <c r="I28" i="34"/>
  <c r="H28" i="34"/>
  <c r="G28" i="34"/>
  <c r="F28" i="34"/>
  <c r="E28" i="34"/>
  <c r="D28" i="34"/>
  <c r="C28" i="34"/>
  <c r="B28" i="34"/>
  <c r="AC27" i="34"/>
  <c r="AB27" i="34"/>
  <c r="I27" i="34"/>
  <c r="H27" i="34"/>
  <c r="G27" i="34"/>
  <c r="F27" i="34"/>
  <c r="E27" i="34"/>
  <c r="D27" i="34"/>
  <c r="C27" i="34"/>
  <c r="B27" i="34"/>
  <c r="AC26" i="34"/>
  <c r="AB26" i="34"/>
  <c r="I26" i="34"/>
  <c r="H26" i="34"/>
  <c r="G26" i="34"/>
  <c r="F26" i="34"/>
  <c r="E26" i="34"/>
  <c r="D26" i="34"/>
  <c r="C26" i="34"/>
  <c r="B26" i="34"/>
  <c r="AC25" i="34"/>
  <c r="AB25" i="34"/>
  <c r="I25" i="34"/>
  <c r="H25" i="34"/>
  <c r="G25" i="34"/>
  <c r="F25" i="34"/>
  <c r="E25" i="34"/>
  <c r="D25" i="34"/>
  <c r="C25" i="34"/>
  <c r="B25" i="34"/>
  <c r="AC24" i="34"/>
  <c r="S24" i="34"/>
  <c r="I24" i="34"/>
  <c r="H24" i="34"/>
  <c r="G24" i="34"/>
  <c r="F24" i="34"/>
  <c r="E24" i="34"/>
  <c r="D24" i="34"/>
  <c r="C24" i="34"/>
  <c r="B24" i="34"/>
  <c r="AC23" i="34"/>
  <c r="I23" i="34"/>
  <c r="H23" i="34"/>
  <c r="G23" i="34"/>
  <c r="F23" i="34"/>
  <c r="E23" i="34"/>
  <c r="D23" i="34"/>
  <c r="C23" i="34"/>
  <c r="B23" i="34"/>
  <c r="AC22" i="34"/>
  <c r="S22" i="34"/>
  <c r="I22" i="34"/>
  <c r="H22" i="34"/>
  <c r="G22" i="34"/>
  <c r="F22" i="34"/>
  <c r="E22" i="34"/>
  <c r="D22" i="34"/>
  <c r="C22" i="34"/>
  <c r="B22" i="34"/>
  <c r="AC21" i="34"/>
  <c r="AB21" i="34"/>
  <c r="S21" i="34"/>
  <c r="I21" i="34"/>
  <c r="H21" i="34"/>
  <c r="G21" i="34"/>
  <c r="F21" i="34"/>
  <c r="E21" i="34"/>
  <c r="D21" i="34"/>
  <c r="C21" i="34"/>
  <c r="B21" i="34"/>
  <c r="AC20" i="34"/>
  <c r="AB20" i="34"/>
  <c r="S20" i="34"/>
  <c r="I20" i="34"/>
  <c r="H20" i="34"/>
  <c r="G20" i="34"/>
  <c r="F20" i="34"/>
  <c r="E20" i="34"/>
  <c r="D20" i="34"/>
  <c r="C20" i="34"/>
  <c r="B20" i="34"/>
  <c r="AC19" i="34"/>
  <c r="AB19" i="34"/>
  <c r="I19" i="34"/>
  <c r="H19" i="34"/>
  <c r="G19" i="34"/>
  <c r="F19" i="34"/>
  <c r="E19" i="34"/>
  <c r="D19" i="34"/>
  <c r="C19" i="34"/>
  <c r="B19" i="34"/>
  <c r="AJ18" i="34"/>
  <c r="AB18" i="34"/>
  <c r="I18" i="34"/>
  <c r="H18" i="34"/>
  <c r="G18" i="34"/>
  <c r="F18" i="34"/>
  <c r="E18" i="34"/>
  <c r="D18" i="34"/>
  <c r="C18" i="34"/>
  <c r="B18" i="34"/>
  <c r="AC17" i="34"/>
  <c r="AB17" i="34"/>
  <c r="I17" i="34"/>
  <c r="H17" i="34"/>
  <c r="G17" i="34"/>
  <c r="F17" i="34"/>
  <c r="E17" i="34"/>
  <c r="D17" i="34"/>
  <c r="C17" i="34"/>
  <c r="B17" i="34"/>
  <c r="AC16" i="34"/>
  <c r="V16" i="34"/>
  <c r="I16" i="34"/>
  <c r="H16" i="34"/>
  <c r="G16" i="34"/>
  <c r="F16" i="34"/>
  <c r="E16" i="34"/>
  <c r="D16" i="34"/>
  <c r="C16" i="34"/>
  <c r="B16" i="34"/>
  <c r="AC15" i="34"/>
  <c r="AB15" i="34"/>
  <c r="I15" i="34"/>
  <c r="H15" i="34"/>
  <c r="G15" i="34"/>
  <c r="F15" i="34"/>
  <c r="E15" i="34"/>
  <c r="D15" i="34"/>
  <c r="C15" i="34"/>
  <c r="B15" i="34"/>
  <c r="AC14" i="34"/>
  <c r="AB14" i="34"/>
  <c r="I14" i="34"/>
  <c r="H14" i="34"/>
  <c r="G14" i="34"/>
  <c r="F14" i="34"/>
  <c r="E14" i="34"/>
  <c r="D14" i="34"/>
  <c r="C14" i="34"/>
  <c r="B14" i="34"/>
  <c r="AC13" i="34"/>
  <c r="I13" i="34"/>
  <c r="H13" i="34"/>
  <c r="G13" i="34"/>
  <c r="F13" i="34"/>
  <c r="E13" i="34"/>
  <c r="D13" i="34"/>
  <c r="C13" i="34"/>
  <c r="B13" i="34"/>
  <c r="AC12" i="34"/>
  <c r="AB12" i="34"/>
  <c r="I12" i="34"/>
  <c r="H12" i="34"/>
  <c r="G12" i="34"/>
  <c r="F12" i="34"/>
  <c r="E12" i="34"/>
  <c r="D12" i="34"/>
  <c r="C12" i="34"/>
  <c r="B12" i="34"/>
  <c r="AC11" i="34"/>
  <c r="AB11" i="34"/>
  <c r="I11" i="34"/>
  <c r="H11" i="34"/>
  <c r="G11" i="34"/>
  <c r="F11" i="34"/>
  <c r="E11" i="34"/>
  <c r="D11" i="34"/>
  <c r="C11" i="34"/>
  <c r="B11" i="34"/>
  <c r="AM10" i="34"/>
  <c r="AJ10" i="34"/>
  <c r="S10" i="34"/>
  <c r="I10" i="34"/>
  <c r="H10" i="34"/>
  <c r="G10" i="34"/>
  <c r="F10" i="34"/>
  <c r="E10" i="34"/>
  <c r="D10" i="34"/>
  <c r="C10" i="34"/>
  <c r="B10" i="34"/>
  <c r="AC9" i="34"/>
  <c r="I9" i="34"/>
  <c r="H9" i="34"/>
  <c r="G9" i="34"/>
  <c r="F9" i="34"/>
  <c r="E9" i="34"/>
  <c r="D9" i="34"/>
  <c r="C9" i="34"/>
  <c r="B9" i="34"/>
  <c r="AC8" i="34"/>
  <c r="AB8" i="34"/>
  <c r="I8" i="34"/>
  <c r="H8" i="34"/>
  <c r="G8" i="34"/>
  <c r="F8" i="34"/>
  <c r="E8" i="34"/>
  <c r="D8" i="34"/>
  <c r="C8" i="34"/>
  <c r="B8" i="34"/>
  <c r="AC7" i="34"/>
  <c r="AB7" i="34"/>
  <c r="I7" i="34"/>
  <c r="H7" i="34"/>
  <c r="G7" i="34"/>
  <c r="F7" i="34"/>
  <c r="E7" i="34"/>
  <c r="D7" i="34"/>
  <c r="C7" i="34"/>
  <c r="B7" i="34"/>
  <c r="AC6" i="34"/>
  <c r="V6" i="34"/>
  <c r="I6" i="34"/>
  <c r="H6" i="34"/>
  <c r="G6" i="34"/>
  <c r="F6" i="34"/>
  <c r="E6" i="34"/>
  <c r="D6" i="34"/>
  <c r="C6" i="34"/>
  <c r="B6" i="34"/>
  <c r="AJ4" i="34"/>
  <c r="AB4" i="34"/>
  <c r="R4" i="34"/>
  <c r="M173" i="31"/>
  <c r="W133" i="28"/>
  <c r="W200" i="28" s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L89" i="26"/>
  <c r="L155" i="26"/>
  <c r="V130" i="28"/>
  <c r="AB128" i="34" s="1"/>
  <c r="V190" i="28"/>
  <c r="AB186" i="34" s="1"/>
  <c r="V120" i="28"/>
  <c r="AB119" i="34" s="1"/>
  <c r="V50" i="28"/>
  <c r="AB49" i="34" s="1"/>
  <c r="V17" i="28"/>
  <c r="AB16" i="34" s="1"/>
  <c r="V85" i="28"/>
  <c r="AB84" i="34" s="1"/>
  <c r="V6" i="28"/>
  <c r="AJ186" i="34"/>
  <c r="AJ128" i="34"/>
  <c r="AJ119" i="34"/>
  <c r="AJ84" i="34"/>
  <c r="AJ49" i="34"/>
  <c r="AJ16" i="34"/>
  <c r="AJ6" i="34"/>
  <c r="AB6" i="34" l="1"/>
  <c r="AC113" i="28"/>
  <c r="AJ112" i="34" s="1"/>
  <c r="AM200" i="28"/>
  <c r="AJ7" i="34"/>
  <c r="AJ8" i="34"/>
  <c r="AJ9" i="34"/>
  <c r="AJ11" i="34"/>
  <c r="AJ12" i="34"/>
  <c r="AJ13" i="34"/>
  <c r="AJ14" i="34"/>
  <c r="AJ15" i="34"/>
  <c r="AJ17" i="34"/>
  <c r="AJ19" i="34"/>
  <c r="AJ20" i="34"/>
  <c r="AJ21" i="34"/>
  <c r="AJ22" i="34"/>
  <c r="AJ23" i="34"/>
  <c r="AJ24" i="34"/>
  <c r="AJ25" i="34"/>
  <c r="AJ26" i="34"/>
  <c r="AJ27" i="34"/>
  <c r="AJ28" i="34"/>
  <c r="AJ29" i="34"/>
  <c r="AJ30" i="34"/>
  <c r="AJ31" i="34"/>
  <c r="AJ32" i="34"/>
  <c r="AJ33" i="34"/>
  <c r="AJ34" i="34"/>
  <c r="AJ35" i="34"/>
  <c r="AJ36" i="34"/>
  <c r="AJ37" i="34"/>
  <c r="AJ38" i="34"/>
  <c r="AJ39" i="34"/>
  <c r="AJ41" i="34"/>
  <c r="AJ42" i="34"/>
  <c r="AJ43" i="34"/>
  <c r="AJ44" i="34"/>
  <c r="AJ45" i="34"/>
  <c r="AJ46" i="34"/>
  <c r="AJ47" i="34"/>
  <c r="AJ48" i="34"/>
  <c r="AJ50" i="34"/>
  <c r="AJ51" i="34"/>
  <c r="AJ52" i="34"/>
  <c r="AJ53" i="34"/>
  <c r="AJ54" i="34"/>
  <c r="AJ55" i="34"/>
  <c r="AJ56" i="34"/>
  <c r="AJ57" i="34"/>
  <c r="AJ58" i="34"/>
  <c r="AJ59" i="34"/>
  <c r="AJ60" i="34"/>
  <c r="AJ61" i="34"/>
  <c r="AJ62" i="34"/>
  <c r="AJ63" i="34"/>
  <c r="AJ64" i="34"/>
  <c r="AJ65" i="34"/>
  <c r="AJ67" i="34"/>
  <c r="AJ68" i="34"/>
  <c r="AJ69" i="34"/>
  <c r="AJ70" i="34"/>
  <c r="AJ71" i="34"/>
  <c r="AJ72" i="34"/>
  <c r="AJ73" i="34"/>
  <c r="AJ74" i="34"/>
  <c r="AJ75" i="34"/>
  <c r="AJ76" i="34"/>
  <c r="AJ77" i="34"/>
  <c r="AJ79" i="34"/>
  <c r="AJ80" i="34"/>
  <c r="AJ81" i="34"/>
  <c r="AJ82" i="34"/>
  <c r="AJ83" i="34"/>
  <c r="AJ85" i="34"/>
  <c r="AJ86" i="34"/>
  <c r="AJ87" i="34"/>
  <c r="AJ88" i="34"/>
  <c r="AJ89" i="34"/>
  <c r="AJ90" i="34"/>
  <c r="AJ91" i="34"/>
  <c r="AJ92" i="34"/>
  <c r="AJ93" i="34"/>
  <c r="AJ94" i="34"/>
  <c r="AJ95" i="34"/>
  <c r="AJ97" i="34"/>
  <c r="AJ98" i="34"/>
  <c r="AJ99" i="34"/>
  <c r="AJ100" i="34"/>
  <c r="AJ101" i="34"/>
  <c r="AJ102" i="34"/>
  <c r="AJ103" i="34"/>
  <c r="AJ104" i="34"/>
  <c r="AJ105" i="34"/>
  <c r="AJ106" i="34"/>
  <c r="AJ107" i="34"/>
  <c r="AJ108" i="34"/>
  <c r="AJ110" i="34"/>
  <c r="AJ111" i="34"/>
  <c r="AJ113" i="34"/>
  <c r="AJ115" i="34"/>
  <c r="AJ116" i="34"/>
  <c r="AJ117" i="34"/>
  <c r="AJ118" i="34"/>
  <c r="AJ120" i="34"/>
  <c r="AJ121" i="34"/>
  <c r="AJ122" i="34"/>
  <c r="AJ123" i="34"/>
  <c r="AJ124" i="34"/>
  <c r="AJ125" i="34"/>
  <c r="AJ126" i="34"/>
  <c r="AJ127" i="34"/>
  <c r="AJ129" i="34"/>
  <c r="AJ130" i="34"/>
  <c r="AJ131" i="34"/>
  <c r="AJ132" i="34"/>
  <c r="AJ133" i="34"/>
  <c r="AJ134" i="34"/>
  <c r="AJ135" i="34"/>
  <c r="AJ136" i="34"/>
  <c r="AJ137" i="34"/>
  <c r="AJ138" i="34"/>
  <c r="AJ139" i="34"/>
  <c r="AJ140" i="34"/>
  <c r="AJ141" i="34"/>
  <c r="AJ142" i="34"/>
  <c r="AJ143" i="34"/>
  <c r="AJ144" i="34"/>
  <c r="AJ145" i="34"/>
  <c r="AJ146" i="34"/>
  <c r="AJ147" i="34"/>
  <c r="AJ148" i="34"/>
  <c r="AJ149" i="34"/>
  <c r="AJ150" i="34"/>
  <c r="AJ151" i="34"/>
  <c r="AJ152" i="34"/>
  <c r="AJ153" i="34"/>
  <c r="AJ154" i="34"/>
  <c r="AJ155" i="34"/>
  <c r="AJ156" i="34"/>
  <c r="AJ157" i="34"/>
  <c r="AJ158" i="34"/>
  <c r="AJ159" i="34"/>
  <c r="AJ160" i="34"/>
  <c r="AJ163" i="34"/>
  <c r="AJ164" i="34"/>
  <c r="AJ165" i="34"/>
  <c r="AJ166" i="34"/>
  <c r="AJ167" i="34"/>
  <c r="AJ168" i="34"/>
  <c r="AJ169" i="34"/>
  <c r="AJ170" i="34"/>
  <c r="AJ171" i="34"/>
  <c r="AJ172" i="34"/>
  <c r="AJ173" i="34"/>
  <c r="AJ174" i="34"/>
  <c r="AJ175" i="34"/>
  <c r="AJ176" i="34"/>
  <c r="AJ177" i="34"/>
  <c r="AJ178" i="34"/>
  <c r="AJ179" i="34"/>
  <c r="AJ180" i="34"/>
  <c r="AC184" i="28"/>
  <c r="AJ181" i="34" s="1"/>
  <c r="AJ182" i="34"/>
  <c r="AJ183" i="34"/>
  <c r="AJ184" i="34"/>
  <c r="AJ185" i="34"/>
  <c r="AJ187" i="34"/>
  <c r="AC192" i="28"/>
  <c r="AJ188" i="34" s="1"/>
  <c r="AJ189" i="34"/>
  <c r="AJ190" i="34"/>
  <c r="AJ191" i="34"/>
  <c r="AJ192" i="34"/>
  <c r="AJ193" i="34"/>
  <c r="AJ194" i="34"/>
  <c r="AJ195" i="34" l="1"/>
  <c r="AC200" i="28"/>
  <c r="AJ40" i="34"/>
  <c r="V153" i="28"/>
  <c r="AB151" i="34" s="1"/>
  <c r="V133" i="28"/>
  <c r="AB137" i="32"/>
  <c r="AB5" i="32"/>
  <c r="AB7" i="32"/>
  <c r="AB8" i="32"/>
  <c r="AB167" i="32"/>
  <c r="AB10" i="32"/>
  <c r="AB11" i="32"/>
  <c r="AB153" i="32"/>
  <c r="AB72" i="32"/>
  <c r="AB15" i="32"/>
  <c r="AB18" i="32"/>
  <c r="AB19" i="32"/>
  <c r="AB17" i="32"/>
  <c r="AB52" i="32"/>
  <c r="AB22" i="32"/>
  <c r="AB82" i="32"/>
  <c r="AB79" i="32"/>
  <c r="AB24" i="32"/>
  <c r="AB165" i="32"/>
  <c r="AB70" i="32"/>
  <c r="AB27" i="32"/>
  <c r="AB48" i="32"/>
  <c r="AB102" i="32"/>
  <c r="AB31" i="32"/>
  <c r="AB98" i="32"/>
  <c r="AB83" i="32"/>
  <c r="AB13" i="32"/>
  <c r="AB23" i="32"/>
  <c r="AB38" i="32"/>
  <c r="AB37" i="32"/>
  <c r="AB6" i="32"/>
  <c r="AB39" i="32"/>
  <c r="AB169" i="32"/>
  <c r="AB41" i="32"/>
  <c r="AB42" i="32"/>
  <c r="AB43" i="32"/>
  <c r="AB44" i="32"/>
  <c r="AB60" i="32"/>
  <c r="AB96" i="32"/>
  <c r="AB145" i="32"/>
  <c r="AB46" i="32"/>
  <c r="AB50" i="32"/>
  <c r="AB173" i="32"/>
  <c r="AB126" i="32"/>
  <c r="AB53" i="32"/>
  <c r="AB133" i="32"/>
  <c r="AB171" i="32"/>
  <c r="AB56" i="32"/>
  <c r="AB57" i="32"/>
  <c r="AB149" i="32"/>
  <c r="AB59" i="32"/>
  <c r="AB25" i="32"/>
  <c r="AB61" i="32"/>
  <c r="AB81" i="32"/>
  <c r="AB63" i="32"/>
  <c r="AB64" i="32"/>
  <c r="AB151" i="32"/>
  <c r="AB29" i="32"/>
  <c r="AB127" i="32"/>
  <c r="AB161" i="32"/>
  <c r="AB103" i="32"/>
  <c r="AB117" i="32"/>
  <c r="AB162" i="32"/>
  <c r="AB71" i="32"/>
  <c r="AB152" i="32"/>
  <c r="AB73" i="32"/>
  <c r="AB74" i="32"/>
  <c r="AB75" i="32"/>
  <c r="AB76" i="32"/>
  <c r="AB49" i="32"/>
  <c r="AB66" i="32"/>
  <c r="AB154" i="32"/>
  <c r="AB28" i="32"/>
  <c r="AB32" i="32"/>
  <c r="AB77" i="32"/>
  <c r="AB118" i="32"/>
  <c r="AB68" i="32"/>
  <c r="AB163" i="32"/>
  <c r="AB84" i="32"/>
  <c r="AB85" i="32"/>
  <c r="AB175" i="32"/>
  <c r="AB87" i="32"/>
  <c r="AB144" i="32"/>
  <c r="AB88" i="32"/>
  <c r="AB89" i="32"/>
  <c r="AB90" i="32"/>
  <c r="AB160" i="32"/>
  <c r="AB146" i="32"/>
  <c r="AB92" i="32"/>
  <c r="AB93" i="32"/>
  <c r="AB94" i="32"/>
  <c r="AB125" i="32"/>
  <c r="AB45" i="32"/>
  <c r="AB80" i="32"/>
  <c r="AB35" i="32"/>
  <c r="AB100" i="32"/>
  <c r="AB101" i="32"/>
  <c r="AB86" i="32"/>
  <c r="AB142" i="32"/>
  <c r="AB97" i="32"/>
  <c r="AB104" i="32"/>
  <c r="AB9" i="32"/>
  <c r="AB106" i="32"/>
  <c r="AB20" i="32"/>
  <c r="AB99" i="32"/>
  <c r="AB109" i="32"/>
  <c r="AB110" i="32"/>
  <c r="AB111" i="32"/>
  <c r="AB112" i="32"/>
  <c r="AB159" i="32"/>
  <c r="AB131" i="32"/>
  <c r="AB91" i="32"/>
  <c r="AB62" i="32"/>
  <c r="AB78" i="32"/>
  <c r="AB114" i="32"/>
  <c r="AB36" i="32"/>
  <c r="AB67" i="32"/>
  <c r="AB119" i="32"/>
  <c r="AB108" i="32"/>
  <c r="AB181" i="32"/>
  <c r="AB122" i="32"/>
  <c r="AB123" i="32"/>
  <c r="AB124" i="32"/>
  <c r="AB113" i="32"/>
  <c r="AB128" i="32"/>
  <c r="AB107" i="32"/>
  <c r="AB47" i="32"/>
  <c r="AB129" i="32"/>
  <c r="AB130" i="32"/>
  <c r="AB132" i="32"/>
  <c r="AB135" i="32"/>
  <c r="AB134" i="32"/>
  <c r="AB136" i="32"/>
  <c r="AB121" i="32"/>
  <c r="AB69" i="32"/>
  <c r="AB139" i="32"/>
  <c r="AB140" i="32"/>
  <c r="AB141" i="32"/>
  <c r="AB143" i="32"/>
  <c r="AB54" i="32"/>
  <c r="AB147" i="32"/>
  <c r="AB105" i="32"/>
  <c r="AB148" i="32"/>
  <c r="AB115" i="32"/>
  <c r="AB65" i="32"/>
  <c r="AB150" i="32"/>
  <c r="AB138" i="32"/>
  <c r="AB174" i="32"/>
  <c r="AB58" i="32"/>
  <c r="AB95" i="32"/>
  <c r="AB155" i="32"/>
  <c r="AB156" i="32"/>
  <c r="AB157" i="32"/>
  <c r="AB158" i="32"/>
  <c r="AB16" i="32"/>
  <c r="AB21" i="32"/>
  <c r="AB177" i="32"/>
  <c r="AB40" i="32"/>
  <c r="AB34" i="32"/>
  <c r="AB164" i="32"/>
  <c r="AB55" i="32"/>
  <c r="AB51" i="32"/>
  <c r="AB30" i="32"/>
  <c r="AB26" i="32"/>
  <c r="AB170" i="32"/>
  <c r="AB168" i="32"/>
  <c r="AB116" i="32"/>
  <c r="AB172" i="32"/>
  <c r="AB12" i="32"/>
  <c r="AB178" i="32"/>
  <c r="AB120" i="32"/>
  <c r="AB176" i="32"/>
  <c r="AB166" i="32"/>
  <c r="AB179" i="32"/>
  <c r="AB33" i="32"/>
  <c r="AB180" i="32"/>
  <c r="AB14" i="32"/>
  <c r="AB182" i="32"/>
  <c r="AB183" i="32"/>
  <c r="AB4" i="32"/>
  <c r="U137" i="32"/>
  <c r="U5" i="32"/>
  <c r="U7" i="32"/>
  <c r="U8" i="32"/>
  <c r="U167" i="32"/>
  <c r="U10" i="32"/>
  <c r="U11" i="32"/>
  <c r="U153" i="32"/>
  <c r="U72" i="32"/>
  <c r="U15" i="32"/>
  <c r="U18" i="32"/>
  <c r="U19" i="32"/>
  <c r="U17" i="32"/>
  <c r="U52" i="32"/>
  <c r="U22" i="32"/>
  <c r="U82" i="32"/>
  <c r="U79" i="32"/>
  <c r="U24" i="32"/>
  <c r="U165" i="32"/>
  <c r="U70" i="32"/>
  <c r="U27" i="32"/>
  <c r="U48" i="32"/>
  <c r="U102" i="32"/>
  <c r="U31" i="32"/>
  <c r="U98" i="32"/>
  <c r="U83" i="32"/>
  <c r="U13" i="32"/>
  <c r="U23" i="32"/>
  <c r="U38" i="32"/>
  <c r="U37" i="32"/>
  <c r="U6" i="32"/>
  <c r="U39" i="32"/>
  <c r="U169" i="32"/>
  <c r="U41" i="32"/>
  <c r="U42" i="32"/>
  <c r="U43" i="32"/>
  <c r="U44" i="32"/>
  <c r="U60" i="32"/>
  <c r="U96" i="32"/>
  <c r="U145" i="32"/>
  <c r="U46" i="32"/>
  <c r="U50" i="32"/>
  <c r="U173" i="32"/>
  <c r="U126" i="32"/>
  <c r="U53" i="32"/>
  <c r="U133" i="32"/>
  <c r="U171" i="32"/>
  <c r="U56" i="32"/>
  <c r="U57" i="32"/>
  <c r="U149" i="32"/>
  <c r="U59" i="32"/>
  <c r="U25" i="32"/>
  <c r="U61" i="32"/>
  <c r="U81" i="32"/>
  <c r="U63" i="32"/>
  <c r="U64" i="32"/>
  <c r="U151" i="32"/>
  <c r="U29" i="32"/>
  <c r="U127" i="32"/>
  <c r="U161" i="32"/>
  <c r="U103" i="32"/>
  <c r="U117" i="32"/>
  <c r="U162" i="32"/>
  <c r="U71" i="32"/>
  <c r="U152" i="32"/>
  <c r="U73" i="32"/>
  <c r="U74" i="32"/>
  <c r="U75" i="32"/>
  <c r="U76" i="32"/>
  <c r="U49" i="32"/>
  <c r="U66" i="32"/>
  <c r="U154" i="32"/>
  <c r="U28" i="32"/>
  <c r="U32" i="32"/>
  <c r="U77" i="32"/>
  <c r="U118" i="32"/>
  <c r="U68" i="32"/>
  <c r="U163" i="32"/>
  <c r="U84" i="32"/>
  <c r="U85" i="32"/>
  <c r="U175" i="32"/>
  <c r="U87" i="32"/>
  <c r="U144" i="32"/>
  <c r="U88" i="32"/>
  <c r="U89" i="32"/>
  <c r="U90" i="32"/>
  <c r="U160" i="32"/>
  <c r="U146" i="32"/>
  <c r="U92" i="32"/>
  <c r="U93" i="32"/>
  <c r="U94" i="32"/>
  <c r="U125" i="32"/>
  <c r="U45" i="32"/>
  <c r="U80" i="32"/>
  <c r="U35" i="32"/>
  <c r="U100" i="32"/>
  <c r="U101" i="32"/>
  <c r="U86" i="32"/>
  <c r="U142" i="32"/>
  <c r="U97" i="32"/>
  <c r="U104" i="32"/>
  <c r="U9" i="32"/>
  <c r="U106" i="32"/>
  <c r="U20" i="32"/>
  <c r="U99" i="32"/>
  <c r="U109" i="32"/>
  <c r="U110" i="32"/>
  <c r="U111" i="32"/>
  <c r="U112" i="32"/>
  <c r="U159" i="32"/>
  <c r="U131" i="32"/>
  <c r="U91" i="32"/>
  <c r="U62" i="32"/>
  <c r="U78" i="32"/>
  <c r="U114" i="32"/>
  <c r="U36" i="32"/>
  <c r="U67" i="32"/>
  <c r="U119" i="32"/>
  <c r="U108" i="32"/>
  <c r="U181" i="32"/>
  <c r="U122" i="32"/>
  <c r="U123" i="32"/>
  <c r="U124" i="32"/>
  <c r="U113" i="32"/>
  <c r="U128" i="32"/>
  <c r="U107" i="32"/>
  <c r="U47" i="32"/>
  <c r="U129" i="32"/>
  <c r="U130" i="32"/>
  <c r="U132" i="32"/>
  <c r="U135" i="32"/>
  <c r="U134" i="32"/>
  <c r="U136" i="32"/>
  <c r="U121" i="32"/>
  <c r="U69" i="32"/>
  <c r="U139" i="32"/>
  <c r="U140" i="32"/>
  <c r="U141" i="32"/>
  <c r="U143" i="32"/>
  <c r="U54" i="32"/>
  <c r="U147" i="32"/>
  <c r="U105" i="32"/>
  <c r="U148" i="32"/>
  <c r="U115" i="32"/>
  <c r="U65" i="32"/>
  <c r="U150" i="32"/>
  <c r="U138" i="32"/>
  <c r="U174" i="32"/>
  <c r="U58" i="32"/>
  <c r="U95" i="32"/>
  <c r="U155" i="32"/>
  <c r="U156" i="32"/>
  <c r="U157" i="32"/>
  <c r="U158" i="32"/>
  <c r="U16" i="32"/>
  <c r="U21" i="32"/>
  <c r="U177" i="32"/>
  <c r="U40" i="32"/>
  <c r="U34" i="32"/>
  <c r="U164" i="32"/>
  <c r="U55" i="32"/>
  <c r="U51" i="32"/>
  <c r="U30" i="32"/>
  <c r="U26" i="32"/>
  <c r="U170" i="32"/>
  <c r="U168" i="32"/>
  <c r="U116" i="32"/>
  <c r="U172" i="32"/>
  <c r="U12" i="32"/>
  <c r="U178" i="32"/>
  <c r="U120" i="32"/>
  <c r="U176" i="32"/>
  <c r="U166" i="32"/>
  <c r="U179" i="32"/>
  <c r="U33" i="32"/>
  <c r="U180" i="32"/>
  <c r="U14" i="32"/>
  <c r="U182" i="32"/>
  <c r="U183" i="32"/>
  <c r="U4" i="32"/>
  <c r="B37" i="26"/>
  <c r="R137" i="32"/>
  <c r="R5" i="32"/>
  <c r="R7" i="32"/>
  <c r="R8" i="32"/>
  <c r="R167" i="32"/>
  <c r="R10" i="32"/>
  <c r="R11" i="32"/>
  <c r="R153" i="32"/>
  <c r="R72" i="32"/>
  <c r="R15" i="32"/>
  <c r="R52" i="32"/>
  <c r="R82" i="32"/>
  <c r="R79" i="32"/>
  <c r="R24" i="32"/>
  <c r="R165" i="32"/>
  <c r="R70" i="32"/>
  <c r="R27" i="32"/>
  <c r="R48" i="32"/>
  <c r="R102" i="32"/>
  <c r="R31" i="32"/>
  <c r="R98" i="32"/>
  <c r="R83" i="32"/>
  <c r="R13" i="32"/>
  <c r="R23" i="32"/>
  <c r="R38" i="32"/>
  <c r="R37" i="32"/>
  <c r="R6" i="32"/>
  <c r="R39" i="32"/>
  <c r="R169" i="32"/>
  <c r="R41" i="32"/>
  <c r="R42" i="32"/>
  <c r="R43" i="32"/>
  <c r="R44" i="32"/>
  <c r="R60" i="32"/>
  <c r="R145" i="32"/>
  <c r="R46" i="32"/>
  <c r="R50" i="32"/>
  <c r="R173" i="32"/>
  <c r="R126" i="32"/>
  <c r="R53" i="32"/>
  <c r="R133" i="32"/>
  <c r="R171" i="32"/>
  <c r="R56" i="32"/>
  <c r="R57" i="32"/>
  <c r="R149" i="32"/>
  <c r="R59" i="32"/>
  <c r="R25" i="32"/>
  <c r="R61" i="32"/>
  <c r="R81" i="32"/>
  <c r="R63" i="32"/>
  <c r="R64" i="32"/>
  <c r="R151" i="32"/>
  <c r="R29" i="32"/>
  <c r="R127" i="32"/>
  <c r="R161" i="32"/>
  <c r="R103" i="32"/>
  <c r="R117" i="32"/>
  <c r="R162" i="32"/>
  <c r="R71" i="32"/>
  <c r="R152" i="32"/>
  <c r="R73" i="32"/>
  <c r="R74" i="32"/>
  <c r="R75" i="32"/>
  <c r="R76" i="32"/>
  <c r="R49" i="32"/>
  <c r="R66" i="32"/>
  <c r="R154" i="32"/>
  <c r="R28" i="32"/>
  <c r="R32" i="32"/>
  <c r="R77" i="32"/>
  <c r="R118" i="32"/>
  <c r="R68" i="32"/>
  <c r="R163" i="32"/>
  <c r="R84" i="32"/>
  <c r="R85" i="32"/>
  <c r="R175" i="32"/>
  <c r="R87" i="32"/>
  <c r="R144" i="32"/>
  <c r="R88" i="32"/>
  <c r="R89" i="32"/>
  <c r="R90" i="32"/>
  <c r="R160" i="32"/>
  <c r="R146" i="32"/>
  <c r="R92" i="32"/>
  <c r="R93" i="32"/>
  <c r="R94" i="32"/>
  <c r="R125" i="32"/>
  <c r="R45" i="32"/>
  <c r="R80" i="32"/>
  <c r="R35" i="32"/>
  <c r="R100" i="32"/>
  <c r="R101" i="32"/>
  <c r="R86" i="32"/>
  <c r="R142" i="32"/>
  <c r="R97" i="32"/>
  <c r="R104" i="32"/>
  <c r="R9" i="32"/>
  <c r="R106" i="32"/>
  <c r="R20" i="32"/>
  <c r="R99" i="32"/>
  <c r="R109" i="32"/>
  <c r="R110" i="32"/>
  <c r="R111" i="32"/>
  <c r="R112" i="32"/>
  <c r="R159" i="32"/>
  <c r="R131" i="32"/>
  <c r="R91" i="32"/>
  <c r="R62" i="32"/>
  <c r="R78" i="32"/>
  <c r="R114" i="32"/>
  <c r="R36" i="32"/>
  <c r="R67" i="32"/>
  <c r="R119" i="32"/>
  <c r="R108" i="32"/>
  <c r="R181" i="32"/>
  <c r="R122" i="32"/>
  <c r="R123" i="32"/>
  <c r="R124" i="32"/>
  <c r="R113" i="32"/>
  <c r="R128" i="32"/>
  <c r="R107" i="32"/>
  <c r="R47" i="32"/>
  <c r="R129" i="32"/>
  <c r="R130" i="32"/>
  <c r="R132" i="32"/>
  <c r="R135" i="32"/>
  <c r="R134" i="32"/>
  <c r="R136" i="32"/>
  <c r="R121" i="32"/>
  <c r="R69" i="32"/>
  <c r="R139" i="32"/>
  <c r="R140" i="32"/>
  <c r="R141" i="32"/>
  <c r="R143" i="32"/>
  <c r="R54" i="32"/>
  <c r="R147" i="32"/>
  <c r="R105" i="32"/>
  <c r="R148" i="32"/>
  <c r="R115" i="32"/>
  <c r="R65" i="32"/>
  <c r="R150" i="32"/>
  <c r="R138" i="32"/>
  <c r="R174" i="32"/>
  <c r="R58" i="32"/>
  <c r="R95" i="32"/>
  <c r="R155" i="32"/>
  <c r="R156" i="32"/>
  <c r="R157" i="32"/>
  <c r="R158" i="32"/>
  <c r="R16" i="32"/>
  <c r="R21" i="32"/>
  <c r="R177" i="32"/>
  <c r="R40" i="32"/>
  <c r="R34" i="32"/>
  <c r="R164" i="32"/>
  <c r="R55" i="32"/>
  <c r="R51" i="32"/>
  <c r="R30" i="32"/>
  <c r="R26" i="32"/>
  <c r="R170" i="32"/>
  <c r="R168" i="32"/>
  <c r="R116" i="32"/>
  <c r="R172" i="32"/>
  <c r="R12" i="32"/>
  <c r="R178" i="32"/>
  <c r="R120" i="32"/>
  <c r="R176" i="32"/>
  <c r="R166" i="32"/>
  <c r="R179" i="32"/>
  <c r="R33" i="32"/>
  <c r="R180" i="32"/>
  <c r="R14" i="32"/>
  <c r="R182" i="32"/>
  <c r="R183" i="32"/>
  <c r="R4" i="32"/>
  <c r="I6" i="18"/>
  <c r="I7" i="18"/>
  <c r="I8" i="18"/>
  <c r="I9" i="18"/>
  <c r="I10" i="18"/>
  <c r="I11" i="18"/>
  <c r="I12" i="18"/>
  <c r="I13" i="18"/>
  <c r="I14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AB131" i="34" l="1"/>
  <c r="V200" i="28"/>
  <c r="AA114" i="28"/>
  <c r="P137" i="32"/>
  <c r="P5" i="32"/>
  <c r="P7" i="32"/>
  <c r="P8" i="32"/>
  <c r="P167" i="32"/>
  <c r="P10" i="32"/>
  <c r="P11" i="32"/>
  <c r="P153" i="32"/>
  <c r="P72" i="32"/>
  <c r="P15" i="32"/>
  <c r="P18" i="32"/>
  <c r="P19" i="32"/>
  <c r="P17" i="32"/>
  <c r="P52" i="32"/>
  <c r="P22" i="32"/>
  <c r="P82" i="32"/>
  <c r="P79" i="32"/>
  <c r="P24" i="32"/>
  <c r="P165" i="32"/>
  <c r="P70" i="32"/>
  <c r="P27" i="32"/>
  <c r="P48" i="32"/>
  <c r="P102" i="32"/>
  <c r="P31" i="32"/>
  <c r="P98" i="32"/>
  <c r="P83" i="32"/>
  <c r="P13" i="32"/>
  <c r="P23" i="32"/>
  <c r="P38" i="32"/>
  <c r="P37" i="32"/>
  <c r="P6" i="32"/>
  <c r="P39" i="32"/>
  <c r="P169" i="32"/>
  <c r="P41" i="32"/>
  <c r="P42" i="32"/>
  <c r="P43" i="32"/>
  <c r="P44" i="32"/>
  <c r="P60" i="32"/>
  <c r="P96" i="32"/>
  <c r="P145" i="32"/>
  <c r="P46" i="32"/>
  <c r="P50" i="32"/>
  <c r="P173" i="32"/>
  <c r="P126" i="32"/>
  <c r="P53" i="32"/>
  <c r="P133" i="32"/>
  <c r="P171" i="32"/>
  <c r="P56" i="32"/>
  <c r="P57" i="32"/>
  <c r="P149" i="32"/>
  <c r="P59" i="32"/>
  <c r="P25" i="32"/>
  <c r="P61" i="32"/>
  <c r="P81" i="32"/>
  <c r="P63" i="32"/>
  <c r="P64" i="32"/>
  <c r="P151" i="32"/>
  <c r="P29" i="32"/>
  <c r="P127" i="32"/>
  <c r="P161" i="32"/>
  <c r="P103" i="32"/>
  <c r="P117" i="32"/>
  <c r="P162" i="32"/>
  <c r="P71" i="32"/>
  <c r="P152" i="32"/>
  <c r="P73" i="32"/>
  <c r="P74" i="32"/>
  <c r="P75" i="32"/>
  <c r="P76" i="32"/>
  <c r="P49" i="32"/>
  <c r="P66" i="32"/>
  <c r="P154" i="32"/>
  <c r="P28" i="32"/>
  <c r="P32" i="32"/>
  <c r="P77" i="32"/>
  <c r="P118" i="32"/>
  <c r="P68" i="32"/>
  <c r="P163" i="32"/>
  <c r="P84" i="32"/>
  <c r="P85" i="32"/>
  <c r="P175" i="32"/>
  <c r="P87" i="32"/>
  <c r="P144" i="32"/>
  <c r="P88" i="32"/>
  <c r="P89" i="32"/>
  <c r="P90" i="32"/>
  <c r="P160" i="32"/>
  <c r="P92" i="32"/>
  <c r="P93" i="32"/>
  <c r="P94" i="32"/>
  <c r="P125" i="32"/>
  <c r="P80" i="32"/>
  <c r="P35" i="32"/>
  <c r="P100" i="32"/>
  <c r="P101" i="32"/>
  <c r="P86" i="32"/>
  <c r="P142" i="32"/>
  <c r="P97" i="32"/>
  <c r="P104" i="32"/>
  <c r="P9" i="32"/>
  <c r="P106" i="32"/>
  <c r="P20" i="32"/>
  <c r="P99" i="32"/>
  <c r="P109" i="32"/>
  <c r="P110" i="32"/>
  <c r="P111" i="32"/>
  <c r="P112" i="32"/>
  <c r="P159" i="32"/>
  <c r="P131" i="32"/>
  <c r="P91" i="32"/>
  <c r="P62" i="32"/>
  <c r="P78" i="32"/>
  <c r="P114" i="32"/>
  <c r="P36" i="32"/>
  <c r="P67" i="32"/>
  <c r="P119" i="32"/>
  <c r="P108" i="32"/>
  <c r="P181" i="32"/>
  <c r="P122" i="32"/>
  <c r="P124" i="32"/>
  <c r="P113" i="32"/>
  <c r="P128" i="32"/>
  <c r="P107" i="32"/>
  <c r="P47" i="32"/>
  <c r="P129" i="32"/>
  <c r="P130" i="32"/>
  <c r="P132" i="32"/>
  <c r="P135" i="32"/>
  <c r="P134" i="32"/>
  <c r="P136" i="32"/>
  <c r="P121" i="32"/>
  <c r="P69" i="32"/>
  <c r="P139" i="32"/>
  <c r="P140" i="32"/>
  <c r="P141" i="32"/>
  <c r="P143" i="32"/>
  <c r="P54" i="32"/>
  <c r="P147" i="32"/>
  <c r="P105" i="32"/>
  <c r="P148" i="32"/>
  <c r="P115" i="32"/>
  <c r="P65" i="32"/>
  <c r="P150" i="32"/>
  <c r="P138" i="32"/>
  <c r="P174" i="32"/>
  <c r="P58" i="32"/>
  <c r="P95" i="32"/>
  <c r="P155" i="32"/>
  <c r="P156" i="32"/>
  <c r="P158" i="32"/>
  <c r="P16" i="32"/>
  <c r="P21" i="32"/>
  <c r="P177" i="32"/>
  <c r="P40" i="32"/>
  <c r="P34" i="32"/>
  <c r="P164" i="32"/>
  <c r="P55" i="32"/>
  <c r="P51" i="32"/>
  <c r="P30" i="32"/>
  <c r="P26" i="32"/>
  <c r="P170" i="32"/>
  <c r="P168" i="32"/>
  <c r="P116" i="32"/>
  <c r="P172" i="32"/>
  <c r="P12" i="32"/>
  <c r="P178" i="32"/>
  <c r="P120" i="32"/>
  <c r="P176" i="32"/>
  <c r="P166" i="32"/>
  <c r="P179" i="32"/>
  <c r="P33" i="32"/>
  <c r="P180" i="32"/>
  <c r="P14" i="32"/>
  <c r="P182" i="32"/>
  <c r="P183" i="32"/>
  <c r="P4" i="32"/>
  <c r="B7" i="18"/>
  <c r="B8" i="18"/>
  <c r="B9" i="18"/>
  <c r="B10" i="18"/>
  <c r="B11" i="18"/>
  <c r="B12" i="18"/>
  <c r="B13" i="18"/>
  <c r="B14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H8" i="18"/>
  <c r="H9" i="18"/>
  <c r="H10" i="18"/>
  <c r="H11" i="18"/>
  <c r="H12" i="18"/>
  <c r="H13" i="18"/>
  <c r="H14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C7" i="18"/>
  <c r="C8" i="18"/>
  <c r="C9" i="18"/>
  <c r="C10" i="18"/>
  <c r="C11" i="18"/>
  <c r="C12" i="18"/>
  <c r="C13" i="18"/>
  <c r="C14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4" i="18"/>
  <c r="D7" i="18"/>
  <c r="D8" i="18"/>
  <c r="D9" i="18"/>
  <c r="D10" i="18"/>
  <c r="D11" i="18"/>
  <c r="D12" i="18"/>
  <c r="D13" i="18"/>
  <c r="D14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G7" i="18"/>
  <c r="G8" i="18"/>
  <c r="G9" i="18"/>
  <c r="G10" i="18"/>
  <c r="G11" i="18"/>
  <c r="G12" i="18"/>
  <c r="G13" i="18"/>
  <c r="G14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E7" i="18"/>
  <c r="E8" i="18"/>
  <c r="E9" i="18"/>
  <c r="P9" i="18" s="1"/>
  <c r="E10" i="18"/>
  <c r="E11" i="18"/>
  <c r="E12" i="18"/>
  <c r="E13" i="18"/>
  <c r="E14" i="18"/>
  <c r="E16" i="18"/>
  <c r="E17" i="18"/>
  <c r="E18" i="18"/>
  <c r="E19" i="18"/>
  <c r="P19" i="18" s="1"/>
  <c r="E20" i="18"/>
  <c r="E21" i="18"/>
  <c r="E22" i="18"/>
  <c r="E23" i="18"/>
  <c r="E24" i="18"/>
  <c r="E25" i="18"/>
  <c r="P25" i="18" s="1"/>
  <c r="E26" i="18"/>
  <c r="E27" i="18"/>
  <c r="E28" i="18"/>
  <c r="E29" i="18"/>
  <c r="E30" i="18"/>
  <c r="E31" i="18"/>
  <c r="E32" i="18"/>
  <c r="E33" i="18"/>
  <c r="E34" i="18"/>
  <c r="P34" i="18" s="1"/>
  <c r="E35" i="18"/>
  <c r="E36" i="18"/>
  <c r="E37" i="18"/>
  <c r="E38" i="18"/>
  <c r="E39" i="18"/>
  <c r="E40" i="18"/>
  <c r="P40" i="18" s="1"/>
  <c r="E41" i="18"/>
  <c r="P41" i="18" s="1"/>
  <c r="E42" i="18"/>
  <c r="P42" i="18" s="1"/>
  <c r="E43" i="18"/>
  <c r="E44" i="18"/>
  <c r="P44" i="18" s="1"/>
  <c r="E45" i="18"/>
  <c r="P45" i="18" s="1"/>
  <c r="E46" i="18"/>
  <c r="E47" i="18"/>
  <c r="E48" i="18"/>
  <c r="E49" i="18"/>
  <c r="E50" i="18"/>
  <c r="E51" i="18"/>
  <c r="E52" i="18"/>
  <c r="P52" i="18" s="1"/>
  <c r="E53" i="18"/>
  <c r="E54" i="18"/>
  <c r="F7" i="18"/>
  <c r="F8" i="18"/>
  <c r="F9" i="18"/>
  <c r="F10" i="18"/>
  <c r="F11" i="18"/>
  <c r="F12" i="18"/>
  <c r="F13" i="18"/>
  <c r="F14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6" i="18"/>
  <c r="AJ6" i="28"/>
  <c r="T137" i="32" s="1"/>
  <c r="AJ7" i="28"/>
  <c r="T5" i="32" s="1"/>
  <c r="AJ8" i="28"/>
  <c r="T6" i="32" s="1"/>
  <c r="AJ9" i="28"/>
  <c r="T7" i="32" s="1"/>
  <c r="AJ10" i="28"/>
  <c r="T8" i="32" s="1"/>
  <c r="AJ11" i="28"/>
  <c r="T167" i="32" s="1"/>
  <c r="AJ12" i="28"/>
  <c r="T10" i="32" s="1"/>
  <c r="AJ13" i="28"/>
  <c r="T11" i="32" s="1"/>
  <c r="AJ14" i="28"/>
  <c r="T153" i="32" s="1"/>
  <c r="AJ16" i="28"/>
  <c r="T72" i="32" s="1"/>
  <c r="AJ17" i="28"/>
  <c r="T33" i="32" s="1"/>
  <c r="AJ18" i="28"/>
  <c r="T15" i="32" s="1"/>
  <c r="AJ19" i="28"/>
  <c r="T16" i="32" s="1"/>
  <c r="T79" i="32"/>
  <c r="AJ21" i="28"/>
  <c r="T18" i="32" s="1"/>
  <c r="AJ22" i="28"/>
  <c r="T19" i="32" s="1"/>
  <c r="AJ23" i="28"/>
  <c r="T17" i="32" s="1"/>
  <c r="AJ24" i="28"/>
  <c r="T52" i="32" s="1"/>
  <c r="AJ25" i="28"/>
  <c r="T22" i="32" s="1"/>
  <c r="AJ26" i="28"/>
  <c r="T82" i="32" s="1"/>
  <c r="AJ27" i="28"/>
  <c r="T24" i="32" s="1"/>
  <c r="AJ28" i="28"/>
  <c r="T165" i="32" s="1"/>
  <c r="AJ29" i="28"/>
  <c r="T70" i="32" s="1"/>
  <c r="AJ30" i="28"/>
  <c r="T27" i="32" s="1"/>
  <c r="AJ31" i="28"/>
  <c r="T28" i="32" s="1"/>
  <c r="AJ32" i="28"/>
  <c r="T48" i="32" s="1"/>
  <c r="AJ33" i="28"/>
  <c r="T102" i="32" s="1"/>
  <c r="AJ34" i="28"/>
  <c r="T31" i="32" s="1"/>
  <c r="AJ35" i="28"/>
  <c r="T32" i="32" s="1"/>
  <c r="AJ36" i="28"/>
  <c r="T98" i="32" s="1"/>
  <c r="AJ37" i="28"/>
  <c r="T83" i="32" s="1"/>
  <c r="AJ38" i="28"/>
  <c r="T13" i="32" s="1"/>
  <c r="AJ39" i="28"/>
  <c r="T23" i="32" s="1"/>
  <c r="AJ40" i="28"/>
  <c r="T37" i="32" s="1"/>
  <c r="AJ41" i="28"/>
  <c r="T38" i="32" s="1"/>
  <c r="AJ42" i="28"/>
  <c r="AJ43" i="28"/>
  <c r="T169" i="32" s="1"/>
  <c r="AJ44" i="28"/>
  <c r="T41" i="32" s="1"/>
  <c r="AJ45" i="28"/>
  <c r="T42" i="32" s="1"/>
  <c r="AJ46" i="28"/>
  <c r="T43" i="32" s="1"/>
  <c r="AJ47" i="28"/>
  <c r="T44" i="32" s="1"/>
  <c r="AJ48" i="28"/>
  <c r="T60" i="32" s="1"/>
  <c r="AJ49" i="28"/>
  <c r="T96" i="32" s="1"/>
  <c r="AJ50" i="28"/>
  <c r="T145" i="32" s="1"/>
  <c r="AJ51" i="28"/>
  <c r="T46" i="32" s="1"/>
  <c r="AJ52" i="28"/>
  <c r="T49" i="32" s="1"/>
  <c r="AJ53" i="28"/>
  <c r="T50" i="32" s="1"/>
  <c r="AJ54" i="28"/>
  <c r="T173" i="32" s="1"/>
  <c r="AJ55" i="28"/>
  <c r="T126" i="32" s="1"/>
  <c r="AJ56" i="28"/>
  <c r="T53" i="32" s="1"/>
  <c r="AJ57" i="28"/>
  <c r="T185" i="32" s="1"/>
  <c r="AJ58" i="28"/>
  <c r="T133" i="32" s="1"/>
  <c r="AJ59" i="28"/>
  <c r="T171" i="32" s="1"/>
  <c r="AJ60" i="28"/>
  <c r="T56" i="32" s="1"/>
  <c r="AJ61" i="28"/>
  <c r="T57" i="32" s="1"/>
  <c r="AJ62" i="28"/>
  <c r="T149" i="32" s="1"/>
  <c r="AJ63" i="28"/>
  <c r="T59" i="32" s="1"/>
  <c r="AJ64" i="28"/>
  <c r="T55" i="32" s="1"/>
  <c r="AJ65" i="28"/>
  <c r="T61" i="32" s="1"/>
  <c r="AJ66" i="28"/>
  <c r="T81" i="32" s="1"/>
  <c r="AJ67" i="28"/>
  <c r="T63" i="32" s="1"/>
  <c r="AJ68" i="28"/>
  <c r="T64" i="32" s="1"/>
  <c r="AJ69" i="28"/>
  <c r="T151" i="32" s="1"/>
  <c r="T127" i="32"/>
  <c r="T161" i="32"/>
  <c r="AJ72" i="28"/>
  <c r="T103" i="32" s="1"/>
  <c r="AJ73" i="28"/>
  <c r="T117" i="32" s="1"/>
  <c r="AJ74" i="28"/>
  <c r="T162" i="32" s="1"/>
  <c r="AJ75" i="28"/>
  <c r="T71" i="32" s="1"/>
  <c r="AJ76" i="28"/>
  <c r="T152" i="32" s="1"/>
  <c r="AJ77" i="28"/>
  <c r="T73" i="32" s="1"/>
  <c r="AJ78" i="28"/>
  <c r="T74" i="32" s="1"/>
  <c r="AJ79" i="28"/>
  <c r="T75" i="32" s="1"/>
  <c r="AJ80" i="28"/>
  <c r="T76" i="32" s="1"/>
  <c r="AJ81" i="28"/>
  <c r="T77" i="32" s="1"/>
  <c r="AJ82" i="28"/>
  <c r="T66" i="32" s="1"/>
  <c r="AJ83" i="28"/>
  <c r="T154" i="32" s="1"/>
  <c r="AJ84" i="28"/>
  <c r="T142" i="32" s="1"/>
  <c r="AJ85" i="28"/>
  <c r="T91" i="32" s="1"/>
  <c r="AJ86" i="28"/>
  <c r="T68" i="32" s="1"/>
  <c r="AJ87" i="28"/>
  <c r="T163" i="32" s="1"/>
  <c r="AJ88" i="28"/>
  <c r="T84" i="32" s="1"/>
  <c r="AJ89" i="28"/>
  <c r="T85" i="32" s="1"/>
  <c r="AJ90" i="28"/>
  <c r="T175" i="32" s="1"/>
  <c r="AJ91" i="28"/>
  <c r="T87" i="32" s="1"/>
  <c r="AJ92" i="28"/>
  <c r="T88" i="32" s="1"/>
  <c r="AJ93" i="28"/>
  <c r="T89" i="32" s="1"/>
  <c r="AJ94" i="28"/>
  <c r="T90" i="32" s="1"/>
  <c r="AJ95" i="28"/>
  <c r="T116" i="32" s="1"/>
  <c r="AJ96" i="28"/>
  <c r="T92" i="32" s="1"/>
  <c r="AJ97" i="28"/>
  <c r="T93" i="32" s="1"/>
  <c r="AJ98" i="28"/>
  <c r="T94" i="32" s="1"/>
  <c r="AJ99" i="28"/>
  <c r="T125" i="32" s="1"/>
  <c r="AJ100" i="28"/>
  <c r="T45" i="32" s="1"/>
  <c r="AJ101" i="28"/>
  <c r="T80" i="32" s="1"/>
  <c r="AJ102" i="28"/>
  <c r="T35" i="32" s="1"/>
  <c r="AJ103" i="28"/>
  <c r="T100" i="32" s="1"/>
  <c r="AJ104" i="28"/>
  <c r="T101" i="32" s="1"/>
  <c r="AJ105" i="28"/>
  <c r="T186" i="32" s="1"/>
  <c r="AJ106" i="28"/>
  <c r="T86" i="32" s="1"/>
  <c r="AJ107" i="28"/>
  <c r="T97" i="32" s="1"/>
  <c r="AJ108" i="28"/>
  <c r="T104" i="32" s="1"/>
  <c r="AJ109" i="28"/>
  <c r="T9" i="32" s="1"/>
  <c r="AJ110" i="28"/>
  <c r="T106" i="32" s="1"/>
  <c r="AJ111" i="28"/>
  <c r="T20" i="32" s="1"/>
  <c r="AJ112" i="28"/>
  <c r="T99" i="32" s="1"/>
  <c r="AJ113" i="28"/>
  <c r="T109" i="32" s="1"/>
  <c r="AJ114" i="28"/>
  <c r="T110" i="32" s="1"/>
  <c r="AJ115" i="28"/>
  <c r="T111" i="32" s="1"/>
  <c r="AJ116" i="28"/>
  <c r="T112" i="32" s="1"/>
  <c r="AJ117" i="28"/>
  <c r="T159" i="32" s="1"/>
  <c r="AJ118" i="28"/>
  <c r="T114" i="32" s="1"/>
  <c r="AJ119" i="28"/>
  <c r="T36" i="32" s="1"/>
  <c r="AJ120" i="28"/>
  <c r="T62" i="32" s="1"/>
  <c r="AJ121" i="28"/>
  <c r="T67" i="32" s="1"/>
  <c r="AJ122" i="28"/>
  <c r="T118" i="32" s="1"/>
  <c r="AJ123" i="28"/>
  <c r="T119" i="32" s="1"/>
  <c r="AJ124" i="28"/>
  <c r="T108" i="32" s="1"/>
  <c r="AJ125" i="28"/>
  <c r="T181" i="32" s="1"/>
  <c r="AJ127" i="28"/>
  <c r="T122" i="32" s="1"/>
  <c r="AJ128" i="28"/>
  <c r="T123" i="32" s="1"/>
  <c r="AJ129" i="28"/>
  <c r="T124" i="32" s="1"/>
  <c r="AJ130" i="28"/>
  <c r="T78" i="32" s="1"/>
  <c r="AJ131" i="28"/>
  <c r="T113" i="32" s="1"/>
  <c r="AJ132" i="28"/>
  <c r="T107" i="32" s="1"/>
  <c r="AJ133" i="28"/>
  <c r="T128" i="32" s="1"/>
  <c r="AJ134" i="28"/>
  <c r="T129" i="32" s="1"/>
  <c r="AJ135" i="28"/>
  <c r="T130" i="32" s="1"/>
  <c r="AJ136" i="28"/>
  <c r="T47" i="32" s="1"/>
  <c r="AJ137" i="28"/>
  <c r="T132" i="32" s="1"/>
  <c r="AJ138" i="28"/>
  <c r="T160" i="32" s="1"/>
  <c r="AJ139" i="28"/>
  <c r="T134" i="32" s="1"/>
  <c r="AJ140" i="28"/>
  <c r="T135" i="32" s="1"/>
  <c r="AJ141" i="28"/>
  <c r="T136" i="32" s="1"/>
  <c r="AJ142" i="28"/>
  <c r="T121" i="32" s="1"/>
  <c r="AJ143" i="28"/>
  <c r="T69" i="32" s="1"/>
  <c r="AJ144" i="28"/>
  <c r="T139" i="32" s="1"/>
  <c r="AJ145" i="28"/>
  <c r="T140" i="32" s="1"/>
  <c r="AJ146" i="28"/>
  <c r="T141" i="32" s="1"/>
  <c r="AJ147" i="28"/>
  <c r="T143" i="32" s="1"/>
  <c r="AJ148" i="28"/>
  <c r="T188" i="32" s="1"/>
  <c r="AJ149" i="28"/>
  <c r="T29" i="32" s="1"/>
  <c r="AJ150" i="28"/>
  <c r="T189" i="32" s="1"/>
  <c r="AJ151" i="28"/>
  <c r="T144" i="32" s="1"/>
  <c r="AJ152" i="28"/>
  <c r="T54" i="32" s="1"/>
  <c r="AJ153" i="28"/>
  <c r="T146" i="32" s="1"/>
  <c r="AJ154" i="28"/>
  <c r="T147" i="32" s="1"/>
  <c r="AJ155" i="28"/>
  <c r="T148" i="32" s="1"/>
  <c r="AJ156" i="28"/>
  <c r="T115" i="32" s="1"/>
  <c r="AJ157" i="28"/>
  <c r="T150" i="32" s="1"/>
  <c r="AJ158" i="28"/>
  <c r="T190" i="32" s="1"/>
  <c r="AJ159" i="28"/>
  <c r="T138" i="32" s="1"/>
  <c r="AJ160" i="28"/>
  <c r="T174" i="32" s="1"/>
  <c r="AJ161" i="28"/>
  <c r="T58" i="32" s="1"/>
  <c r="AJ162" i="28"/>
  <c r="T95" i="32" s="1"/>
  <c r="AJ163" i="28"/>
  <c r="T155" i="32" s="1"/>
  <c r="AJ164" i="28"/>
  <c r="T156" i="32" s="1"/>
  <c r="AJ165" i="28"/>
  <c r="T157" i="32" s="1"/>
  <c r="AJ166" i="28"/>
  <c r="T158" i="32" s="1"/>
  <c r="AJ167" i="28"/>
  <c r="T21" i="32" s="1"/>
  <c r="AJ168" i="28"/>
  <c r="T177" i="32" s="1"/>
  <c r="AJ169" i="28"/>
  <c r="T40" i="32" s="1"/>
  <c r="AJ170" i="28"/>
  <c r="T105" i="32" s="1"/>
  <c r="AJ171" i="28"/>
  <c r="T34" i="32" s="1"/>
  <c r="AJ172" i="28"/>
  <c r="T164" i="32" s="1"/>
  <c r="AJ173" i="28"/>
  <c r="T25" i="32" s="1"/>
  <c r="AJ174" i="28"/>
  <c r="T65" i="32" s="1"/>
  <c r="AJ175" i="28"/>
  <c r="T51" i="32" s="1"/>
  <c r="AJ176" i="28"/>
  <c r="T191" i="32" s="1"/>
  <c r="AJ178" i="28"/>
  <c r="T193" i="32" s="1"/>
  <c r="AJ179" i="28"/>
  <c r="T30" i="32" s="1"/>
  <c r="AJ180" i="28"/>
  <c r="T26" i="32" s="1"/>
  <c r="AJ181" i="28"/>
  <c r="T170" i="32" s="1"/>
  <c r="AJ182" i="28"/>
  <c r="T168" i="32" s="1"/>
  <c r="AJ183" i="28"/>
  <c r="T194" i="32" s="1"/>
  <c r="AJ184" i="28"/>
  <c r="T172" i="32" s="1"/>
  <c r="AJ186" i="28"/>
  <c r="T12" i="32" s="1"/>
  <c r="AJ187" i="28"/>
  <c r="T178" i="32" s="1"/>
  <c r="AJ188" i="28"/>
  <c r="T120" i="32" s="1"/>
  <c r="AJ189" i="28"/>
  <c r="T176" i="32" s="1"/>
  <c r="AJ190" i="28"/>
  <c r="T131" i="32" s="1"/>
  <c r="AJ191" i="28"/>
  <c r="T166" i="32" s="1"/>
  <c r="AJ192" i="28"/>
  <c r="T179" i="32" s="1"/>
  <c r="AJ193" i="28"/>
  <c r="T180" i="32" s="1"/>
  <c r="AJ194" i="28"/>
  <c r="T14" i="32" s="1"/>
  <c r="AJ195" i="28"/>
  <c r="T196" i="32" s="1"/>
  <c r="AJ196" i="28"/>
  <c r="T182" i="32" s="1"/>
  <c r="AJ197" i="28"/>
  <c r="T183" i="32" s="1"/>
  <c r="AJ198" i="28"/>
  <c r="T4" i="32" s="1"/>
  <c r="AJ7" i="18"/>
  <c r="AA5" i="32" s="1"/>
  <c r="AJ8" i="18"/>
  <c r="AA6" i="32" s="1"/>
  <c r="AJ9" i="18"/>
  <c r="AA7" i="32" s="1"/>
  <c r="AJ10" i="18"/>
  <c r="AA8" i="32" s="1"/>
  <c r="AJ11" i="18"/>
  <c r="AA167" i="32" s="1"/>
  <c r="AJ12" i="18"/>
  <c r="AA10" i="32" s="1"/>
  <c r="AJ13" i="18"/>
  <c r="AA11" i="32" s="1"/>
  <c r="AJ14" i="18"/>
  <c r="AA153" i="32" s="1"/>
  <c r="AJ16" i="18"/>
  <c r="AA72" i="32" s="1"/>
  <c r="AJ17" i="18"/>
  <c r="AA33" i="32" s="1"/>
  <c r="AJ18" i="18"/>
  <c r="AA15" i="32" s="1"/>
  <c r="AJ19" i="18"/>
  <c r="AA16" i="32" s="1"/>
  <c r="AJ20" i="18"/>
  <c r="AA79" i="32" s="1"/>
  <c r="AJ21" i="18"/>
  <c r="AA18" i="32" s="1"/>
  <c r="AJ22" i="18"/>
  <c r="AA19" i="32" s="1"/>
  <c r="AJ23" i="18"/>
  <c r="AA17" i="32" s="1"/>
  <c r="AJ24" i="18"/>
  <c r="AA52" i="32" s="1"/>
  <c r="AJ25" i="18"/>
  <c r="AA22" i="32" s="1"/>
  <c r="AJ26" i="18"/>
  <c r="AA82" i="32" s="1"/>
  <c r="AJ27" i="18"/>
  <c r="AA24" i="32" s="1"/>
  <c r="AJ28" i="18"/>
  <c r="AA165" i="32" s="1"/>
  <c r="AJ29" i="18"/>
  <c r="AA70" i="32" s="1"/>
  <c r="AJ30" i="18"/>
  <c r="AA27" i="32" s="1"/>
  <c r="AJ31" i="18"/>
  <c r="AA28" i="32" s="1"/>
  <c r="AJ32" i="18"/>
  <c r="AA48" i="32" s="1"/>
  <c r="AJ33" i="18"/>
  <c r="AA102" i="32" s="1"/>
  <c r="AJ34" i="18"/>
  <c r="AA31" i="32" s="1"/>
  <c r="AJ35" i="18"/>
  <c r="AA32" i="32" s="1"/>
  <c r="AJ36" i="18"/>
  <c r="AA98" i="32" s="1"/>
  <c r="AJ37" i="18"/>
  <c r="AA83" i="32" s="1"/>
  <c r="AJ38" i="18"/>
  <c r="AA13" i="32" s="1"/>
  <c r="AJ39" i="18"/>
  <c r="AA23" i="32" s="1"/>
  <c r="AJ40" i="18"/>
  <c r="AA37" i="32" s="1"/>
  <c r="AJ41" i="18"/>
  <c r="AA38" i="32" s="1"/>
  <c r="AJ42" i="18"/>
  <c r="AA39" i="32" s="1"/>
  <c r="AJ43" i="18"/>
  <c r="AA169" i="32" s="1"/>
  <c r="AJ44" i="18"/>
  <c r="AA41" i="32" s="1"/>
  <c r="AJ45" i="18"/>
  <c r="AA42" i="32" s="1"/>
  <c r="AJ46" i="18"/>
  <c r="AA43" i="32" s="1"/>
  <c r="AJ47" i="18"/>
  <c r="AA44" i="32" s="1"/>
  <c r="AJ48" i="18"/>
  <c r="AA60" i="32" s="1"/>
  <c r="AJ49" i="18"/>
  <c r="AA96" i="32" s="1"/>
  <c r="AJ50" i="18"/>
  <c r="AA145" i="32" s="1"/>
  <c r="AJ51" i="18"/>
  <c r="AA46" i="32" s="1"/>
  <c r="AJ52" i="18"/>
  <c r="AA49" i="32" s="1"/>
  <c r="AJ53" i="18"/>
  <c r="AA50" i="32" s="1"/>
  <c r="AJ54" i="18"/>
  <c r="AA173" i="32" s="1"/>
  <c r="AJ55" i="18"/>
  <c r="AA126" i="32" s="1"/>
  <c r="AA53" i="32"/>
  <c r="AJ57" i="18"/>
  <c r="AA133" i="32" s="1"/>
  <c r="AJ58" i="18"/>
  <c r="AA171" i="32" s="1"/>
  <c r="AJ59" i="18"/>
  <c r="AA56" i="32" s="1"/>
  <c r="AJ60" i="18"/>
  <c r="AA57" i="32" s="1"/>
  <c r="AJ61" i="18"/>
  <c r="AA149" i="32" s="1"/>
  <c r="AJ62" i="18"/>
  <c r="AA59" i="32" s="1"/>
  <c r="AJ63" i="18"/>
  <c r="AA55" i="32" s="1"/>
  <c r="AJ64" i="18"/>
  <c r="AA61" i="32" s="1"/>
  <c r="AJ65" i="18"/>
  <c r="AA81" i="32" s="1"/>
  <c r="AJ66" i="18"/>
  <c r="AA63" i="32" s="1"/>
  <c r="AJ67" i="18"/>
  <c r="AA64" i="32" s="1"/>
  <c r="AJ68" i="18"/>
  <c r="AA151" i="32" s="1"/>
  <c r="AJ69" i="18"/>
  <c r="AA127" i="32" s="1"/>
  <c r="AJ70" i="18"/>
  <c r="AA161" i="32" s="1"/>
  <c r="AJ71" i="18"/>
  <c r="AA103" i="32" s="1"/>
  <c r="AJ72" i="18"/>
  <c r="AA117" i="32" s="1"/>
  <c r="AJ73" i="18"/>
  <c r="AA162" i="32" s="1"/>
  <c r="AJ74" i="18"/>
  <c r="AA71" i="32" s="1"/>
  <c r="AJ75" i="18"/>
  <c r="AA152" i="32" s="1"/>
  <c r="AJ76" i="18"/>
  <c r="AA73" i="32" s="1"/>
  <c r="AJ77" i="18"/>
  <c r="AA74" i="32" s="1"/>
  <c r="AJ78" i="18"/>
  <c r="AA75" i="32" s="1"/>
  <c r="AJ79" i="18"/>
  <c r="AA76" i="32" s="1"/>
  <c r="AJ80" i="18"/>
  <c r="AA77" i="32" s="1"/>
  <c r="AJ81" i="18"/>
  <c r="AA66" i="32" s="1"/>
  <c r="AJ82" i="18"/>
  <c r="AA154" i="32" s="1"/>
  <c r="AJ83" i="18"/>
  <c r="AA142" i="32" s="1"/>
  <c r="AJ84" i="18"/>
  <c r="AA91" i="32" s="1"/>
  <c r="AJ85" i="18"/>
  <c r="AA68" i="32" s="1"/>
  <c r="AJ86" i="18"/>
  <c r="AA163" i="32" s="1"/>
  <c r="AJ87" i="18"/>
  <c r="AA84" i="32" s="1"/>
  <c r="AJ88" i="18"/>
  <c r="AA85" i="32" s="1"/>
  <c r="AJ89" i="18"/>
  <c r="AA175" i="32" s="1"/>
  <c r="AJ90" i="18"/>
  <c r="AA87" i="32" s="1"/>
  <c r="AJ91" i="18"/>
  <c r="AA88" i="32" s="1"/>
  <c r="AJ92" i="18"/>
  <c r="AA89" i="32" s="1"/>
  <c r="AJ93" i="18"/>
  <c r="AA90" i="32" s="1"/>
  <c r="AJ94" i="18"/>
  <c r="AA116" i="32" s="1"/>
  <c r="AJ95" i="18"/>
  <c r="AA92" i="32" s="1"/>
  <c r="AJ96" i="18"/>
  <c r="AA93" i="32" s="1"/>
  <c r="AJ97" i="18"/>
  <c r="AA94" i="32" s="1"/>
  <c r="AJ98" i="18"/>
  <c r="AA125" i="32" s="1"/>
  <c r="AJ99" i="18"/>
  <c r="AA45" i="32" s="1"/>
  <c r="AJ100" i="18"/>
  <c r="AA80" i="32" s="1"/>
  <c r="AJ101" i="18"/>
  <c r="AA35" i="32" s="1"/>
  <c r="AJ102" i="18"/>
  <c r="AA100" i="32" s="1"/>
  <c r="AJ103" i="18"/>
  <c r="AA101" i="32" s="1"/>
  <c r="AJ104" i="18"/>
  <c r="AA86" i="32" s="1"/>
  <c r="AJ105" i="18"/>
  <c r="AA97" i="32" s="1"/>
  <c r="AJ106" i="18"/>
  <c r="AA104" i="32" s="1"/>
  <c r="AJ107" i="18"/>
  <c r="AA9" i="32" s="1"/>
  <c r="AJ108" i="18"/>
  <c r="AA106" i="32" s="1"/>
  <c r="AJ109" i="18"/>
  <c r="AA20" i="32" s="1"/>
  <c r="AJ110" i="18"/>
  <c r="AA99" i="32" s="1"/>
  <c r="AJ111" i="18"/>
  <c r="AA109" i="32" s="1"/>
  <c r="AJ112" i="18"/>
  <c r="AA110" i="32" s="1"/>
  <c r="AJ113" i="18"/>
  <c r="AA111" i="32" s="1"/>
  <c r="AJ114" i="18"/>
  <c r="AA112" i="32" s="1"/>
  <c r="AJ115" i="18"/>
  <c r="AA159" i="32" s="1"/>
  <c r="AJ116" i="18"/>
  <c r="AA114" i="32" s="1"/>
  <c r="AJ117" i="18"/>
  <c r="AA36" i="32" s="1"/>
  <c r="AJ118" i="18"/>
  <c r="AA62" i="32" s="1"/>
  <c r="AJ119" i="18"/>
  <c r="AA67" i="32" s="1"/>
  <c r="AJ120" i="18"/>
  <c r="AA118" i="32" s="1"/>
  <c r="AJ121" i="18"/>
  <c r="AA119" i="32" s="1"/>
  <c r="AJ122" i="18"/>
  <c r="AA108" i="32" s="1"/>
  <c r="AJ123" i="18"/>
  <c r="AJ125" i="18"/>
  <c r="AA122" i="32" s="1"/>
  <c r="AJ126" i="18"/>
  <c r="AA123" i="32" s="1"/>
  <c r="AJ127" i="18"/>
  <c r="AA124" i="32" s="1"/>
  <c r="AJ128" i="18"/>
  <c r="AA78" i="32" s="1"/>
  <c r="AJ129" i="18"/>
  <c r="AA113" i="32" s="1"/>
  <c r="AJ130" i="18"/>
  <c r="AA107" i="32" s="1"/>
  <c r="AJ131" i="18"/>
  <c r="AA128" i="32" s="1"/>
  <c r="AJ132" i="18"/>
  <c r="AA129" i="32" s="1"/>
  <c r="AJ133" i="18"/>
  <c r="AA130" i="32" s="1"/>
  <c r="AJ134" i="18"/>
  <c r="AA47" i="32" s="1"/>
  <c r="AJ135" i="18"/>
  <c r="AA132" i="32" s="1"/>
  <c r="AJ136" i="18"/>
  <c r="AA160" i="32" s="1"/>
  <c r="AJ137" i="18"/>
  <c r="AA134" i="32" s="1"/>
  <c r="AJ138" i="18"/>
  <c r="AA135" i="32" s="1"/>
  <c r="AJ139" i="18"/>
  <c r="AA136" i="32" s="1"/>
  <c r="AJ140" i="18"/>
  <c r="AA121" i="32" s="1"/>
  <c r="AJ141" i="18"/>
  <c r="AA69" i="32" s="1"/>
  <c r="AJ142" i="18"/>
  <c r="AA139" i="32" s="1"/>
  <c r="AJ143" i="18"/>
  <c r="AA140" i="32" s="1"/>
  <c r="AJ144" i="18"/>
  <c r="AA141" i="32" s="1"/>
  <c r="AJ145" i="18"/>
  <c r="AA143" i="32" s="1"/>
  <c r="AJ146" i="18"/>
  <c r="AA29" i="32" s="1"/>
  <c r="AJ148" i="18"/>
  <c r="AA144" i="32" s="1"/>
  <c r="AJ149" i="18"/>
  <c r="AA54" i="32" s="1"/>
  <c r="AJ150" i="18"/>
  <c r="AA146" i="32" s="1"/>
  <c r="AJ151" i="18"/>
  <c r="AA147" i="32" s="1"/>
  <c r="AJ152" i="18"/>
  <c r="AA148" i="32" s="1"/>
  <c r="AJ153" i="18"/>
  <c r="AA115" i="32" s="1"/>
  <c r="AJ154" i="18"/>
  <c r="AA150" i="32" s="1"/>
  <c r="AJ156" i="18"/>
  <c r="AA138" i="32" s="1"/>
  <c r="AJ157" i="18"/>
  <c r="AA174" i="32" s="1"/>
  <c r="AJ158" i="18"/>
  <c r="AA58" i="32" s="1"/>
  <c r="AJ159" i="18"/>
  <c r="AA95" i="32" s="1"/>
  <c r="AJ160" i="18"/>
  <c r="AA155" i="32" s="1"/>
  <c r="AJ161" i="18"/>
  <c r="AA156" i="32" s="1"/>
  <c r="AJ162" i="18"/>
  <c r="AA157" i="32" s="1"/>
  <c r="AJ163" i="18"/>
  <c r="AA158" i="32" s="1"/>
  <c r="AJ164" i="18"/>
  <c r="AA21" i="32" s="1"/>
  <c r="AJ165" i="18"/>
  <c r="AA177" i="32" s="1"/>
  <c r="AJ166" i="18"/>
  <c r="AA40" i="32" s="1"/>
  <c r="AJ167" i="18"/>
  <c r="AA105" i="32" s="1"/>
  <c r="AJ168" i="18"/>
  <c r="AA34" i="32" s="1"/>
  <c r="AJ169" i="18"/>
  <c r="AA164" i="32" s="1"/>
  <c r="AJ170" i="18"/>
  <c r="AA25" i="32" s="1"/>
  <c r="AJ171" i="18"/>
  <c r="AA65" i="32" s="1"/>
  <c r="AJ172" i="18"/>
  <c r="AA51" i="32" s="1"/>
  <c r="AJ175" i="18"/>
  <c r="AA30" i="32" s="1"/>
  <c r="AJ176" i="18"/>
  <c r="AA26" i="32" s="1"/>
  <c r="AJ177" i="18"/>
  <c r="AA170" i="32" s="1"/>
  <c r="AJ178" i="18"/>
  <c r="AA168" i="32" s="1"/>
  <c r="AJ180" i="18"/>
  <c r="AA172" i="32" s="1"/>
  <c r="AJ182" i="18"/>
  <c r="AA12" i="32" s="1"/>
  <c r="AJ183" i="18"/>
  <c r="AA178" i="32" s="1"/>
  <c r="AJ184" i="18"/>
  <c r="AA120" i="32" s="1"/>
  <c r="AJ185" i="18"/>
  <c r="AA176" i="32" s="1"/>
  <c r="AJ186" i="18"/>
  <c r="AA131" i="32" s="1"/>
  <c r="AJ187" i="18"/>
  <c r="AA166" i="32" s="1"/>
  <c r="AJ188" i="18"/>
  <c r="AA179" i="32" s="1"/>
  <c r="AJ189" i="18"/>
  <c r="AA180" i="32" s="1"/>
  <c r="AJ190" i="18"/>
  <c r="AA14" i="32" s="1"/>
  <c r="AJ191" i="18"/>
  <c r="AA182" i="32" s="1"/>
  <c r="AJ192" i="18"/>
  <c r="AA183" i="32" s="1"/>
  <c r="AJ193" i="18"/>
  <c r="AA4" i="32" s="1"/>
  <c r="AJ6" i="18"/>
  <c r="J13" i="27"/>
  <c r="J12" i="27"/>
  <c r="R17" i="32"/>
  <c r="S22" i="28"/>
  <c r="R19" i="32" s="1"/>
  <c r="S21" i="28"/>
  <c r="S25" i="28"/>
  <c r="R22" i="32" s="1"/>
  <c r="S49" i="28"/>
  <c r="R96" i="32" s="1"/>
  <c r="Q52" i="18" l="1"/>
  <c r="Z52" i="18"/>
  <c r="Z40" i="18"/>
  <c r="AB40" i="18" s="1"/>
  <c r="Q40" i="18"/>
  <c r="Z32" i="18"/>
  <c r="Q32" i="18"/>
  <c r="Z24" i="18"/>
  <c r="AB24" i="18" s="1"/>
  <c r="Q24" i="18"/>
  <c r="Q7" i="18"/>
  <c r="Z7" i="18"/>
  <c r="AB7" i="18" s="1"/>
  <c r="Q51" i="18"/>
  <c r="Z51" i="18"/>
  <c r="AB51" i="18" s="1"/>
  <c r="Q47" i="18"/>
  <c r="Z47" i="18"/>
  <c r="AB47" i="18" s="1"/>
  <c r="Q43" i="18"/>
  <c r="Z43" i="18"/>
  <c r="AB43" i="18" s="1"/>
  <c r="Q39" i="18"/>
  <c r="Z39" i="18"/>
  <c r="AB39" i="18" s="1"/>
  <c r="Q35" i="18"/>
  <c r="Z35" i="18"/>
  <c r="AB35" i="18" s="1"/>
  <c r="Q31" i="18"/>
  <c r="Z31" i="18"/>
  <c r="AB31" i="18" s="1"/>
  <c r="Q27" i="18"/>
  <c r="Z27" i="18"/>
  <c r="AB27" i="18" s="1"/>
  <c r="Q23" i="18"/>
  <c r="Z23" i="18"/>
  <c r="Q19" i="18"/>
  <c r="Z19" i="18"/>
  <c r="AB19" i="18" s="1"/>
  <c r="Z14" i="18"/>
  <c r="AB14" i="18" s="1"/>
  <c r="Q14" i="18"/>
  <c r="Z10" i="18"/>
  <c r="Q10" i="18"/>
  <c r="Z48" i="18"/>
  <c r="AB48" i="18" s="1"/>
  <c r="Q48" i="18"/>
  <c r="Q36" i="18"/>
  <c r="Z36" i="18"/>
  <c r="AB36" i="18" s="1"/>
  <c r="Z20" i="18"/>
  <c r="AB20" i="18" s="1"/>
  <c r="Q20" i="18"/>
  <c r="Z54" i="18"/>
  <c r="AB54" i="18" s="1"/>
  <c r="Q54" i="18"/>
  <c r="Q50" i="18"/>
  <c r="Z50" i="18"/>
  <c r="Z46" i="18"/>
  <c r="AB46" i="18" s="1"/>
  <c r="Q46" i="18"/>
  <c r="Z42" i="18"/>
  <c r="AB42" i="18" s="1"/>
  <c r="Q42" i="18"/>
  <c r="Z38" i="18"/>
  <c r="AB38" i="18" s="1"/>
  <c r="Q38" i="18"/>
  <c r="Z34" i="18"/>
  <c r="Q34" i="18"/>
  <c r="Z30" i="18"/>
  <c r="AB30" i="18" s="1"/>
  <c r="Q30" i="18"/>
  <c r="Z26" i="18"/>
  <c r="AB26" i="18" s="1"/>
  <c r="Q26" i="18"/>
  <c r="Z22" i="18"/>
  <c r="AB22" i="18" s="1"/>
  <c r="Q22" i="18"/>
  <c r="Z18" i="18"/>
  <c r="AB18" i="18" s="1"/>
  <c r="Q18" i="18"/>
  <c r="Z13" i="18"/>
  <c r="AB13" i="18" s="1"/>
  <c r="Q13" i="18"/>
  <c r="Z9" i="18"/>
  <c r="AB9" i="18" s="1"/>
  <c r="Q9" i="18"/>
  <c r="Q44" i="18"/>
  <c r="Z44" i="18"/>
  <c r="AB44" i="18" s="1"/>
  <c r="Q28" i="18"/>
  <c r="Z28" i="18"/>
  <c r="AB28" i="18" s="1"/>
  <c r="Q16" i="18"/>
  <c r="Z16" i="18"/>
  <c r="AB16" i="18" s="1"/>
  <c r="Q11" i="18"/>
  <c r="Z11" i="18"/>
  <c r="AB11" i="18" s="1"/>
  <c r="Z53" i="18"/>
  <c r="AB53" i="18" s="1"/>
  <c r="Q53" i="18"/>
  <c r="Z49" i="18"/>
  <c r="AB49" i="18" s="1"/>
  <c r="Q49" i="18"/>
  <c r="Z45" i="18"/>
  <c r="AB45" i="18" s="1"/>
  <c r="Q45" i="18"/>
  <c r="Z41" i="18"/>
  <c r="Q41" i="18"/>
  <c r="Z37" i="18"/>
  <c r="AB37" i="18" s="1"/>
  <c r="Q37" i="18"/>
  <c r="Z33" i="18"/>
  <c r="Q33" i="18"/>
  <c r="Z29" i="18"/>
  <c r="AB29" i="18" s="1"/>
  <c r="Q29" i="18"/>
  <c r="Z25" i="18"/>
  <c r="AB25" i="18" s="1"/>
  <c r="Q25" i="18"/>
  <c r="Z21" i="18"/>
  <c r="AB21" i="18" s="1"/>
  <c r="Q21" i="18"/>
  <c r="Z17" i="18"/>
  <c r="AB17" i="18" s="1"/>
  <c r="Q17" i="18"/>
  <c r="Z12" i="18"/>
  <c r="AB12" i="18" s="1"/>
  <c r="Q12" i="18"/>
  <c r="Z8" i="18"/>
  <c r="AB8" i="18" s="1"/>
  <c r="Q8" i="18"/>
  <c r="AA137" i="32"/>
  <c r="AJ200" i="18"/>
  <c r="AB34" i="18"/>
  <c r="AB50" i="18"/>
  <c r="AA181" i="32"/>
  <c r="AB41" i="18"/>
  <c r="R18" i="32"/>
  <c r="AB52" i="18"/>
  <c r="P123" i="32"/>
  <c r="T39" i="32"/>
  <c r="AJ200" i="28"/>
  <c r="J153" i="28"/>
  <c r="P146" i="32" s="1"/>
  <c r="J165" i="28"/>
  <c r="P157" i="32" s="1"/>
  <c r="AB33" i="18" l="1"/>
  <c r="P45" i="32"/>
  <c r="J200" i="28"/>
  <c r="AM195" i="29"/>
  <c r="Q194" i="34" l="1"/>
  <c r="AB191" i="28"/>
  <c r="S166" i="32" s="1"/>
  <c r="AB192" i="28"/>
  <c r="S179" i="32" s="1"/>
  <c r="AB195" i="28"/>
  <c r="S196" i="32" s="1"/>
  <c r="AB196" i="28"/>
  <c r="S182" i="32" s="1"/>
  <c r="I6" i="28"/>
  <c r="I7" i="28"/>
  <c r="I8" i="28"/>
  <c r="I9" i="28"/>
  <c r="I10" i="28"/>
  <c r="I11" i="28"/>
  <c r="I12" i="28"/>
  <c r="I13" i="28"/>
  <c r="I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H137" i="32"/>
  <c r="H5" i="32"/>
  <c r="H7" i="32"/>
  <c r="H8" i="32"/>
  <c r="H167" i="32"/>
  <c r="H10" i="32"/>
  <c r="H11" i="32"/>
  <c r="H153" i="32"/>
  <c r="H72" i="32"/>
  <c r="H15" i="32"/>
  <c r="H18" i="32"/>
  <c r="H19" i="32"/>
  <c r="H17" i="32"/>
  <c r="H52" i="32"/>
  <c r="H22" i="32"/>
  <c r="H82" i="32"/>
  <c r="H79" i="32"/>
  <c r="H24" i="32"/>
  <c r="H165" i="32"/>
  <c r="H70" i="32"/>
  <c r="H27" i="32"/>
  <c r="H48" i="32"/>
  <c r="H102" i="32"/>
  <c r="H31" i="32"/>
  <c r="H98" i="32"/>
  <c r="H83" i="32"/>
  <c r="H13" i="32"/>
  <c r="H23" i="32"/>
  <c r="H38" i="32"/>
  <c r="H37" i="32"/>
  <c r="H6" i="32"/>
  <c r="H39" i="32"/>
  <c r="H169" i="32"/>
  <c r="H41" i="32"/>
  <c r="H42" i="32"/>
  <c r="H43" i="32"/>
  <c r="H44" i="32"/>
  <c r="H60" i="32"/>
  <c r="H96" i="32"/>
  <c r="H145" i="32"/>
  <c r="H46" i="32"/>
  <c r="H50" i="32"/>
  <c r="H173" i="32"/>
  <c r="H49" i="32"/>
  <c r="H28" i="32"/>
  <c r="H32" i="32"/>
  <c r="H16" i="32"/>
  <c r="H33" i="32"/>
  <c r="AB193" i="28" l="1"/>
  <c r="S180" i="32" s="1"/>
  <c r="AB198" i="28"/>
  <c r="S4" i="32" s="1"/>
  <c r="AB197" i="28"/>
  <c r="S183" i="32" s="1"/>
  <c r="AB190" i="28"/>
  <c r="S131" i="32" s="1"/>
  <c r="R137" i="31"/>
  <c r="R5" i="31"/>
  <c r="R71" i="31"/>
  <c r="R95" i="31"/>
  <c r="R9" i="31"/>
  <c r="R43" i="31"/>
  <c r="R75" i="31"/>
  <c r="R12" i="31"/>
  <c r="R13" i="31"/>
  <c r="R61" i="31"/>
  <c r="R89" i="31"/>
  <c r="R157" i="31"/>
  <c r="R54" i="31"/>
  <c r="R21" i="31"/>
  <c r="R37" i="31"/>
  <c r="R23" i="31"/>
  <c r="R145" i="31"/>
  <c r="R7" i="31"/>
  <c r="R25" i="31"/>
  <c r="R26" i="31"/>
  <c r="R76" i="31"/>
  <c r="R127" i="31"/>
  <c r="R30" i="31"/>
  <c r="R150" i="31"/>
  <c r="R182" i="31"/>
  <c r="R34" i="31"/>
  <c r="R35" i="31"/>
  <c r="R36" i="31"/>
  <c r="R88" i="31"/>
  <c r="R104" i="31"/>
  <c r="R16" i="31"/>
  <c r="R106" i="31"/>
  <c r="R40" i="31"/>
  <c r="R132" i="31"/>
  <c r="R130" i="31"/>
  <c r="R118" i="31"/>
  <c r="R32" i="31"/>
  <c r="R45" i="31"/>
  <c r="R109" i="31"/>
  <c r="R142" i="31"/>
  <c r="R17" i="31"/>
  <c r="R180" i="31"/>
  <c r="R51" i="31"/>
  <c r="R52" i="31"/>
  <c r="R59" i="31"/>
  <c r="R107" i="31"/>
  <c r="R55" i="31"/>
  <c r="R73" i="31"/>
  <c r="R90" i="31"/>
  <c r="R58" i="31"/>
  <c r="R177" i="31"/>
  <c r="R165" i="31"/>
  <c r="R147" i="31"/>
  <c r="R47" i="31"/>
  <c r="R63" i="31"/>
  <c r="R74" i="31"/>
  <c r="R65" i="31"/>
  <c r="R143" i="31"/>
  <c r="R80" i="31"/>
  <c r="R67" i="31"/>
  <c r="R68" i="31"/>
  <c r="R69" i="31"/>
  <c r="R70" i="31"/>
  <c r="R135" i="31"/>
  <c r="R72" i="31"/>
  <c r="R128" i="31"/>
  <c r="R31" i="31"/>
  <c r="R111" i="31"/>
  <c r="R41" i="31"/>
  <c r="R11" i="31"/>
  <c r="R29" i="31"/>
  <c r="R116" i="31"/>
  <c r="R123" i="31"/>
  <c r="R49" i="31"/>
  <c r="R24" i="31"/>
  <c r="R44" i="31"/>
  <c r="R82" i="31"/>
  <c r="R83" i="31"/>
  <c r="R66" i="31"/>
  <c r="R110" i="31"/>
  <c r="R86" i="31"/>
  <c r="R87" i="31"/>
  <c r="R168" i="31"/>
  <c r="R164" i="31"/>
  <c r="R101" i="31"/>
  <c r="R85" i="31"/>
  <c r="R14" i="31"/>
  <c r="R134" i="31"/>
  <c r="R140" i="31"/>
  <c r="R64" i="31"/>
  <c r="R18" i="31"/>
  <c r="R20" i="31"/>
  <c r="R97" i="31"/>
  <c r="R33" i="31"/>
  <c r="R99" i="31"/>
  <c r="R158" i="31"/>
  <c r="R50" i="31"/>
  <c r="R102" i="31"/>
  <c r="R131" i="31"/>
  <c r="R103" i="31"/>
  <c r="R39" i="31"/>
  <c r="R105" i="31"/>
  <c r="R57" i="31"/>
  <c r="R96" i="31"/>
  <c r="R108" i="31"/>
  <c r="R79" i="31"/>
  <c r="R119" i="31"/>
  <c r="R141" i="31"/>
  <c r="R112" i="31"/>
  <c r="R113" i="31"/>
  <c r="R154" i="31"/>
  <c r="R160" i="31"/>
  <c r="R185" i="31"/>
  <c r="R155" i="31"/>
  <c r="R42" i="31"/>
  <c r="R115" i="31"/>
  <c r="R117" i="31"/>
  <c r="R94" i="31"/>
  <c r="R120" i="31"/>
  <c r="R8" i="31"/>
  <c r="R56" i="31"/>
  <c r="R98" i="31"/>
  <c r="R124" i="31"/>
  <c r="R126" i="31"/>
  <c r="R78" i="31"/>
  <c r="R121" i="31"/>
  <c r="R125" i="31"/>
  <c r="R22" i="31"/>
  <c r="R84" i="31"/>
  <c r="R129" i="31"/>
  <c r="R92" i="31"/>
  <c r="R148" i="31"/>
  <c r="R136" i="31"/>
  <c r="R91" i="31"/>
  <c r="R138" i="31"/>
  <c r="R181" i="31"/>
  <c r="R183" i="31"/>
  <c r="R77" i="31"/>
  <c r="R178" i="31"/>
  <c r="R46" i="31"/>
  <c r="R139" i="31"/>
  <c r="R162" i="31"/>
  <c r="R171" i="31"/>
  <c r="R149" i="31"/>
  <c r="R166" i="31"/>
  <c r="R144" i="31"/>
  <c r="R151" i="31"/>
  <c r="R152" i="31"/>
  <c r="R153" i="31"/>
  <c r="R81" i="31"/>
  <c r="R28" i="31"/>
  <c r="R27" i="31"/>
  <c r="R173" i="31"/>
  <c r="R114" i="31"/>
  <c r="R100" i="31"/>
  <c r="R159" i="31"/>
  <c r="R48" i="31"/>
  <c r="R161" i="31"/>
  <c r="R163" i="31"/>
  <c r="R93" i="31"/>
  <c r="R60" i="31"/>
  <c r="R167" i="31"/>
  <c r="R169" i="31"/>
  <c r="R170" i="31"/>
  <c r="R122" i="31"/>
  <c r="R172" i="31"/>
  <c r="R62" i="31"/>
  <c r="R6" i="31"/>
  <c r="R174" i="31"/>
  <c r="R175" i="31"/>
  <c r="R176" i="31"/>
  <c r="R19" i="31"/>
  <c r="R179" i="31"/>
  <c r="R15" i="31"/>
  <c r="R133" i="31"/>
  <c r="R38" i="31"/>
  <c r="R10" i="31"/>
  <c r="R146" i="31"/>
  <c r="R53" i="31"/>
  <c r="R156" i="31"/>
  <c r="Q137" i="31"/>
  <c r="Q5" i="31"/>
  <c r="Q71" i="31"/>
  <c r="Q95" i="31"/>
  <c r="Q9" i="31"/>
  <c r="Q43" i="31"/>
  <c r="Q75" i="31"/>
  <c r="Q12" i="31"/>
  <c r="Q13" i="31"/>
  <c r="Q61" i="31"/>
  <c r="Q54" i="31"/>
  <c r="Q21" i="31"/>
  <c r="Q37" i="31"/>
  <c r="Q23" i="31"/>
  <c r="Q145" i="31"/>
  <c r="Q7" i="31"/>
  <c r="Q25" i="31"/>
  <c r="Q26" i="31"/>
  <c r="Q76" i="31"/>
  <c r="Q127" i="31"/>
  <c r="Q30" i="31"/>
  <c r="Q150" i="31"/>
  <c r="Q182" i="31"/>
  <c r="Q35" i="31"/>
  <c r="Q36" i="31"/>
  <c r="Q88" i="31"/>
  <c r="Q104" i="31"/>
  <c r="Q16" i="31"/>
  <c r="Q106" i="31"/>
  <c r="Q40" i="31"/>
  <c r="Q132" i="31"/>
  <c r="Q130" i="31"/>
  <c r="Q118" i="31"/>
  <c r="Q32" i="31"/>
  <c r="Q45" i="31"/>
  <c r="Q109" i="31"/>
  <c r="Q142" i="31"/>
  <c r="Q17" i="31"/>
  <c r="Q180" i="31"/>
  <c r="Q51" i="31"/>
  <c r="Q52" i="31"/>
  <c r="Q59" i="31"/>
  <c r="Q107" i="31"/>
  <c r="Q55" i="31"/>
  <c r="Q73" i="31"/>
  <c r="Q90" i="31"/>
  <c r="Q58" i="31"/>
  <c r="Q177" i="31"/>
  <c r="Q165" i="31"/>
  <c r="Q147" i="31"/>
  <c r="Q47" i="31"/>
  <c r="Q63" i="31"/>
  <c r="Q74" i="31"/>
  <c r="Q65" i="31"/>
  <c r="Q143" i="31"/>
  <c r="Q80" i="31"/>
  <c r="Q67" i="31"/>
  <c r="Q68" i="31"/>
  <c r="Q69" i="31"/>
  <c r="Q70" i="31"/>
  <c r="Q135" i="31"/>
  <c r="Q72" i="31"/>
  <c r="Q128" i="31"/>
  <c r="Q31" i="31"/>
  <c r="Q111" i="31"/>
  <c r="Q41" i="31"/>
  <c r="Q11" i="31"/>
  <c r="Q29" i="31"/>
  <c r="Q116" i="31"/>
  <c r="Q123" i="31"/>
  <c r="Q49" i="31"/>
  <c r="Q24" i="31"/>
  <c r="Q44" i="31"/>
  <c r="Q82" i="31"/>
  <c r="Q83" i="31"/>
  <c r="Q66" i="31"/>
  <c r="Q110" i="31"/>
  <c r="Q86" i="31"/>
  <c r="Q87" i="31"/>
  <c r="Q168" i="31"/>
  <c r="Q164" i="31"/>
  <c r="Q101" i="31"/>
  <c r="Q85" i="31"/>
  <c r="Q14" i="31"/>
  <c r="Q134" i="31"/>
  <c r="Q140" i="31"/>
  <c r="Q64" i="31"/>
  <c r="Q18" i="31"/>
  <c r="Q20" i="31"/>
  <c r="Q97" i="31"/>
  <c r="Q33" i="31"/>
  <c r="Q99" i="31"/>
  <c r="Q158" i="31"/>
  <c r="Q50" i="31"/>
  <c r="Q102" i="31"/>
  <c r="Q131" i="31"/>
  <c r="Q103" i="31"/>
  <c r="Q39" i="31"/>
  <c r="Q105" i="31"/>
  <c r="Q57" i="31"/>
  <c r="Q96" i="31"/>
  <c r="Q108" i="31"/>
  <c r="Q79" i="31"/>
  <c r="Q119" i="31"/>
  <c r="Q141" i="31"/>
  <c r="Q112" i="31"/>
  <c r="Q113" i="31"/>
  <c r="Q154" i="31"/>
  <c r="Q160" i="31"/>
  <c r="Q185" i="31"/>
  <c r="Q155" i="31"/>
  <c r="Q42" i="31"/>
  <c r="Q115" i="31"/>
  <c r="Q117" i="31"/>
  <c r="Q94" i="31"/>
  <c r="Q120" i="31"/>
  <c r="Q8" i="31"/>
  <c r="Q56" i="31"/>
  <c r="Q98" i="31"/>
  <c r="Q124" i="31"/>
  <c r="Q126" i="31"/>
  <c r="Q78" i="31"/>
  <c r="Q121" i="31"/>
  <c r="Q125" i="31"/>
  <c r="Q22" i="31"/>
  <c r="Q84" i="31"/>
  <c r="Q129" i="31"/>
  <c r="Q92" i="31"/>
  <c r="Q148" i="31"/>
  <c r="Q136" i="31"/>
  <c r="Q91" i="31"/>
  <c r="Q181" i="31"/>
  <c r="Q183" i="31"/>
  <c r="Q77" i="31"/>
  <c r="Q178" i="31"/>
  <c r="Q46" i="31"/>
  <c r="Q139" i="31"/>
  <c r="Q162" i="31"/>
  <c r="Q171" i="31"/>
  <c r="Q149" i="31"/>
  <c r="Q166" i="31"/>
  <c r="Q144" i="31"/>
  <c r="Q151" i="31"/>
  <c r="Q152" i="31"/>
  <c r="Q153" i="31"/>
  <c r="Q81" i="31"/>
  <c r="Q28" i="31"/>
  <c r="Q27" i="31"/>
  <c r="Q173" i="31"/>
  <c r="Q114" i="31"/>
  <c r="Q100" i="31"/>
  <c r="Q159" i="31"/>
  <c r="Q48" i="31"/>
  <c r="Q161" i="31"/>
  <c r="Q163" i="31"/>
  <c r="Q93" i="31"/>
  <c r="Q60" i="31"/>
  <c r="Q167" i="31"/>
  <c r="Q169" i="31"/>
  <c r="Q170" i="31"/>
  <c r="Q122" i="31"/>
  <c r="Q172" i="31"/>
  <c r="Q62" i="31"/>
  <c r="Q6" i="31"/>
  <c r="Q174" i="31"/>
  <c r="Q175" i="31"/>
  <c r="Q176" i="31"/>
  <c r="Q19" i="31"/>
  <c r="Q15" i="31"/>
  <c r="Q133" i="31"/>
  <c r="Q38" i="31"/>
  <c r="Q10" i="31"/>
  <c r="Q146" i="31"/>
  <c r="Q53" i="31"/>
  <c r="Q156" i="31"/>
  <c r="I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46" i="27"/>
  <c r="I38" i="27"/>
  <c r="I39" i="27"/>
  <c r="I40" i="27"/>
  <c r="I41" i="27"/>
  <c r="I42" i="27"/>
  <c r="I43" i="27"/>
  <c r="I44" i="27"/>
  <c r="I71" i="27"/>
  <c r="I74" i="27"/>
  <c r="I37" i="27"/>
  <c r="I156" i="27"/>
  <c r="I180" i="27"/>
  <c r="J186" i="31"/>
  <c r="O137" i="31"/>
  <c r="O5" i="31"/>
  <c r="O71" i="31"/>
  <c r="O95" i="31"/>
  <c r="O9" i="31"/>
  <c r="O43" i="31"/>
  <c r="O75" i="31"/>
  <c r="O12" i="31"/>
  <c r="O13" i="31"/>
  <c r="O61" i="31"/>
  <c r="O89" i="31"/>
  <c r="O157" i="31"/>
  <c r="O54" i="31"/>
  <c r="O21" i="31"/>
  <c r="O37" i="31"/>
  <c r="O23" i="31"/>
  <c r="O145" i="31"/>
  <c r="O7" i="31"/>
  <c r="O25" i="31"/>
  <c r="O26" i="31"/>
  <c r="O76" i="31"/>
  <c r="O127" i="31"/>
  <c r="O30" i="31"/>
  <c r="O150" i="31"/>
  <c r="O182" i="31"/>
  <c r="O34" i="31"/>
  <c r="O35" i="31"/>
  <c r="O36" i="31"/>
  <c r="O88" i="31"/>
  <c r="O104" i="31"/>
  <c r="O16" i="31"/>
  <c r="O106" i="31"/>
  <c r="O40" i="31"/>
  <c r="O132" i="31"/>
  <c r="O130" i="31"/>
  <c r="O118" i="31"/>
  <c r="O32" i="31"/>
  <c r="O45" i="31"/>
  <c r="O109" i="31"/>
  <c r="O142" i="31"/>
  <c r="O17" i="31"/>
  <c r="O180" i="31"/>
  <c r="O51" i="31"/>
  <c r="O52" i="31"/>
  <c r="O59" i="31"/>
  <c r="O107" i="31"/>
  <c r="O55" i="31"/>
  <c r="O73" i="31"/>
  <c r="O90" i="31"/>
  <c r="O58" i="31"/>
  <c r="O177" i="31"/>
  <c r="O165" i="31"/>
  <c r="O147" i="31"/>
  <c r="O47" i="31"/>
  <c r="O63" i="31"/>
  <c r="O74" i="31"/>
  <c r="O65" i="31"/>
  <c r="O143" i="31"/>
  <c r="O80" i="31"/>
  <c r="O67" i="31"/>
  <c r="O68" i="31"/>
  <c r="O69" i="31"/>
  <c r="O70" i="31"/>
  <c r="O135" i="31"/>
  <c r="O72" i="31"/>
  <c r="O128" i="31"/>
  <c r="O31" i="31"/>
  <c r="O111" i="31"/>
  <c r="O41" i="31"/>
  <c r="O11" i="31"/>
  <c r="O29" i="31"/>
  <c r="O116" i="31"/>
  <c r="O123" i="31"/>
  <c r="O49" i="31"/>
  <c r="O24" i="31"/>
  <c r="O44" i="31"/>
  <c r="O82" i="31"/>
  <c r="O83" i="31"/>
  <c r="O66" i="31"/>
  <c r="O110" i="31"/>
  <c r="O86" i="31"/>
  <c r="O87" i="31"/>
  <c r="O168" i="31"/>
  <c r="O164" i="31"/>
  <c r="O101" i="31"/>
  <c r="O85" i="31"/>
  <c r="O14" i="31"/>
  <c r="O134" i="31"/>
  <c r="O140" i="31"/>
  <c r="O64" i="31"/>
  <c r="O18" i="31"/>
  <c r="O20" i="31"/>
  <c r="O97" i="31"/>
  <c r="O33" i="31"/>
  <c r="O99" i="31"/>
  <c r="O158" i="31"/>
  <c r="O50" i="31"/>
  <c r="O102" i="31"/>
  <c r="O131" i="31"/>
  <c r="O103" i="31"/>
  <c r="O39" i="31"/>
  <c r="O105" i="31"/>
  <c r="O57" i="31"/>
  <c r="O96" i="31"/>
  <c r="O108" i="31"/>
  <c r="O79" i="31"/>
  <c r="O119" i="31"/>
  <c r="O141" i="31"/>
  <c r="O112" i="31"/>
  <c r="O113" i="31"/>
  <c r="O154" i="31"/>
  <c r="O160" i="31"/>
  <c r="O185" i="31"/>
  <c r="O155" i="31"/>
  <c r="O42" i="31"/>
  <c r="O115" i="31"/>
  <c r="O117" i="31"/>
  <c r="O94" i="31"/>
  <c r="O120" i="31"/>
  <c r="O8" i="31"/>
  <c r="O56" i="31"/>
  <c r="O98" i="31"/>
  <c r="O124" i="31"/>
  <c r="O126" i="31"/>
  <c r="O78" i="31"/>
  <c r="O121" i="31"/>
  <c r="O125" i="31"/>
  <c r="O22" i="31"/>
  <c r="O84" i="31"/>
  <c r="O129" i="31"/>
  <c r="O92" i="31"/>
  <c r="O148" i="31"/>
  <c r="O136" i="31"/>
  <c r="O91" i="31"/>
  <c r="O138" i="31"/>
  <c r="O181" i="31"/>
  <c r="O183" i="31"/>
  <c r="O77" i="31"/>
  <c r="O178" i="31"/>
  <c r="O46" i="31"/>
  <c r="O139" i="31"/>
  <c r="O162" i="31"/>
  <c r="O171" i="31"/>
  <c r="O149" i="31"/>
  <c r="O166" i="31"/>
  <c r="O144" i="31"/>
  <c r="O151" i="31"/>
  <c r="O152" i="31"/>
  <c r="O153" i="31"/>
  <c r="O81" i="31"/>
  <c r="O28" i="31"/>
  <c r="O27" i="31"/>
  <c r="O173" i="31"/>
  <c r="O114" i="31"/>
  <c r="O100" i="31"/>
  <c r="O159" i="31"/>
  <c r="O48" i="31"/>
  <c r="O161" i="31"/>
  <c r="O163" i="31"/>
  <c r="O93" i="31"/>
  <c r="O60" i="31"/>
  <c r="O167" i="31"/>
  <c r="O169" i="31"/>
  <c r="O170" i="31"/>
  <c r="O122" i="31"/>
  <c r="O172" i="31"/>
  <c r="O62" i="31"/>
  <c r="O6" i="31"/>
  <c r="O174" i="31"/>
  <c r="O175" i="31"/>
  <c r="O176" i="31"/>
  <c r="O19" i="31"/>
  <c r="O179" i="31"/>
  <c r="O15" i="31"/>
  <c r="O133" i="31"/>
  <c r="O38" i="31"/>
  <c r="O10" i="31"/>
  <c r="O146" i="31"/>
  <c r="O53" i="31"/>
  <c r="O156" i="31"/>
  <c r="N137" i="31"/>
  <c r="N5" i="31"/>
  <c r="N71" i="31"/>
  <c r="N95" i="31"/>
  <c r="N9" i="31"/>
  <c r="N43" i="31"/>
  <c r="N75" i="31"/>
  <c r="N12" i="31"/>
  <c r="N13" i="31"/>
  <c r="N61" i="31"/>
  <c r="N89" i="31"/>
  <c r="N157" i="31"/>
  <c r="N54" i="31"/>
  <c r="N21" i="31"/>
  <c r="N37" i="31"/>
  <c r="N23" i="31"/>
  <c r="N145" i="31"/>
  <c r="N7" i="31"/>
  <c r="N25" i="31"/>
  <c r="N26" i="31"/>
  <c r="N76" i="31"/>
  <c r="N127" i="31"/>
  <c r="N30" i="31"/>
  <c r="N150" i="31"/>
  <c r="N182" i="31"/>
  <c r="N34" i="31"/>
  <c r="N35" i="31"/>
  <c r="N36" i="31"/>
  <c r="N88" i="31"/>
  <c r="N104" i="31"/>
  <c r="N16" i="31"/>
  <c r="N106" i="31"/>
  <c r="N40" i="31"/>
  <c r="N132" i="31"/>
  <c r="N130" i="31"/>
  <c r="N118" i="31"/>
  <c r="N32" i="31"/>
  <c r="N45" i="31"/>
  <c r="N109" i="31"/>
  <c r="N142" i="31"/>
  <c r="N17" i="31"/>
  <c r="N180" i="31"/>
  <c r="N51" i="31"/>
  <c r="N52" i="31"/>
  <c r="N59" i="31"/>
  <c r="N107" i="31"/>
  <c r="N55" i="31"/>
  <c r="N73" i="31"/>
  <c r="N90" i="31"/>
  <c r="N58" i="31"/>
  <c r="N177" i="31"/>
  <c r="N165" i="31"/>
  <c r="N147" i="31"/>
  <c r="N47" i="31"/>
  <c r="N63" i="31"/>
  <c r="N74" i="31"/>
  <c r="N65" i="31"/>
  <c r="N143" i="31"/>
  <c r="N80" i="31"/>
  <c r="N67" i="31"/>
  <c r="N68" i="31"/>
  <c r="N69" i="31"/>
  <c r="N70" i="31"/>
  <c r="N135" i="31"/>
  <c r="N72" i="31"/>
  <c r="N128" i="31"/>
  <c r="N31" i="31"/>
  <c r="N111" i="31"/>
  <c r="N41" i="31"/>
  <c r="N11" i="31"/>
  <c r="N29" i="31"/>
  <c r="N116" i="31"/>
  <c r="N123" i="31"/>
  <c r="N49" i="31"/>
  <c r="N24" i="31"/>
  <c r="N44" i="31"/>
  <c r="N82" i="31"/>
  <c r="N83" i="31"/>
  <c r="N66" i="31"/>
  <c r="N110" i="31"/>
  <c r="N86" i="31"/>
  <c r="N87" i="31"/>
  <c r="N168" i="31"/>
  <c r="N164" i="31"/>
  <c r="N101" i="31"/>
  <c r="N85" i="31"/>
  <c r="N14" i="31"/>
  <c r="N134" i="31"/>
  <c r="N140" i="31"/>
  <c r="N64" i="31"/>
  <c r="N18" i="31"/>
  <c r="N20" i="31"/>
  <c r="N97" i="31"/>
  <c r="N33" i="31"/>
  <c r="N99" i="31"/>
  <c r="N158" i="31"/>
  <c r="N50" i="31"/>
  <c r="N102" i="31"/>
  <c r="N131" i="31"/>
  <c r="N103" i="31"/>
  <c r="N39" i="31"/>
  <c r="N105" i="31"/>
  <c r="N57" i="31"/>
  <c r="N96" i="31"/>
  <c r="N108" i="31"/>
  <c r="N79" i="31"/>
  <c r="N119" i="31"/>
  <c r="N141" i="31"/>
  <c r="N112" i="31"/>
  <c r="N113" i="31"/>
  <c r="N154" i="31"/>
  <c r="N160" i="31"/>
  <c r="N185" i="31"/>
  <c r="N155" i="31"/>
  <c r="N42" i="31"/>
  <c r="N115" i="31"/>
  <c r="N117" i="31"/>
  <c r="N94" i="31"/>
  <c r="N120" i="31"/>
  <c r="N8" i="31"/>
  <c r="N56" i="31"/>
  <c r="N98" i="31"/>
  <c r="N124" i="31"/>
  <c r="N126" i="31"/>
  <c r="N78" i="31"/>
  <c r="N121" i="31"/>
  <c r="N125" i="31"/>
  <c r="N22" i="31"/>
  <c r="N84" i="31"/>
  <c r="N129" i="31"/>
  <c r="N92" i="31"/>
  <c r="N148" i="31"/>
  <c r="N136" i="31"/>
  <c r="N91" i="31"/>
  <c r="N138" i="31"/>
  <c r="N181" i="31"/>
  <c r="N183" i="31"/>
  <c r="N77" i="31"/>
  <c r="N178" i="31"/>
  <c r="N46" i="31"/>
  <c r="N139" i="31"/>
  <c r="N162" i="31"/>
  <c r="N171" i="31"/>
  <c r="N149" i="31"/>
  <c r="N166" i="31"/>
  <c r="N144" i="31"/>
  <c r="N151" i="31"/>
  <c r="N152" i="31"/>
  <c r="N153" i="31"/>
  <c r="N81" i="31"/>
  <c r="N28" i="31"/>
  <c r="N27" i="31"/>
  <c r="N173" i="31"/>
  <c r="N114" i="31"/>
  <c r="N100" i="31"/>
  <c r="N159" i="31"/>
  <c r="N48" i="31"/>
  <c r="N161" i="31"/>
  <c r="N163" i="31"/>
  <c r="N93" i="31"/>
  <c r="N60" i="31"/>
  <c r="N167" i="31"/>
  <c r="N169" i="31"/>
  <c r="N170" i="31"/>
  <c r="N122" i="31"/>
  <c r="N172" i="31"/>
  <c r="N62" i="31"/>
  <c r="N6" i="31"/>
  <c r="N174" i="31"/>
  <c r="N175" i="31"/>
  <c r="N176" i="31"/>
  <c r="N19" i="31"/>
  <c r="N179" i="31"/>
  <c r="N15" i="31"/>
  <c r="N133" i="31"/>
  <c r="N38" i="31"/>
  <c r="N10" i="31"/>
  <c r="N146" i="31"/>
  <c r="N53" i="31"/>
  <c r="N156" i="31"/>
  <c r="M137" i="31"/>
  <c r="M5" i="31"/>
  <c r="M71" i="31"/>
  <c r="M95" i="31"/>
  <c r="M9" i="31"/>
  <c r="M43" i="31"/>
  <c r="M75" i="31"/>
  <c r="M12" i="31"/>
  <c r="M13" i="31"/>
  <c r="M61" i="31"/>
  <c r="M89" i="31"/>
  <c r="M157" i="31"/>
  <c r="M54" i="31"/>
  <c r="M21" i="31"/>
  <c r="M37" i="31"/>
  <c r="M23" i="31"/>
  <c r="M145" i="31"/>
  <c r="M7" i="31"/>
  <c r="M25" i="31"/>
  <c r="M26" i="31"/>
  <c r="M76" i="31"/>
  <c r="M127" i="31"/>
  <c r="M30" i="31"/>
  <c r="M150" i="31"/>
  <c r="M182" i="31"/>
  <c r="M34" i="31"/>
  <c r="M35" i="31"/>
  <c r="M36" i="31"/>
  <c r="M88" i="31"/>
  <c r="M104" i="31"/>
  <c r="M16" i="31"/>
  <c r="M106" i="31"/>
  <c r="M40" i="31"/>
  <c r="M132" i="31"/>
  <c r="M130" i="31"/>
  <c r="M118" i="31"/>
  <c r="M32" i="31"/>
  <c r="M45" i="31"/>
  <c r="M109" i="31"/>
  <c r="M142" i="31"/>
  <c r="M17" i="31"/>
  <c r="M180" i="31"/>
  <c r="M51" i="31"/>
  <c r="M52" i="31"/>
  <c r="M59" i="31"/>
  <c r="M107" i="31"/>
  <c r="M55" i="31"/>
  <c r="M73" i="31"/>
  <c r="M90" i="31"/>
  <c r="M58" i="31"/>
  <c r="M177" i="31"/>
  <c r="M165" i="31"/>
  <c r="M147" i="31"/>
  <c r="M47" i="31"/>
  <c r="M63" i="31"/>
  <c r="M74" i="31"/>
  <c r="M65" i="31"/>
  <c r="M143" i="31"/>
  <c r="M80" i="31"/>
  <c r="M67" i="31"/>
  <c r="M68" i="31"/>
  <c r="M69" i="31"/>
  <c r="M70" i="31"/>
  <c r="M135" i="31"/>
  <c r="M72" i="31"/>
  <c r="M128" i="31"/>
  <c r="M31" i="31"/>
  <c r="M111" i="31"/>
  <c r="M41" i="31"/>
  <c r="M11" i="31"/>
  <c r="M29" i="31"/>
  <c r="M116" i="31"/>
  <c r="M123" i="31"/>
  <c r="M49" i="31"/>
  <c r="M24" i="31"/>
  <c r="M44" i="31"/>
  <c r="M82" i="31"/>
  <c r="M83" i="31"/>
  <c r="M66" i="31"/>
  <c r="M110" i="31"/>
  <c r="M86" i="31"/>
  <c r="M87" i="31"/>
  <c r="M168" i="31"/>
  <c r="M164" i="31"/>
  <c r="M101" i="31"/>
  <c r="M85" i="31"/>
  <c r="M14" i="31"/>
  <c r="M134" i="31"/>
  <c r="M140" i="31"/>
  <c r="M64" i="31"/>
  <c r="M18" i="31"/>
  <c r="M20" i="31"/>
  <c r="M97" i="31"/>
  <c r="M33" i="31"/>
  <c r="M99" i="31"/>
  <c r="M158" i="31"/>
  <c r="M50" i="31"/>
  <c r="M102" i="31"/>
  <c r="M131" i="31"/>
  <c r="M103" i="31"/>
  <c r="M39" i="31"/>
  <c r="M105" i="31"/>
  <c r="M57" i="31"/>
  <c r="M96" i="31"/>
  <c r="M108" i="31"/>
  <c r="M79" i="31"/>
  <c r="M119" i="31"/>
  <c r="M141" i="31"/>
  <c r="M112" i="31"/>
  <c r="M113" i="31"/>
  <c r="M154" i="31"/>
  <c r="M160" i="31"/>
  <c r="M185" i="31"/>
  <c r="M155" i="31"/>
  <c r="M42" i="31"/>
  <c r="M115" i="31"/>
  <c r="M117" i="31"/>
  <c r="M94" i="31"/>
  <c r="M120" i="31"/>
  <c r="M8" i="31"/>
  <c r="M56" i="31"/>
  <c r="M98" i="31"/>
  <c r="M124" i="31"/>
  <c r="M126" i="31"/>
  <c r="M78" i="31"/>
  <c r="M121" i="31"/>
  <c r="M125" i="31"/>
  <c r="M22" i="31"/>
  <c r="M84" i="31"/>
  <c r="M129" i="31"/>
  <c r="M92" i="31"/>
  <c r="M148" i="31"/>
  <c r="M136" i="31"/>
  <c r="M91" i="31"/>
  <c r="M138" i="31"/>
  <c r="M181" i="31"/>
  <c r="M183" i="31"/>
  <c r="M77" i="31"/>
  <c r="M178" i="31"/>
  <c r="M46" i="31"/>
  <c r="M139" i="31"/>
  <c r="M162" i="31"/>
  <c r="M171" i="31"/>
  <c r="M149" i="31"/>
  <c r="M166" i="31"/>
  <c r="M144" i="31"/>
  <c r="M151" i="31"/>
  <c r="M152" i="31"/>
  <c r="M153" i="31"/>
  <c r="M81" i="31"/>
  <c r="M28" i="31"/>
  <c r="M114" i="31"/>
  <c r="M100" i="31"/>
  <c r="M159" i="31"/>
  <c r="M48" i="31"/>
  <c r="M161" i="31"/>
  <c r="M163" i="31"/>
  <c r="M93" i="31"/>
  <c r="M60" i="31"/>
  <c r="M167" i="31"/>
  <c r="M169" i="31"/>
  <c r="M170" i="31"/>
  <c r="M122" i="31"/>
  <c r="M172" i="31"/>
  <c r="M62" i="31"/>
  <c r="M6" i="31"/>
  <c r="M174" i="31"/>
  <c r="M175" i="31"/>
  <c r="M176" i="31"/>
  <c r="M19" i="31"/>
  <c r="M179" i="31"/>
  <c r="M15" i="31"/>
  <c r="M133" i="31"/>
  <c r="M38" i="31"/>
  <c r="M10" i="31"/>
  <c r="M146" i="31"/>
  <c r="M53" i="31"/>
  <c r="L137" i="31"/>
  <c r="L5" i="31"/>
  <c r="L71" i="31"/>
  <c r="L95" i="31"/>
  <c r="L9" i="31"/>
  <c r="L43" i="31"/>
  <c r="L75" i="31"/>
  <c r="L12" i="31"/>
  <c r="L13" i="31"/>
  <c r="L61" i="31"/>
  <c r="L89" i="31"/>
  <c r="L157" i="31"/>
  <c r="L54" i="31"/>
  <c r="L21" i="31"/>
  <c r="L37" i="31"/>
  <c r="L23" i="31"/>
  <c r="L145" i="31"/>
  <c r="L7" i="31"/>
  <c r="L25" i="31"/>
  <c r="L26" i="31"/>
  <c r="L76" i="31"/>
  <c r="L127" i="31"/>
  <c r="L30" i="31"/>
  <c r="L150" i="31"/>
  <c r="L182" i="31"/>
  <c r="L34" i="31"/>
  <c r="L35" i="31"/>
  <c r="L36" i="31"/>
  <c r="L88" i="31"/>
  <c r="L104" i="31"/>
  <c r="L16" i="31"/>
  <c r="L106" i="31"/>
  <c r="L40" i="31"/>
  <c r="L132" i="31"/>
  <c r="L130" i="31"/>
  <c r="L118" i="31"/>
  <c r="L32" i="31"/>
  <c r="L45" i="31"/>
  <c r="L109" i="31"/>
  <c r="L142" i="31"/>
  <c r="L17" i="31"/>
  <c r="L180" i="31"/>
  <c r="L51" i="31"/>
  <c r="L52" i="31"/>
  <c r="L59" i="31"/>
  <c r="L107" i="31"/>
  <c r="L55" i="31"/>
  <c r="L73" i="31"/>
  <c r="L90" i="31"/>
  <c r="L58" i="31"/>
  <c r="L177" i="31"/>
  <c r="L165" i="31"/>
  <c r="L147" i="31"/>
  <c r="L47" i="31"/>
  <c r="L63" i="31"/>
  <c r="L74" i="31"/>
  <c r="L65" i="31"/>
  <c r="L143" i="31"/>
  <c r="L80" i="31"/>
  <c r="L67" i="31"/>
  <c r="L68" i="31"/>
  <c r="L69" i="31"/>
  <c r="L70" i="31"/>
  <c r="L135" i="31"/>
  <c r="L72" i="31"/>
  <c r="L128" i="31"/>
  <c r="L31" i="31"/>
  <c r="L111" i="31"/>
  <c r="L41" i="31"/>
  <c r="L11" i="31"/>
  <c r="L29" i="31"/>
  <c r="L116" i="31"/>
  <c r="L123" i="31"/>
  <c r="L49" i="31"/>
  <c r="L24" i="31"/>
  <c r="L44" i="31"/>
  <c r="L82" i="31"/>
  <c r="L83" i="31"/>
  <c r="L66" i="31"/>
  <c r="L110" i="31"/>
  <c r="L86" i="31"/>
  <c r="L87" i="31"/>
  <c r="L168" i="31"/>
  <c r="L164" i="31"/>
  <c r="L101" i="31"/>
  <c r="L85" i="31"/>
  <c r="L14" i="31"/>
  <c r="L134" i="31"/>
  <c r="L140" i="31"/>
  <c r="L64" i="31"/>
  <c r="L18" i="31"/>
  <c r="L20" i="31"/>
  <c r="L97" i="31"/>
  <c r="L33" i="31"/>
  <c r="L99" i="31"/>
  <c r="L158" i="31"/>
  <c r="L50" i="31"/>
  <c r="L102" i="31"/>
  <c r="L131" i="31"/>
  <c r="L103" i="31"/>
  <c r="L39" i="31"/>
  <c r="L105" i="31"/>
  <c r="L57" i="31"/>
  <c r="L96" i="31"/>
  <c r="L108" i="31"/>
  <c r="L79" i="31"/>
  <c r="L119" i="31"/>
  <c r="L141" i="31"/>
  <c r="L112" i="31"/>
  <c r="L113" i="31"/>
  <c r="L154" i="31"/>
  <c r="L160" i="31"/>
  <c r="L185" i="31"/>
  <c r="L155" i="31"/>
  <c r="L42" i="31"/>
  <c r="L115" i="31"/>
  <c r="L117" i="31"/>
  <c r="L94" i="31"/>
  <c r="L120" i="31"/>
  <c r="L8" i="31"/>
  <c r="L56" i="31"/>
  <c r="L98" i="31"/>
  <c r="L124" i="31"/>
  <c r="L126" i="31"/>
  <c r="L78" i="31"/>
  <c r="L121" i="31"/>
  <c r="L125" i="31"/>
  <c r="L22" i="31"/>
  <c r="L84" i="31"/>
  <c r="L129" i="31"/>
  <c r="L92" i="31"/>
  <c r="L148" i="31"/>
  <c r="L136" i="31"/>
  <c r="L91" i="31"/>
  <c r="L138" i="31"/>
  <c r="L181" i="31"/>
  <c r="L183" i="31"/>
  <c r="L77" i="31"/>
  <c r="L178" i="31"/>
  <c r="L46" i="31"/>
  <c r="L139" i="31"/>
  <c r="L162" i="31"/>
  <c r="L171" i="31"/>
  <c r="L149" i="31"/>
  <c r="L166" i="31"/>
  <c r="L144" i="31"/>
  <c r="L151" i="31"/>
  <c r="L152" i="31"/>
  <c r="L153" i="31"/>
  <c r="L81" i="31"/>
  <c r="L28" i="31"/>
  <c r="L27" i="31"/>
  <c r="L173" i="31"/>
  <c r="L114" i="31"/>
  <c r="L100" i="31"/>
  <c r="L159" i="31"/>
  <c r="L48" i="31"/>
  <c r="L161" i="31"/>
  <c r="L163" i="31"/>
  <c r="L93" i="31"/>
  <c r="L60" i="31"/>
  <c r="L167" i="31"/>
  <c r="L169" i="31"/>
  <c r="L170" i="31"/>
  <c r="L122" i="31"/>
  <c r="L172" i="31"/>
  <c r="L62" i="31"/>
  <c r="L6" i="31"/>
  <c r="L174" i="31"/>
  <c r="L175" i="31"/>
  <c r="L176" i="31"/>
  <c r="L19" i="31"/>
  <c r="L179" i="31"/>
  <c r="L15" i="31"/>
  <c r="L133" i="31"/>
  <c r="L38" i="31"/>
  <c r="L10" i="31"/>
  <c r="L146" i="31"/>
  <c r="L53" i="31"/>
  <c r="L156" i="31"/>
  <c r="K137" i="31"/>
  <c r="K5" i="31"/>
  <c r="K71" i="31"/>
  <c r="K95" i="31"/>
  <c r="K9" i="31"/>
  <c r="K43" i="31"/>
  <c r="K75" i="31"/>
  <c r="K12" i="31"/>
  <c r="K13" i="31"/>
  <c r="K61" i="31"/>
  <c r="K89" i="31"/>
  <c r="K157" i="31"/>
  <c r="K54" i="31"/>
  <c r="K21" i="31"/>
  <c r="K37" i="31"/>
  <c r="K23" i="31"/>
  <c r="K145" i="31"/>
  <c r="K7" i="31"/>
  <c r="K25" i="31"/>
  <c r="K26" i="31"/>
  <c r="K76" i="31"/>
  <c r="K127" i="31"/>
  <c r="K30" i="31"/>
  <c r="K150" i="31"/>
  <c r="K182" i="31"/>
  <c r="K34" i="31"/>
  <c r="K35" i="31"/>
  <c r="K36" i="31"/>
  <c r="K88" i="31"/>
  <c r="K104" i="31"/>
  <c r="K16" i="31"/>
  <c r="K106" i="31"/>
  <c r="K40" i="31"/>
  <c r="K132" i="31"/>
  <c r="K130" i="31"/>
  <c r="K118" i="31"/>
  <c r="K32" i="31"/>
  <c r="K45" i="31"/>
  <c r="K109" i="31"/>
  <c r="K142" i="31"/>
  <c r="K17" i="31"/>
  <c r="K180" i="31"/>
  <c r="K51" i="31"/>
  <c r="K52" i="31"/>
  <c r="K59" i="31"/>
  <c r="K107" i="31"/>
  <c r="K55" i="31"/>
  <c r="K73" i="31"/>
  <c r="K90" i="31"/>
  <c r="K58" i="31"/>
  <c r="K177" i="31"/>
  <c r="K165" i="31"/>
  <c r="K147" i="31"/>
  <c r="K47" i="31"/>
  <c r="K63" i="31"/>
  <c r="K74" i="31"/>
  <c r="K65" i="31"/>
  <c r="K143" i="31"/>
  <c r="K80" i="31"/>
  <c r="K67" i="31"/>
  <c r="K68" i="31"/>
  <c r="K69" i="31"/>
  <c r="K70" i="31"/>
  <c r="K135" i="31"/>
  <c r="K72" i="31"/>
  <c r="K128" i="31"/>
  <c r="K31" i="31"/>
  <c r="K111" i="31"/>
  <c r="K41" i="31"/>
  <c r="K11" i="31"/>
  <c r="K29" i="31"/>
  <c r="K116" i="31"/>
  <c r="K123" i="31"/>
  <c r="K49" i="31"/>
  <c r="K24" i="31"/>
  <c r="K44" i="31"/>
  <c r="K82" i="31"/>
  <c r="K83" i="31"/>
  <c r="K66" i="31"/>
  <c r="K110" i="31"/>
  <c r="K86" i="31"/>
  <c r="K87" i="31"/>
  <c r="K168" i="31"/>
  <c r="K164" i="31"/>
  <c r="K101" i="31"/>
  <c r="K85" i="31"/>
  <c r="K14" i="31"/>
  <c r="K134" i="31"/>
  <c r="K140" i="31"/>
  <c r="K64" i="31"/>
  <c r="K18" i="31"/>
  <c r="K20" i="31"/>
  <c r="K97" i="31"/>
  <c r="K33" i="31"/>
  <c r="K99" i="31"/>
  <c r="K158" i="31"/>
  <c r="K50" i="31"/>
  <c r="K102" i="31"/>
  <c r="K131" i="31"/>
  <c r="K103" i="31"/>
  <c r="K39" i="31"/>
  <c r="K105" i="31"/>
  <c r="K57" i="31"/>
  <c r="K96" i="31"/>
  <c r="K108" i="31"/>
  <c r="K79" i="31"/>
  <c r="K119" i="31"/>
  <c r="K141" i="31"/>
  <c r="K112" i="31"/>
  <c r="K113" i="31"/>
  <c r="K154" i="31"/>
  <c r="K160" i="31"/>
  <c r="K185" i="31"/>
  <c r="K155" i="31"/>
  <c r="K42" i="31"/>
  <c r="K115" i="31"/>
  <c r="K117" i="31"/>
  <c r="K94" i="31"/>
  <c r="K120" i="31"/>
  <c r="K8" i="31"/>
  <c r="K56" i="31"/>
  <c r="K98" i="31"/>
  <c r="K124" i="31"/>
  <c r="K126" i="31"/>
  <c r="K78" i="31"/>
  <c r="K121" i="31"/>
  <c r="K125" i="31"/>
  <c r="K22" i="31"/>
  <c r="K84" i="31"/>
  <c r="K129" i="31"/>
  <c r="K92" i="31"/>
  <c r="K148" i="31"/>
  <c r="K136" i="31"/>
  <c r="K91" i="31"/>
  <c r="K138" i="31"/>
  <c r="K181" i="31"/>
  <c r="K183" i="31"/>
  <c r="K77" i="31"/>
  <c r="K178" i="31"/>
  <c r="K46" i="31"/>
  <c r="K139" i="31"/>
  <c r="K162" i="31"/>
  <c r="K171" i="31"/>
  <c r="K149" i="31"/>
  <c r="K166" i="31"/>
  <c r="K144" i="31"/>
  <c r="K151" i="31"/>
  <c r="K152" i="31"/>
  <c r="K153" i="31"/>
  <c r="K81" i="31"/>
  <c r="K28" i="31"/>
  <c r="K27" i="31"/>
  <c r="K173" i="31"/>
  <c r="K114" i="31"/>
  <c r="K100" i="31"/>
  <c r="K159" i="31"/>
  <c r="K48" i="31"/>
  <c r="K161" i="31"/>
  <c r="K163" i="31"/>
  <c r="K93" i="31"/>
  <c r="K60" i="31"/>
  <c r="K167" i="31"/>
  <c r="K169" i="31"/>
  <c r="K170" i="31"/>
  <c r="K122" i="31"/>
  <c r="K172" i="31"/>
  <c r="K62" i="31"/>
  <c r="K6" i="31"/>
  <c r="K174" i="31"/>
  <c r="K175" i="31"/>
  <c r="K176" i="31"/>
  <c r="K19" i="31"/>
  <c r="K179" i="31"/>
  <c r="K15" i="31"/>
  <c r="K133" i="31"/>
  <c r="K38" i="31"/>
  <c r="K10" i="31"/>
  <c r="K146" i="31"/>
  <c r="K53" i="31"/>
  <c r="K156" i="31"/>
  <c r="I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46" i="26"/>
  <c r="I38" i="26"/>
  <c r="I39" i="26"/>
  <c r="I40" i="26"/>
  <c r="I41" i="26"/>
  <c r="I42" i="26"/>
  <c r="I43" i="26"/>
  <c r="I44" i="26"/>
  <c r="I71" i="26"/>
  <c r="I74" i="26"/>
  <c r="I37" i="26"/>
  <c r="I157" i="26"/>
  <c r="I180" i="26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72" i="14"/>
  <c r="I75" i="14"/>
  <c r="I76" i="14"/>
  <c r="I162" i="14"/>
  <c r="I184" i="14"/>
  <c r="H137" i="31"/>
  <c r="H5" i="31"/>
  <c r="H71" i="31"/>
  <c r="H95" i="31"/>
  <c r="H9" i="31"/>
  <c r="H43" i="31"/>
  <c r="H75" i="31"/>
  <c r="H12" i="31"/>
  <c r="H13" i="31"/>
  <c r="H61" i="31"/>
  <c r="H89" i="31"/>
  <c r="H157" i="31"/>
  <c r="H54" i="31"/>
  <c r="H21" i="31"/>
  <c r="H37" i="31"/>
  <c r="H23" i="31"/>
  <c r="H145" i="31"/>
  <c r="H7" i="31"/>
  <c r="H25" i="31"/>
  <c r="H26" i="31"/>
  <c r="H76" i="31"/>
  <c r="H127" i="31"/>
  <c r="H30" i="31"/>
  <c r="H150" i="31"/>
  <c r="H182" i="31"/>
  <c r="H34" i="31"/>
  <c r="H35" i="31"/>
  <c r="H36" i="31"/>
  <c r="H88" i="31"/>
  <c r="H104" i="31"/>
  <c r="H16" i="31"/>
  <c r="H106" i="31"/>
  <c r="H40" i="31"/>
  <c r="H132" i="31"/>
  <c r="H130" i="31"/>
  <c r="H118" i="31"/>
  <c r="H32" i="31"/>
  <c r="H45" i="31"/>
  <c r="H109" i="31"/>
  <c r="H142" i="31"/>
  <c r="H17" i="31"/>
  <c r="H180" i="31"/>
  <c r="H51" i="31"/>
  <c r="H11" i="31"/>
  <c r="H123" i="31"/>
  <c r="H49" i="31"/>
  <c r="H100" i="31"/>
  <c r="H133" i="31"/>
  <c r="AB6" i="29"/>
  <c r="L137" i="32" s="1"/>
  <c r="AB7" i="29"/>
  <c r="L5" i="32" s="1"/>
  <c r="AB8" i="29"/>
  <c r="L6" i="32" s="1"/>
  <c r="AB9" i="29"/>
  <c r="L7" i="32" s="1"/>
  <c r="AB10" i="29"/>
  <c r="L8" i="32" s="1"/>
  <c r="AB11" i="29"/>
  <c r="L167" i="32" s="1"/>
  <c r="AB12" i="29"/>
  <c r="L10" i="32" s="1"/>
  <c r="AB13" i="29"/>
  <c r="L11" i="32" s="1"/>
  <c r="AB14" i="29"/>
  <c r="L153" i="32" s="1"/>
  <c r="AB15" i="29"/>
  <c r="L72" i="32" s="1"/>
  <c r="AB16" i="29"/>
  <c r="L33" i="32" s="1"/>
  <c r="AB17" i="29"/>
  <c r="L15" i="32" s="1"/>
  <c r="AB18" i="29"/>
  <c r="L16" i="32" s="1"/>
  <c r="AB19" i="29"/>
  <c r="L79" i="32" s="1"/>
  <c r="AB20" i="29"/>
  <c r="L18" i="32" s="1"/>
  <c r="AB21" i="29"/>
  <c r="L19" i="32" s="1"/>
  <c r="AB22" i="29"/>
  <c r="L17" i="32" s="1"/>
  <c r="AB23" i="29"/>
  <c r="L52" i="32" s="1"/>
  <c r="AB24" i="29"/>
  <c r="L22" i="32" s="1"/>
  <c r="AB25" i="29"/>
  <c r="L82" i="32" s="1"/>
  <c r="AB26" i="29"/>
  <c r="L24" i="32" s="1"/>
  <c r="AB27" i="29"/>
  <c r="L165" i="32" s="1"/>
  <c r="AB28" i="29"/>
  <c r="L70" i="32" s="1"/>
  <c r="AB29" i="29"/>
  <c r="L27" i="32" s="1"/>
  <c r="AB30" i="29"/>
  <c r="L28" i="32" s="1"/>
  <c r="AB31" i="29"/>
  <c r="L48" i="32" s="1"/>
  <c r="AB32" i="29"/>
  <c r="L102" i="32" s="1"/>
  <c r="AB33" i="29"/>
  <c r="L31" i="32" s="1"/>
  <c r="AB34" i="29"/>
  <c r="L32" i="32" s="1"/>
  <c r="AB35" i="29"/>
  <c r="L98" i="32" s="1"/>
  <c r="AB36" i="29"/>
  <c r="L83" i="32" s="1"/>
  <c r="AB37" i="29"/>
  <c r="L13" i="32" s="1"/>
  <c r="AB38" i="29"/>
  <c r="L23" i="32" s="1"/>
  <c r="AB39" i="29"/>
  <c r="L37" i="32" s="1"/>
  <c r="AB40" i="29"/>
  <c r="L38" i="32" s="1"/>
  <c r="AB41" i="29"/>
  <c r="L39" i="32" s="1"/>
  <c r="AB42" i="29"/>
  <c r="L169" i="32" s="1"/>
  <c r="AB43" i="29"/>
  <c r="L41" i="32" s="1"/>
  <c r="AB44" i="29"/>
  <c r="L42" i="32" s="1"/>
  <c r="AB45" i="29"/>
  <c r="L43" i="32" s="1"/>
  <c r="AB46" i="29"/>
  <c r="L44" i="32" s="1"/>
  <c r="AB47" i="29"/>
  <c r="L60" i="32" s="1"/>
  <c r="AB48" i="29"/>
  <c r="L96" i="32" s="1"/>
  <c r="AB49" i="29"/>
  <c r="L145" i="32" s="1"/>
  <c r="AB50" i="29"/>
  <c r="L46" i="32" s="1"/>
  <c r="AB51" i="29"/>
  <c r="L49" i="32" s="1"/>
  <c r="AB52" i="29"/>
  <c r="L50" i="32" s="1"/>
  <c r="AB53" i="29"/>
  <c r="L173" i="32" s="1"/>
  <c r="AB54" i="29"/>
  <c r="L126" i="32" s="1"/>
  <c r="AB55" i="29"/>
  <c r="L53" i="32" s="1"/>
  <c r="AB56" i="29"/>
  <c r="L185" i="32" s="1"/>
  <c r="AB57" i="29"/>
  <c r="L133" i="32" s="1"/>
  <c r="AB58" i="29"/>
  <c r="L171" i="32" s="1"/>
  <c r="AB59" i="29"/>
  <c r="L56" i="32" s="1"/>
  <c r="AB60" i="29"/>
  <c r="L57" i="32" s="1"/>
  <c r="AB61" i="29"/>
  <c r="L149" i="32" s="1"/>
  <c r="AB62" i="29"/>
  <c r="L59" i="32" s="1"/>
  <c r="AB63" i="29"/>
  <c r="L55" i="32" s="1"/>
  <c r="AB64" i="29"/>
  <c r="L61" i="32" s="1"/>
  <c r="AB65" i="29"/>
  <c r="L81" i="32" s="1"/>
  <c r="AB66" i="29"/>
  <c r="L63" i="32" s="1"/>
  <c r="AB67" i="29"/>
  <c r="L64" i="32" s="1"/>
  <c r="AB68" i="29"/>
  <c r="L151" i="32" s="1"/>
  <c r="AB69" i="29"/>
  <c r="L127" i="32" s="1"/>
  <c r="AB70" i="29"/>
  <c r="L161" i="32" s="1"/>
  <c r="AB71" i="29"/>
  <c r="L103" i="32" s="1"/>
  <c r="AB72" i="29"/>
  <c r="L117" i="32" s="1"/>
  <c r="AB73" i="29"/>
  <c r="L162" i="32" s="1"/>
  <c r="AB74" i="29"/>
  <c r="L71" i="32" s="1"/>
  <c r="AB75" i="29"/>
  <c r="L152" i="32" s="1"/>
  <c r="AB76" i="29"/>
  <c r="L73" i="32" s="1"/>
  <c r="AB77" i="29"/>
  <c r="L74" i="32" s="1"/>
  <c r="AB78" i="29"/>
  <c r="L75" i="32" s="1"/>
  <c r="AB79" i="29"/>
  <c r="L76" i="32" s="1"/>
  <c r="AB80" i="29"/>
  <c r="L77" i="32" s="1"/>
  <c r="AB81" i="29"/>
  <c r="L66" i="32" s="1"/>
  <c r="AB82" i="29"/>
  <c r="L154" i="32" s="1"/>
  <c r="AB83" i="29"/>
  <c r="L142" i="32" s="1"/>
  <c r="AB84" i="29"/>
  <c r="L91" i="32" s="1"/>
  <c r="AB85" i="29"/>
  <c r="L68" i="32" s="1"/>
  <c r="AB86" i="29"/>
  <c r="L163" i="32" s="1"/>
  <c r="AB87" i="29"/>
  <c r="L84" i="32" s="1"/>
  <c r="AB88" i="29"/>
  <c r="L85" i="32" s="1"/>
  <c r="AB89" i="29"/>
  <c r="L175" i="32" s="1"/>
  <c r="AB90" i="29"/>
  <c r="L87" i="32" s="1"/>
  <c r="AB91" i="29"/>
  <c r="L88" i="32" s="1"/>
  <c r="AB92" i="29"/>
  <c r="L89" i="32" s="1"/>
  <c r="AB93" i="29"/>
  <c r="L90" i="32" s="1"/>
  <c r="AB94" i="29"/>
  <c r="L116" i="32" s="1"/>
  <c r="AB95" i="29"/>
  <c r="L92" i="32" s="1"/>
  <c r="AB96" i="29"/>
  <c r="L93" i="32" s="1"/>
  <c r="AB97" i="29"/>
  <c r="L94" i="32" s="1"/>
  <c r="AB98" i="29"/>
  <c r="L125" i="32" s="1"/>
  <c r="AB99" i="29"/>
  <c r="L45" i="32" s="1"/>
  <c r="AB100" i="29"/>
  <c r="L80" i="32" s="1"/>
  <c r="AB101" i="29"/>
  <c r="L35" i="32" s="1"/>
  <c r="AB102" i="29"/>
  <c r="L100" i="32" s="1"/>
  <c r="AB103" i="29"/>
  <c r="L101" i="32" s="1"/>
  <c r="AB104" i="29"/>
  <c r="L186" i="32" s="1"/>
  <c r="AB105" i="29"/>
  <c r="L86" i="32" s="1"/>
  <c r="AB106" i="29"/>
  <c r="L97" i="32" s="1"/>
  <c r="AB107" i="29"/>
  <c r="L104" i="32" s="1"/>
  <c r="AB108" i="29"/>
  <c r="L9" i="32" s="1"/>
  <c r="AB109" i="29"/>
  <c r="L106" i="32" s="1"/>
  <c r="AB110" i="29"/>
  <c r="L20" i="32" s="1"/>
  <c r="AB111" i="29"/>
  <c r="L99" i="32" s="1"/>
  <c r="AB112" i="29"/>
  <c r="L109" i="32" s="1"/>
  <c r="AB113" i="29"/>
  <c r="L110" i="32" s="1"/>
  <c r="AB114" i="29"/>
  <c r="L111" i="32" s="1"/>
  <c r="AB115" i="29"/>
  <c r="L112" i="32" s="1"/>
  <c r="AB116" i="29"/>
  <c r="L159" i="32" s="1"/>
  <c r="AB117" i="29"/>
  <c r="L114" i="32" s="1"/>
  <c r="AB118" i="29"/>
  <c r="L36" i="32" s="1"/>
  <c r="AB119" i="29"/>
  <c r="L62" i="32" s="1"/>
  <c r="AB120" i="29"/>
  <c r="L67" i="32" s="1"/>
  <c r="AB121" i="29"/>
  <c r="L118" i="32" s="1"/>
  <c r="AB122" i="29"/>
  <c r="L119" i="32" s="1"/>
  <c r="AB123" i="29"/>
  <c r="L108" i="32" s="1"/>
  <c r="AB124" i="29"/>
  <c r="L181" i="32" s="1"/>
  <c r="AB125" i="29"/>
  <c r="L122" i="32" s="1"/>
  <c r="AB126" i="29"/>
  <c r="L123" i="32" s="1"/>
  <c r="AB127" i="29"/>
  <c r="L124" i="32" s="1"/>
  <c r="AB128" i="29"/>
  <c r="L78" i="32" s="1"/>
  <c r="AB129" i="29"/>
  <c r="L113" i="32" s="1"/>
  <c r="AB130" i="29"/>
  <c r="L107" i="32" s="1"/>
  <c r="AB131" i="29"/>
  <c r="L128" i="32" s="1"/>
  <c r="AB132" i="29"/>
  <c r="L129" i="32" s="1"/>
  <c r="AB133" i="29"/>
  <c r="L130" i="32" s="1"/>
  <c r="AB134" i="29"/>
  <c r="L47" i="32" s="1"/>
  <c r="AB135" i="29"/>
  <c r="L132" i="32" s="1"/>
  <c r="AB136" i="29"/>
  <c r="L160" i="32" s="1"/>
  <c r="AB137" i="29"/>
  <c r="L134" i="32" s="1"/>
  <c r="AB138" i="29"/>
  <c r="L135" i="32" s="1"/>
  <c r="AB139" i="29"/>
  <c r="L136" i="32" s="1"/>
  <c r="AB140" i="29"/>
  <c r="L121" i="32" s="1"/>
  <c r="AB141" i="29"/>
  <c r="L69" i="32" s="1"/>
  <c r="AB142" i="29"/>
  <c r="L139" i="32" s="1"/>
  <c r="AB143" i="29"/>
  <c r="L140" i="32" s="1"/>
  <c r="AB144" i="29"/>
  <c r="L141" i="32" s="1"/>
  <c r="AB145" i="29"/>
  <c r="L143" i="32" s="1"/>
  <c r="AB146" i="29"/>
  <c r="L188" i="32" s="1"/>
  <c r="AB147" i="29"/>
  <c r="L29" i="32" s="1"/>
  <c r="AB148" i="29"/>
  <c r="L189" i="32" s="1"/>
  <c r="AB149" i="29"/>
  <c r="L144" i="32" s="1"/>
  <c r="AB150" i="29"/>
  <c r="L54" i="32" s="1"/>
  <c r="AB151" i="29"/>
  <c r="L146" i="32" s="1"/>
  <c r="AB152" i="29"/>
  <c r="L147" i="32" s="1"/>
  <c r="AB153" i="29"/>
  <c r="L148" i="32" s="1"/>
  <c r="AB154" i="29"/>
  <c r="L115" i="32" s="1"/>
  <c r="AB155" i="29"/>
  <c r="L150" i="32" s="1"/>
  <c r="AB156" i="29"/>
  <c r="L190" i="32" s="1"/>
  <c r="AB157" i="29"/>
  <c r="L138" i="32" s="1"/>
  <c r="AB158" i="29"/>
  <c r="L174" i="32" s="1"/>
  <c r="AB159" i="29"/>
  <c r="L58" i="32" s="1"/>
  <c r="AB160" i="29"/>
  <c r="L95" i="32" s="1"/>
  <c r="AB161" i="29"/>
  <c r="L155" i="32" s="1"/>
  <c r="AB162" i="29"/>
  <c r="L156" i="32" s="1"/>
  <c r="AB163" i="29"/>
  <c r="L157" i="32" s="1"/>
  <c r="AB164" i="29"/>
  <c r="L158" i="32" s="1"/>
  <c r="AB165" i="29"/>
  <c r="L21" i="32" s="1"/>
  <c r="AB166" i="29"/>
  <c r="L177" i="32" s="1"/>
  <c r="AB167" i="29"/>
  <c r="L40" i="32" s="1"/>
  <c r="AB168" i="29"/>
  <c r="L105" i="32" s="1"/>
  <c r="AB169" i="29"/>
  <c r="L34" i="32" s="1"/>
  <c r="AB170" i="29"/>
  <c r="L164" i="32" s="1"/>
  <c r="AB171" i="29"/>
  <c r="L25" i="32" s="1"/>
  <c r="AB172" i="29"/>
  <c r="L65" i="32" s="1"/>
  <c r="AB173" i="29"/>
  <c r="L51" i="32" s="1"/>
  <c r="AB174" i="29"/>
  <c r="L191" i="32" s="1"/>
  <c r="AB175" i="29"/>
  <c r="L193" i="32" s="1"/>
  <c r="AB176" i="29"/>
  <c r="L30" i="32" s="1"/>
  <c r="AB177" i="29"/>
  <c r="L26" i="32" s="1"/>
  <c r="AB178" i="29"/>
  <c r="L170" i="32" s="1"/>
  <c r="AB179" i="29"/>
  <c r="L168" i="32" s="1"/>
  <c r="AB180" i="29"/>
  <c r="L194" i="32" s="1"/>
  <c r="AB181" i="29"/>
  <c r="L172" i="32" s="1"/>
  <c r="AB182" i="29"/>
  <c r="L12" i="32" s="1"/>
  <c r="AB183" i="29"/>
  <c r="L178" i="32" s="1"/>
  <c r="AB184" i="29"/>
  <c r="L120" i="32" s="1"/>
  <c r="AB185" i="29"/>
  <c r="L176" i="32" s="1"/>
  <c r="AB186" i="29"/>
  <c r="L131" i="32" s="1"/>
  <c r="AB187" i="29"/>
  <c r="L166" i="32" s="1"/>
  <c r="AB188" i="29"/>
  <c r="L179" i="32" s="1"/>
  <c r="AB189" i="29"/>
  <c r="L180" i="32" s="1"/>
  <c r="AB190" i="29"/>
  <c r="L14" i="32" s="1"/>
  <c r="AB191" i="29"/>
  <c r="L196" i="32" s="1"/>
  <c r="AB192" i="29"/>
  <c r="L182" i="32" s="1"/>
  <c r="AB193" i="29"/>
  <c r="L183" i="32" s="1"/>
  <c r="AB194" i="29"/>
  <c r="L4" i="32" s="1"/>
  <c r="R6" i="29"/>
  <c r="J137" i="32" s="1"/>
  <c r="R7" i="29"/>
  <c r="J5" i="32" s="1"/>
  <c r="R8" i="29"/>
  <c r="J6" i="32" s="1"/>
  <c r="R9" i="29"/>
  <c r="J7" i="32" s="1"/>
  <c r="R10" i="29"/>
  <c r="J8" i="32" s="1"/>
  <c r="R11" i="29"/>
  <c r="J167" i="32" s="1"/>
  <c r="R12" i="29"/>
  <c r="J10" i="32" s="1"/>
  <c r="R13" i="29"/>
  <c r="J11" i="32" s="1"/>
  <c r="R14" i="29"/>
  <c r="J153" i="32" s="1"/>
  <c r="R15" i="29"/>
  <c r="J72" i="32" s="1"/>
  <c r="R16" i="29"/>
  <c r="J33" i="32" s="1"/>
  <c r="R17" i="29"/>
  <c r="J15" i="32" s="1"/>
  <c r="R18" i="29"/>
  <c r="J16" i="32" s="1"/>
  <c r="R19" i="29"/>
  <c r="J79" i="32" s="1"/>
  <c r="R20" i="29"/>
  <c r="J18" i="32" s="1"/>
  <c r="R21" i="29"/>
  <c r="J19" i="32" s="1"/>
  <c r="R22" i="29"/>
  <c r="J17" i="32" s="1"/>
  <c r="R23" i="29"/>
  <c r="J52" i="32" s="1"/>
  <c r="R24" i="29"/>
  <c r="J22" i="32" s="1"/>
  <c r="R25" i="29"/>
  <c r="J82" i="32" s="1"/>
  <c r="R26" i="29"/>
  <c r="J24" i="32" s="1"/>
  <c r="R27" i="29"/>
  <c r="J165" i="32" s="1"/>
  <c r="R28" i="29"/>
  <c r="J70" i="32" s="1"/>
  <c r="R29" i="29"/>
  <c r="J27" i="32" s="1"/>
  <c r="R30" i="29"/>
  <c r="J28" i="32" s="1"/>
  <c r="R31" i="29"/>
  <c r="J48" i="32" s="1"/>
  <c r="R32" i="29"/>
  <c r="J102" i="32" s="1"/>
  <c r="R33" i="29"/>
  <c r="J31" i="32" s="1"/>
  <c r="R34" i="29"/>
  <c r="J32" i="32" s="1"/>
  <c r="R35" i="29"/>
  <c r="J98" i="32" s="1"/>
  <c r="R36" i="29"/>
  <c r="J83" i="32" s="1"/>
  <c r="R37" i="29"/>
  <c r="J13" i="32" s="1"/>
  <c r="R38" i="29"/>
  <c r="J23" i="32" s="1"/>
  <c r="R39" i="29"/>
  <c r="J37" i="32" s="1"/>
  <c r="R40" i="29"/>
  <c r="J38" i="32" s="1"/>
  <c r="R41" i="29"/>
  <c r="J39" i="32" s="1"/>
  <c r="R42" i="29"/>
  <c r="J169" i="32" s="1"/>
  <c r="R43" i="29"/>
  <c r="J41" i="32" s="1"/>
  <c r="R44" i="29"/>
  <c r="J42" i="32" s="1"/>
  <c r="R45" i="29"/>
  <c r="J43" i="32" s="1"/>
  <c r="R46" i="29"/>
  <c r="J44" i="32" s="1"/>
  <c r="R47" i="29"/>
  <c r="J60" i="32" s="1"/>
  <c r="R48" i="29"/>
  <c r="J96" i="32" s="1"/>
  <c r="R49" i="29"/>
  <c r="J145" i="32" s="1"/>
  <c r="R50" i="29"/>
  <c r="J46" i="32" s="1"/>
  <c r="R51" i="29"/>
  <c r="J49" i="32" s="1"/>
  <c r="R52" i="29"/>
  <c r="J50" i="32" s="1"/>
  <c r="R53" i="29"/>
  <c r="J173" i="32" s="1"/>
  <c r="R54" i="29"/>
  <c r="J126" i="32" s="1"/>
  <c r="R55" i="29"/>
  <c r="J53" i="32" s="1"/>
  <c r="R56" i="29"/>
  <c r="J185" i="32" s="1"/>
  <c r="R57" i="29"/>
  <c r="J133" i="32" s="1"/>
  <c r="R58" i="29"/>
  <c r="J171" i="32" s="1"/>
  <c r="R59" i="29"/>
  <c r="J56" i="32" s="1"/>
  <c r="R60" i="29"/>
  <c r="J57" i="32" s="1"/>
  <c r="R61" i="29"/>
  <c r="J149" i="32" s="1"/>
  <c r="R62" i="29"/>
  <c r="J59" i="32" s="1"/>
  <c r="R63" i="29"/>
  <c r="J55" i="32" s="1"/>
  <c r="R64" i="29"/>
  <c r="J61" i="32" s="1"/>
  <c r="R65" i="29"/>
  <c r="J81" i="32" s="1"/>
  <c r="R66" i="29"/>
  <c r="J63" i="32" s="1"/>
  <c r="R67" i="29"/>
  <c r="J64" i="32" s="1"/>
  <c r="R68" i="29"/>
  <c r="J151" i="32" s="1"/>
  <c r="R69" i="29"/>
  <c r="J127" i="32" s="1"/>
  <c r="R70" i="29"/>
  <c r="J161" i="32" s="1"/>
  <c r="R71" i="29"/>
  <c r="J103" i="32" s="1"/>
  <c r="R72" i="29"/>
  <c r="J117" i="32" s="1"/>
  <c r="R73" i="29"/>
  <c r="J162" i="32" s="1"/>
  <c r="R74" i="29"/>
  <c r="J71" i="32" s="1"/>
  <c r="R75" i="29"/>
  <c r="J152" i="32" s="1"/>
  <c r="R76" i="29"/>
  <c r="J73" i="32" s="1"/>
  <c r="R77" i="29"/>
  <c r="J74" i="32" s="1"/>
  <c r="R78" i="29"/>
  <c r="J75" i="32" s="1"/>
  <c r="R79" i="29"/>
  <c r="J76" i="32" s="1"/>
  <c r="R80" i="29"/>
  <c r="J77" i="32" s="1"/>
  <c r="R81" i="29"/>
  <c r="J66" i="32" s="1"/>
  <c r="R82" i="29"/>
  <c r="J154" i="32" s="1"/>
  <c r="R83" i="29"/>
  <c r="J142" i="32" s="1"/>
  <c r="R84" i="29"/>
  <c r="J91" i="32" s="1"/>
  <c r="R85" i="29"/>
  <c r="J68" i="32" s="1"/>
  <c r="R86" i="29"/>
  <c r="J163" i="32" s="1"/>
  <c r="R87" i="29"/>
  <c r="J84" i="32" s="1"/>
  <c r="R88" i="29"/>
  <c r="J85" i="32" s="1"/>
  <c r="R89" i="29"/>
  <c r="J175" i="32" s="1"/>
  <c r="R90" i="29"/>
  <c r="J87" i="32" s="1"/>
  <c r="R91" i="29"/>
  <c r="J88" i="32" s="1"/>
  <c r="R92" i="29"/>
  <c r="J89" i="32" s="1"/>
  <c r="R93" i="29"/>
  <c r="J90" i="32" s="1"/>
  <c r="R94" i="29"/>
  <c r="J116" i="32" s="1"/>
  <c r="R95" i="29"/>
  <c r="J92" i="32" s="1"/>
  <c r="R96" i="29"/>
  <c r="J93" i="32" s="1"/>
  <c r="R97" i="29"/>
  <c r="J94" i="32" s="1"/>
  <c r="R98" i="29"/>
  <c r="J125" i="32" s="1"/>
  <c r="R99" i="29"/>
  <c r="J45" i="32" s="1"/>
  <c r="R100" i="29"/>
  <c r="J80" i="32" s="1"/>
  <c r="R101" i="29"/>
  <c r="J35" i="32" s="1"/>
  <c r="R102" i="29"/>
  <c r="J100" i="32" s="1"/>
  <c r="R103" i="29"/>
  <c r="J101" i="32" s="1"/>
  <c r="R104" i="29"/>
  <c r="J186" i="32" s="1"/>
  <c r="R105" i="29"/>
  <c r="J86" i="32" s="1"/>
  <c r="R106" i="29"/>
  <c r="J97" i="32" s="1"/>
  <c r="R107" i="29"/>
  <c r="J104" i="32" s="1"/>
  <c r="R108" i="29"/>
  <c r="J9" i="32" s="1"/>
  <c r="R109" i="29"/>
  <c r="J106" i="32" s="1"/>
  <c r="R110" i="29"/>
  <c r="J20" i="32" s="1"/>
  <c r="R111" i="29"/>
  <c r="J99" i="32" s="1"/>
  <c r="R112" i="29"/>
  <c r="J109" i="32" s="1"/>
  <c r="R113" i="29"/>
  <c r="J110" i="32" s="1"/>
  <c r="R114" i="29"/>
  <c r="J111" i="32" s="1"/>
  <c r="R115" i="29"/>
  <c r="J112" i="32" s="1"/>
  <c r="R116" i="29"/>
  <c r="J159" i="32" s="1"/>
  <c r="R117" i="29"/>
  <c r="J114" i="32" s="1"/>
  <c r="R118" i="29"/>
  <c r="J36" i="32" s="1"/>
  <c r="R119" i="29"/>
  <c r="J62" i="32" s="1"/>
  <c r="R120" i="29"/>
  <c r="J67" i="32" s="1"/>
  <c r="R121" i="29"/>
  <c r="J118" i="32" s="1"/>
  <c r="R122" i="29"/>
  <c r="J119" i="32" s="1"/>
  <c r="R123" i="29"/>
  <c r="J108" i="32" s="1"/>
  <c r="R124" i="29"/>
  <c r="J181" i="32" s="1"/>
  <c r="R125" i="29"/>
  <c r="J122" i="32" s="1"/>
  <c r="R126" i="29"/>
  <c r="J123" i="32" s="1"/>
  <c r="R127" i="29"/>
  <c r="J124" i="32" s="1"/>
  <c r="R128" i="29"/>
  <c r="J78" i="32" s="1"/>
  <c r="R129" i="29"/>
  <c r="J113" i="32" s="1"/>
  <c r="R130" i="29"/>
  <c r="J107" i="32" s="1"/>
  <c r="R131" i="29"/>
  <c r="J128" i="32" s="1"/>
  <c r="R132" i="29"/>
  <c r="J129" i="32" s="1"/>
  <c r="R133" i="29"/>
  <c r="J130" i="32" s="1"/>
  <c r="R134" i="29"/>
  <c r="J47" i="32" s="1"/>
  <c r="R135" i="29"/>
  <c r="J132" i="32" s="1"/>
  <c r="R136" i="29"/>
  <c r="J160" i="32" s="1"/>
  <c r="R137" i="29"/>
  <c r="J134" i="32" s="1"/>
  <c r="R138" i="29"/>
  <c r="J135" i="32" s="1"/>
  <c r="R139" i="29"/>
  <c r="J136" i="32" s="1"/>
  <c r="R140" i="29"/>
  <c r="J121" i="32" s="1"/>
  <c r="R141" i="29"/>
  <c r="J69" i="32" s="1"/>
  <c r="R142" i="29"/>
  <c r="J139" i="32" s="1"/>
  <c r="R143" i="29"/>
  <c r="J140" i="32" s="1"/>
  <c r="R144" i="29"/>
  <c r="J141" i="32" s="1"/>
  <c r="R145" i="29"/>
  <c r="J143" i="32" s="1"/>
  <c r="R146" i="29"/>
  <c r="J188" i="32" s="1"/>
  <c r="R147" i="29"/>
  <c r="J29" i="32" s="1"/>
  <c r="R148" i="29"/>
  <c r="J189" i="32" s="1"/>
  <c r="R149" i="29"/>
  <c r="J144" i="32" s="1"/>
  <c r="R150" i="29"/>
  <c r="J54" i="32" s="1"/>
  <c r="R151" i="29"/>
  <c r="J146" i="32" s="1"/>
  <c r="R152" i="29"/>
  <c r="J147" i="32" s="1"/>
  <c r="R153" i="29"/>
  <c r="J148" i="32" s="1"/>
  <c r="R154" i="29"/>
  <c r="J115" i="32" s="1"/>
  <c r="R155" i="29"/>
  <c r="J150" i="32" s="1"/>
  <c r="R156" i="29"/>
  <c r="J190" i="32" s="1"/>
  <c r="R157" i="29"/>
  <c r="J138" i="32" s="1"/>
  <c r="R158" i="29"/>
  <c r="J174" i="32" s="1"/>
  <c r="R159" i="29"/>
  <c r="J58" i="32" s="1"/>
  <c r="R160" i="29"/>
  <c r="J95" i="32" s="1"/>
  <c r="R161" i="29"/>
  <c r="J155" i="32" s="1"/>
  <c r="R162" i="29"/>
  <c r="J156" i="32" s="1"/>
  <c r="R163" i="29"/>
  <c r="J157" i="32" s="1"/>
  <c r="R164" i="29"/>
  <c r="J158" i="32" s="1"/>
  <c r="R165" i="29"/>
  <c r="J21" i="32" s="1"/>
  <c r="R166" i="29"/>
  <c r="J177" i="32" s="1"/>
  <c r="R167" i="29"/>
  <c r="J40" i="32" s="1"/>
  <c r="R168" i="29"/>
  <c r="J105" i="32" s="1"/>
  <c r="R169" i="29"/>
  <c r="J34" i="32" s="1"/>
  <c r="R170" i="29"/>
  <c r="J164" i="32" s="1"/>
  <c r="R171" i="29"/>
  <c r="J25" i="32" s="1"/>
  <c r="R172" i="29"/>
  <c r="J65" i="32" s="1"/>
  <c r="R173" i="29"/>
  <c r="J51" i="32" s="1"/>
  <c r="R174" i="29"/>
  <c r="J191" i="32" s="1"/>
  <c r="R175" i="29"/>
  <c r="J193" i="32" s="1"/>
  <c r="R176" i="29"/>
  <c r="J30" i="32" s="1"/>
  <c r="R177" i="29"/>
  <c r="J26" i="32" s="1"/>
  <c r="R178" i="29"/>
  <c r="J170" i="32" s="1"/>
  <c r="R179" i="29"/>
  <c r="J168" i="32" s="1"/>
  <c r="R180" i="29"/>
  <c r="J194" i="32" s="1"/>
  <c r="R181" i="29"/>
  <c r="J172" i="32" s="1"/>
  <c r="R182" i="29"/>
  <c r="J12" i="32" s="1"/>
  <c r="R183" i="29"/>
  <c r="J178" i="32" s="1"/>
  <c r="R184" i="29"/>
  <c r="J120" i="32" s="1"/>
  <c r="R185" i="29"/>
  <c r="J176" i="32" s="1"/>
  <c r="R186" i="29"/>
  <c r="J131" i="32" s="1"/>
  <c r="R187" i="29"/>
  <c r="J166" i="32" s="1"/>
  <c r="R188" i="29"/>
  <c r="J179" i="32" s="1"/>
  <c r="R189" i="29"/>
  <c r="J180" i="32" s="1"/>
  <c r="R190" i="29"/>
  <c r="J14" i="32" s="1"/>
  <c r="R191" i="29"/>
  <c r="J196" i="32" s="1"/>
  <c r="R192" i="29"/>
  <c r="J182" i="32" s="1"/>
  <c r="R194" i="29"/>
  <c r="J4" i="32" s="1"/>
  <c r="AD195" i="29"/>
  <c r="AC195" i="29"/>
  <c r="U195" i="29"/>
  <c r="Y195" i="29"/>
  <c r="AA195" i="29"/>
  <c r="J195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A195" i="29"/>
  <c r="G137" i="32" l="1"/>
  <c r="G5" i="32"/>
  <c r="G7" i="32"/>
  <c r="G8" i="32"/>
  <c r="G167" i="32"/>
  <c r="G10" i="32"/>
  <c r="G11" i="32"/>
  <c r="G153" i="32"/>
  <c r="G72" i="32"/>
  <c r="G15" i="32"/>
  <c r="G18" i="32"/>
  <c r="G19" i="32"/>
  <c r="G17" i="32"/>
  <c r="G52" i="32"/>
  <c r="G22" i="32"/>
  <c r="G82" i="32"/>
  <c r="G79" i="32"/>
  <c r="G24" i="32"/>
  <c r="G165" i="32"/>
  <c r="G70" i="32"/>
  <c r="G27" i="32"/>
  <c r="G48" i="32"/>
  <c r="G102" i="32"/>
  <c r="G31" i="32"/>
  <c r="G98" i="32"/>
  <c r="G83" i="32"/>
  <c r="G13" i="32"/>
  <c r="G23" i="32"/>
  <c r="G38" i="32"/>
  <c r="G37" i="32"/>
  <c r="G6" i="32"/>
  <c r="G39" i="32"/>
  <c r="G169" i="32"/>
  <c r="G41" i="32"/>
  <c r="G42" i="32"/>
  <c r="G43" i="32"/>
  <c r="G44" i="32"/>
  <c r="G60" i="32"/>
  <c r="G96" i="32"/>
  <c r="G145" i="32"/>
  <c r="G46" i="32"/>
  <c r="G50" i="32"/>
  <c r="G173" i="32"/>
  <c r="G49" i="32"/>
  <c r="G28" i="32"/>
  <c r="G32" i="32"/>
  <c r="G16" i="32"/>
  <c r="G33" i="32"/>
  <c r="F137" i="32"/>
  <c r="F5" i="32"/>
  <c r="F7" i="32"/>
  <c r="F8" i="32"/>
  <c r="F167" i="32"/>
  <c r="F10" i="32"/>
  <c r="F11" i="32"/>
  <c r="F153" i="32"/>
  <c r="F72" i="32"/>
  <c r="F15" i="32"/>
  <c r="F18" i="32"/>
  <c r="F19" i="32"/>
  <c r="F17" i="32"/>
  <c r="F52" i="32"/>
  <c r="F22" i="32"/>
  <c r="F82" i="32"/>
  <c r="F79" i="32"/>
  <c r="F24" i="32"/>
  <c r="F165" i="32"/>
  <c r="F70" i="32"/>
  <c r="F27" i="32"/>
  <c r="F48" i="32"/>
  <c r="F102" i="32"/>
  <c r="F31" i="32"/>
  <c r="F98" i="32"/>
  <c r="F83" i="32"/>
  <c r="F13" i="32"/>
  <c r="F23" i="32"/>
  <c r="F38" i="32"/>
  <c r="F37" i="32"/>
  <c r="F6" i="32"/>
  <c r="F39" i="32"/>
  <c r="F169" i="32"/>
  <c r="F41" i="32"/>
  <c r="F42" i="32"/>
  <c r="F43" i="32"/>
  <c r="F44" i="32"/>
  <c r="F60" i="32"/>
  <c r="F96" i="32"/>
  <c r="F145" i="32"/>
  <c r="F46" i="32"/>
  <c r="F50" i="32"/>
  <c r="F173" i="32"/>
  <c r="F49" i="32"/>
  <c r="F28" i="32"/>
  <c r="F32" i="32"/>
  <c r="F16" i="32"/>
  <c r="F33" i="32"/>
  <c r="D137" i="32"/>
  <c r="D5" i="32"/>
  <c r="D7" i="32"/>
  <c r="D8" i="32"/>
  <c r="D167" i="32"/>
  <c r="D10" i="32"/>
  <c r="D11" i="32"/>
  <c r="D153" i="32"/>
  <c r="D72" i="32"/>
  <c r="D15" i="32"/>
  <c r="D18" i="32"/>
  <c r="D19" i="32"/>
  <c r="D17" i="32"/>
  <c r="D52" i="32"/>
  <c r="D22" i="32"/>
  <c r="D82" i="32"/>
  <c r="D79" i="32"/>
  <c r="D24" i="32"/>
  <c r="D165" i="32"/>
  <c r="D70" i="32"/>
  <c r="D27" i="32"/>
  <c r="D48" i="32"/>
  <c r="D102" i="32"/>
  <c r="D31" i="32"/>
  <c r="D98" i="32"/>
  <c r="D83" i="32"/>
  <c r="D13" i="32"/>
  <c r="D23" i="32"/>
  <c r="D38" i="32"/>
  <c r="D37" i="32"/>
  <c r="D6" i="32"/>
  <c r="D39" i="32"/>
  <c r="D169" i="32"/>
  <c r="D41" i="32"/>
  <c r="D42" i="32"/>
  <c r="D43" i="32"/>
  <c r="D44" i="32"/>
  <c r="D60" i="32"/>
  <c r="D96" i="32"/>
  <c r="D145" i="32"/>
  <c r="D46" i="32"/>
  <c r="D50" i="32"/>
  <c r="D173" i="32"/>
  <c r="D49" i="32"/>
  <c r="D28" i="32"/>
  <c r="D32" i="32"/>
  <c r="D16" i="32"/>
  <c r="D33" i="32"/>
  <c r="C137" i="32"/>
  <c r="C5" i="32"/>
  <c r="C7" i="32"/>
  <c r="C8" i="32"/>
  <c r="C167" i="32"/>
  <c r="C10" i="32"/>
  <c r="C11" i="32"/>
  <c r="C153" i="32"/>
  <c r="C72" i="32"/>
  <c r="C15" i="32"/>
  <c r="C18" i="32"/>
  <c r="C19" i="32"/>
  <c r="C17" i="32"/>
  <c r="C52" i="32"/>
  <c r="C22" i="32"/>
  <c r="C82" i="32"/>
  <c r="C79" i="32"/>
  <c r="C24" i="32"/>
  <c r="C165" i="32"/>
  <c r="C70" i="32"/>
  <c r="C27" i="32"/>
  <c r="C48" i="32"/>
  <c r="C102" i="32"/>
  <c r="C31" i="32"/>
  <c r="C98" i="32"/>
  <c r="C83" i="32"/>
  <c r="C13" i="32"/>
  <c r="C23" i="32"/>
  <c r="C38" i="32"/>
  <c r="C37" i="32"/>
  <c r="C6" i="32"/>
  <c r="C39" i="32"/>
  <c r="C169" i="32"/>
  <c r="C41" i="32"/>
  <c r="C42" i="32"/>
  <c r="C43" i="32"/>
  <c r="C44" i="32"/>
  <c r="C60" i="32"/>
  <c r="C96" i="32"/>
  <c r="C145" i="32"/>
  <c r="C46" i="32"/>
  <c r="C50" i="32"/>
  <c r="C173" i="32"/>
  <c r="C49" i="32"/>
  <c r="C28" i="32"/>
  <c r="C32" i="32"/>
  <c r="C16" i="32"/>
  <c r="C33" i="32"/>
  <c r="B137" i="32"/>
  <c r="B5" i="32"/>
  <c r="B7" i="32"/>
  <c r="B8" i="32"/>
  <c r="B167" i="32"/>
  <c r="B10" i="32"/>
  <c r="B11" i="32"/>
  <c r="B153" i="32"/>
  <c r="B72" i="32"/>
  <c r="B15" i="32"/>
  <c r="B18" i="32"/>
  <c r="B19" i="32"/>
  <c r="B17" i="32"/>
  <c r="B52" i="32"/>
  <c r="B22" i="32"/>
  <c r="B82" i="32"/>
  <c r="B79" i="32"/>
  <c r="B24" i="32"/>
  <c r="B165" i="32"/>
  <c r="B70" i="32"/>
  <c r="B27" i="32"/>
  <c r="B48" i="32"/>
  <c r="B102" i="32"/>
  <c r="B31" i="32"/>
  <c r="B98" i="32"/>
  <c r="B83" i="32"/>
  <c r="B13" i="32"/>
  <c r="B23" i="32"/>
  <c r="B38" i="32"/>
  <c r="B37" i="32"/>
  <c r="B6" i="32"/>
  <c r="B39" i="32"/>
  <c r="B169" i="32"/>
  <c r="B41" i="32"/>
  <c r="B42" i="32"/>
  <c r="B43" i="32"/>
  <c r="B44" i="32"/>
  <c r="B60" i="32"/>
  <c r="B96" i="32"/>
  <c r="B145" i="32"/>
  <c r="B46" i="32"/>
  <c r="B50" i="32"/>
  <c r="B173" i="32"/>
  <c r="B49" i="32"/>
  <c r="B28" i="32"/>
  <c r="B32" i="32"/>
  <c r="B16" i="32"/>
  <c r="B33" i="32"/>
  <c r="I157" i="31" l="1"/>
  <c r="I186" i="31" s="1"/>
  <c r="G137" i="31" l="1"/>
  <c r="G5" i="31"/>
  <c r="G71" i="31"/>
  <c r="G95" i="31"/>
  <c r="G9" i="31"/>
  <c r="G43" i="31"/>
  <c r="G75" i="31"/>
  <c r="G12" i="31"/>
  <c r="G13" i="31"/>
  <c r="G61" i="31"/>
  <c r="G89" i="31"/>
  <c r="G157" i="31"/>
  <c r="G54" i="31"/>
  <c r="G21" i="31"/>
  <c r="G37" i="31"/>
  <c r="G23" i="31"/>
  <c r="G145" i="31"/>
  <c r="G7" i="31"/>
  <c r="G25" i="31"/>
  <c r="G26" i="31"/>
  <c r="G76" i="31"/>
  <c r="G127" i="31"/>
  <c r="G30" i="31"/>
  <c r="G150" i="31"/>
  <c r="G182" i="31"/>
  <c r="G34" i="31"/>
  <c r="G35" i="31"/>
  <c r="G36" i="31"/>
  <c r="G88" i="31"/>
  <c r="G104" i="31"/>
  <c r="G16" i="31"/>
  <c r="G106" i="31"/>
  <c r="G40" i="31"/>
  <c r="G132" i="31"/>
  <c r="G130" i="31"/>
  <c r="G118" i="31"/>
  <c r="G32" i="31"/>
  <c r="G45" i="31"/>
  <c r="G109" i="31"/>
  <c r="G142" i="31"/>
  <c r="G17" i="31"/>
  <c r="G180" i="31"/>
  <c r="G51" i="31"/>
  <c r="G11" i="31"/>
  <c r="G123" i="31"/>
  <c r="G49" i="31"/>
  <c r="G100" i="31"/>
  <c r="G133" i="31"/>
  <c r="F137" i="31"/>
  <c r="F5" i="31"/>
  <c r="F71" i="31"/>
  <c r="F95" i="31"/>
  <c r="F9" i="31"/>
  <c r="F43" i="31"/>
  <c r="F75" i="31"/>
  <c r="F12" i="31"/>
  <c r="F13" i="31"/>
  <c r="F61" i="31"/>
  <c r="F89" i="31"/>
  <c r="F157" i="31"/>
  <c r="F54" i="31"/>
  <c r="F21" i="31"/>
  <c r="F37" i="31"/>
  <c r="F23" i="31"/>
  <c r="F145" i="31"/>
  <c r="F7" i="31"/>
  <c r="F25" i="31"/>
  <c r="F26" i="31"/>
  <c r="F76" i="31"/>
  <c r="F127" i="31"/>
  <c r="F30" i="31"/>
  <c r="F150" i="31"/>
  <c r="F182" i="31"/>
  <c r="F34" i="31"/>
  <c r="F35" i="31"/>
  <c r="F36" i="31"/>
  <c r="F88" i="31"/>
  <c r="F104" i="31"/>
  <c r="F16" i="31"/>
  <c r="F106" i="31"/>
  <c r="F40" i="31"/>
  <c r="F132" i="31"/>
  <c r="F130" i="31"/>
  <c r="F118" i="31"/>
  <c r="F32" i="31"/>
  <c r="F45" i="31"/>
  <c r="F109" i="31"/>
  <c r="F142" i="31"/>
  <c r="F17" i="31"/>
  <c r="F180" i="31"/>
  <c r="F51" i="31"/>
  <c r="F11" i="31"/>
  <c r="F123" i="31"/>
  <c r="F49" i="31"/>
  <c r="F100" i="31"/>
  <c r="F133" i="31"/>
  <c r="D137" i="31"/>
  <c r="D5" i="31"/>
  <c r="D71" i="31"/>
  <c r="D95" i="31"/>
  <c r="D9" i="31"/>
  <c r="D43" i="31"/>
  <c r="D75" i="31"/>
  <c r="D12" i="31"/>
  <c r="D13" i="31"/>
  <c r="D61" i="31"/>
  <c r="D89" i="31"/>
  <c r="D157" i="31"/>
  <c r="D54" i="31"/>
  <c r="D21" i="31"/>
  <c r="D37" i="31"/>
  <c r="D23" i="31"/>
  <c r="D145" i="31"/>
  <c r="D7" i="31"/>
  <c r="D25" i="31"/>
  <c r="D26" i="31"/>
  <c r="D76" i="31"/>
  <c r="D127" i="31"/>
  <c r="D30" i="31"/>
  <c r="D150" i="31"/>
  <c r="D182" i="31"/>
  <c r="D34" i="31"/>
  <c r="D35" i="31"/>
  <c r="D36" i="31"/>
  <c r="D88" i="31"/>
  <c r="D104" i="31"/>
  <c r="D16" i="31"/>
  <c r="D106" i="31"/>
  <c r="D40" i="31"/>
  <c r="D132" i="31"/>
  <c r="D130" i="31"/>
  <c r="D118" i="31"/>
  <c r="D32" i="31"/>
  <c r="D45" i="31"/>
  <c r="D109" i="31"/>
  <c r="D142" i="31"/>
  <c r="D17" i="31"/>
  <c r="D180" i="31"/>
  <c r="D51" i="31"/>
  <c r="D11" i="31"/>
  <c r="D123" i="31"/>
  <c r="D49" i="31"/>
  <c r="D100" i="31"/>
  <c r="D133" i="31"/>
  <c r="C137" i="31"/>
  <c r="C5" i="31"/>
  <c r="C71" i="31"/>
  <c r="C95" i="31"/>
  <c r="C9" i="31"/>
  <c r="C43" i="31"/>
  <c r="C75" i="31"/>
  <c r="C12" i="31"/>
  <c r="C13" i="31"/>
  <c r="C61" i="31"/>
  <c r="C89" i="31"/>
  <c r="C157" i="31"/>
  <c r="C54" i="31"/>
  <c r="C21" i="31"/>
  <c r="C37" i="31"/>
  <c r="C23" i="31"/>
  <c r="C145" i="31"/>
  <c r="C7" i="31"/>
  <c r="C25" i="31"/>
  <c r="C26" i="31"/>
  <c r="C76" i="31"/>
  <c r="C127" i="31"/>
  <c r="C30" i="31"/>
  <c r="C150" i="31"/>
  <c r="C182" i="31"/>
  <c r="C34" i="31"/>
  <c r="C35" i="31"/>
  <c r="C36" i="31"/>
  <c r="C88" i="31"/>
  <c r="C104" i="31"/>
  <c r="C16" i="31"/>
  <c r="C106" i="31"/>
  <c r="C40" i="31"/>
  <c r="C132" i="31"/>
  <c r="C130" i="31"/>
  <c r="C118" i="31"/>
  <c r="C32" i="31"/>
  <c r="C45" i="31"/>
  <c r="C109" i="31"/>
  <c r="C142" i="31"/>
  <c r="C17" i="31"/>
  <c r="C180" i="31"/>
  <c r="C51" i="31"/>
  <c r="C11" i="31"/>
  <c r="C123" i="31"/>
  <c r="C49" i="31"/>
  <c r="C100" i="31"/>
  <c r="C133" i="31"/>
  <c r="B137" i="31"/>
  <c r="B5" i="31"/>
  <c r="B71" i="31"/>
  <c r="B95" i="31"/>
  <c r="B9" i="31"/>
  <c r="B43" i="31"/>
  <c r="B75" i="31"/>
  <c r="B12" i="31"/>
  <c r="B13" i="31"/>
  <c r="B61" i="31"/>
  <c r="B89" i="31"/>
  <c r="B157" i="31"/>
  <c r="B54" i="31"/>
  <c r="B21" i="31"/>
  <c r="B37" i="31"/>
  <c r="B23" i="31"/>
  <c r="B145" i="31"/>
  <c r="B7" i="31"/>
  <c r="B25" i="31"/>
  <c r="B26" i="31"/>
  <c r="B76" i="31"/>
  <c r="B127" i="31"/>
  <c r="B30" i="31"/>
  <c r="B150" i="31"/>
  <c r="B182" i="31"/>
  <c r="B34" i="31"/>
  <c r="B35" i="31"/>
  <c r="B36" i="31"/>
  <c r="B88" i="31"/>
  <c r="B104" i="31"/>
  <c r="B16" i="31"/>
  <c r="B106" i="31"/>
  <c r="B40" i="31"/>
  <c r="B132" i="31"/>
  <c r="B130" i="31"/>
  <c r="B118" i="31"/>
  <c r="B32" i="31"/>
  <c r="B45" i="31"/>
  <c r="B109" i="31"/>
  <c r="B142" i="31"/>
  <c r="B17" i="31"/>
  <c r="B180" i="31"/>
  <c r="B51" i="31"/>
  <c r="B11" i="31"/>
  <c r="B123" i="31"/>
  <c r="B49" i="31"/>
  <c r="B100" i="31"/>
  <c r="B133" i="31"/>
  <c r="K186" i="31" l="1"/>
  <c r="AB197" i="32" l="1"/>
  <c r="P197" i="32"/>
  <c r="A197" i="32"/>
  <c r="O186" i="31"/>
  <c r="N186" i="31"/>
  <c r="M186" i="31"/>
  <c r="L186" i="31"/>
  <c r="A186" i="31"/>
  <c r="Q89" i="31" l="1"/>
  <c r="Q157" i="31"/>
  <c r="H6" i="29"/>
  <c r="G6" i="29"/>
  <c r="F6" i="29"/>
  <c r="D6" i="29"/>
  <c r="C6" i="29"/>
  <c r="B6" i="29"/>
  <c r="AJ4" i="29"/>
  <c r="AB4" i="29"/>
  <c r="R4" i="29"/>
  <c r="H54" i="28"/>
  <c r="G54" i="28"/>
  <c r="F54" i="28"/>
  <c r="E54" i="28"/>
  <c r="Z54" i="28" s="1"/>
  <c r="AB53" i="34" s="1"/>
  <c r="D54" i="28"/>
  <c r="C54" i="28"/>
  <c r="B54" i="28"/>
  <c r="H53" i="28"/>
  <c r="G53" i="28"/>
  <c r="F53" i="28"/>
  <c r="E53" i="28"/>
  <c r="D53" i="28"/>
  <c r="C53" i="28"/>
  <c r="B53" i="28"/>
  <c r="H52" i="28"/>
  <c r="G52" i="28"/>
  <c r="F52" i="28"/>
  <c r="E52" i="28"/>
  <c r="P52" i="28" s="1"/>
  <c r="D52" i="28"/>
  <c r="C52" i="28"/>
  <c r="B52" i="28"/>
  <c r="H51" i="28"/>
  <c r="G51" i="28"/>
  <c r="F51" i="28"/>
  <c r="E51" i="28"/>
  <c r="D51" i="28"/>
  <c r="C51" i="28"/>
  <c r="B51" i="28"/>
  <c r="H50" i="28"/>
  <c r="G50" i="28"/>
  <c r="F50" i="28"/>
  <c r="E50" i="28"/>
  <c r="D50" i="28"/>
  <c r="C50" i="28"/>
  <c r="B50" i="28"/>
  <c r="H49" i="28"/>
  <c r="G49" i="28"/>
  <c r="F49" i="28"/>
  <c r="E49" i="28"/>
  <c r="Q49" i="28" s="1"/>
  <c r="D49" i="28"/>
  <c r="C49" i="28"/>
  <c r="B49" i="28"/>
  <c r="H48" i="28"/>
  <c r="G48" i="28"/>
  <c r="F48" i="28"/>
  <c r="E48" i="28"/>
  <c r="Q48" i="28" s="1"/>
  <c r="D48" i="28"/>
  <c r="C48" i="28"/>
  <c r="B48" i="28"/>
  <c r="H47" i="28"/>
  <c r="G47" i="28"/>
  <c r="F47" i="28"/>
  <c r="E47" i="28"/>
  <c r="D47" i="28"/>
  <c r="C47" i="28"/>
  <c r="B47" i="28"/>
  <c r="H46" i="28"/>
  <c r="G46" i="28"/>
  <c r="F46" i="28"/>
  <c r="E46" i="28"/>
  <c r="P46" i="28" s="1"/>
  <c r="D46" i="28"/>
  <c r="C46" i="28"/>
  <c r="B46" i="28"/>
  <c r="H45" i="28"/>
  <c r="G45" i="28"/>
  <c r="F45" i="28"/>
  <c r="E45" i="28"/>
  <c r="D45" i="28"/>
  <c r="C45" i="28"/>
  <c r="B45" i="28"/>
  <c r="H44" i="28"/>
  <c r="G44" i="28"/>
  <c r="F44" i="28"/>
  <c r="E44" i="28"/>
  <c r="D44" i="28"/>
  <c r="C44" i="28"/>
  <c r="B44" i="28"/>
  <c r="H43" i="28"/>
  <c r="G43" i="28"/>
  <c r="F43" i="28"/>
  <c r="E43" i="28"/>
  <c r="D43" i="28"/>
  <c r="C43" i="28"/>
  <c r="B43" i="28"/>
  <c r="H42" i="28"/>
  <c r="G42" i="28"/>
  <c r="F42" i="28"/>
  <c r="E42" i="28"/>
  <c r="P42" i="28" s="1"/>
  <c r="D42" i="28"/>
  <c r="C42" i="28"/>
  <c r="B42" i="28"/>
  <c r="H41" i="28"/>
  <c r="G41" i="28"/>
  <c r="F41" i="28"/>
  <c r="E41" i="28"/>
  <c r="D41" i="28"/>
  <c r="C41" i="28"/>
  <c r="B41" i="28"/>
  <c r="H40" i="28"/>
  <c r="G40" i="28"/>
  <c r="F40" i="28"/>
  <c r="E40" i="28"/>
  <c r="P40" i="28" s="1"/>
  <c r="D40" i="28"/>
  <c r="C40" i="28"/>
  <c r="B40" i="28"/>
  <c r="H39" i="28"/>
  <c r="G39" i="28"/>
  <c r="F39" i="28"/>
  <c r="E39" i="28"/>
  <c r="Q39" i="28" s="1"/>
  <c r="D39" i="28"/>
  <c r="C39" i="28"/>
  <c r="B39" i="28"/>
  <c r="H38" i="28"/>
  <c r="G38" i="28"/>
  <c r="F38" i="28"/>
  <c r="E38" i="28"/>
  <c r="Q38" i="28" s="1"/>
  <c r="D38" i="28"/>
  <c r="C38" i="28"/>
  <c r="B38" i="28"/>
  <c r="H37" i="28"/>
  <c r="G37" i="28"/>
  <c r="F37" i="28"/>
  <c r="E37" i="28"/>
  <c r="D37" i="28"/>
  <c r="C37" i="28"/>
  <c r="B37" i="28"/>
  <c r="H36" i="28"/>
  <c r="G36" i="28"/>
  <c r="F36" i="28"/>
  <c r="E36" i="28"/>
  <c r="D36" i="28"/>
  <c r="C36" i="28"/>
  <c r="B36" i="28"/>
  <c r="H35" i="28"/>
  <c r="G35" i="28"/>
  <c r="F35" i="28"/>
  <c r="E35" i="28"/>
  <c r="P35" i="28" s="1"/>
  <c r="D35" i="28"/>
  <c r="C35" i="28"/>
  <c r="B35" i="28"/>
  <c r="H34" i="28"/>
  <c r="G34" i="28"/>
  <c r="F34" i="28"/>
  <c r="E34" i="28"/>
  <c r="D34" i="28"/>
  <c r="C34" i="28"/>
  <c r="B34" i="28"/>
  <c r="H33" i="28"/>
  <c r="G33" i="28"/>
  <c r="F33" i="28"/>
  <c r="E33" i="28"/>
  <c r="D33" i="28"/>
  <c r="C33" i="28"/>
  <c r="B33" i="28"/>
  <c r="H32" i="28"/>
  <c r="G32" i="28"/>
  <c r="F32" i="28"/>
  <c r="E32" i="28"/>
  <c r="D32" i="28"/>
  <c r="C32" i="28"/>
  <c r="B32" i="28"/>
  <c r="H31" i="28"/>
  <c r="G31" i="28"/>
  <c r="F31" i="28"/>
  <c r="E31" i="28"/>
  <c r="Q31" i="28" s="1"/>
  <c r="D31" i="28"/>
  <c r="C31" i="28"/>
  <c r="B31" i="28"/>
  <c r="H30" i="28"/>
  <c r="G30" i="28"/>
  <c r="F30" i="28"/>
  <c r="E30" i="28"/>
  <c r="Q30" i="28" s="1"/>
  <c r="D30" i="28"/>
  <c r="C30" i="28"/>
  <c r="B30" i="28"/>
  <c r="H29" i="28"/>
  <c r="G29" i="28"/>
  <c r="F29" i="28"/>
  <c r="E29" i="28"/>
  <c r="Q29" i="28" s="1"/>
  <c r="D29" i="28"/>
  <c r="C29" i="28"/>
  <c r="B29" i="28"/>
  <c r="H28" i="28"/>
  <c r="G28" i="28"/>
  <c r="F28" i="28"/>
  <c r="E28" i="28"/>
  <c r="D28" i="28"/>
  <c r="C28" i="28"/>
  <c r="B28" i="28"/>
  <c r="H27" i="28"/>
  <c r="G27" i="28"/>
  <c r="F27" i="28"/>
  <c r="E27" i="28"/>
  <c r="D27" i="28"/>
  <c r="C27" i="28"/>
  <c r="B27" i="28"/>
  <c r="H26" i="28"/>
  <c r="G26" i="28"/>
  <c r="F26" i="28"/>
  <c r="E26" i="28"/>
  <c r="D26" i="28"/>
  <c r="C26" i="28"/>
  <c r="B26" i="28"/>
  <c r="H25" i="28"/>
  <c r="G25" i="28"/>
  <c r="F25" i="28"/>
  <c r="E25" i="28"/>
  <c r="D25" i="28"/>
  <c r="C25" i="28"/>
  <c r="B25" i="28"/>
  <c r="H24" i="28"/>
  <c r="G24" i="28"/>
  <c r="F24" i="28"/>
  <c r="E24" i="28"/>
  <c r="Z24" i="28" s="1"/>
  <c r="AB23" i="34" s="1"/>
  <c r="D24" i="28"/>
  <c r="C24" i="28"/>
  <c r="B24" i="28"/>
  <c r="H23" i="28"/>
  <c r="G23" i="28"/>
  <c r="F23" i="28"/>
  <c r="E23" i="28"/>
  <c r="D23" i="28"/>
  <c r="C23" i="28"/>
  <c r="B23" i="28"/>
  <c r="H22" i="28"/>
  <c r="G22" i="28"/>
  <c r="F22" i="28"/>
  <c r="E22" i="28"/>
  <c r="D22" i="28"/>
  <c r="C22" i="28"/>
  <c r="B22" i="28"/>
  <c r="H21" i="28"/>
  <c r="G21" i="28"/>
  <c r="F21" i="28"/>
  <c r="E21" i="28"/>
  <c r="D21" i="28"/>
  <c r="C21" i="28"/>
  <c r="B21" i="28"/>
  <c r="H20" i="28"/>
  <c r="G20" i="28"/>
  <c r="F20" i="28"/>
  <c r="E20" i="28"/>
  <c r="D20" i="28"/>
  <c r="C20" i="28"/>
  <c r="B20" i="28"/>
  <c r="H19" i="28"/>
  <c r="G19" i="28"/>
  <c r="F19" i="28"/>
  <c r="E19" i="28"/>
  <c r="Q19" i="28" s="1"/>
  <c r="D19" i="28"/>
  <c r="C19" i="28"/>
  <c r="B19" i="28"/>
  <c r="H18" i="28"/>
  <c r="G18" i="28"/>
  <c r="F18" i="28"/>
  <c r="E18" i="28"/>
  <c r="D18" i="28"/>
  <c r="C18" i="28"/>
  <c r="B18" i="28"/>
  <c r="H17" i="28"/>
  <c r="G17" i="28"/>
  <c r="F17" i="28"/>
  <c r="E17" i="28"/>
  <c r="D17" i="28"/>
  <c r="C17" i="28"/>
  <c r="B17" i="28"/>
  <c r="H16" i="28"/>
  <c r="G16" i="28"/>
  <c r="F16" i="28"/>
  <c r="E16" i="28"/>
  <c r="D16" i="28"/>
  <c r="C16" i="28"/>
  <c r="B16" i="28"/>
  <c r="H14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H12" i="28"/>
  <c r="G12" i="28"/>
  <c r="F12" i="28"/>
  <c r="E12" i="28"/>
  <c r="D12" i="28"/>
  <c r="C12" i="28"/>
  <c r="B12" i="28"/>
  <c r="H11" i="28"/>
  <c r="G11" i="28"/>
  <c r="F11" i="28"/>
  <c r="E11" i="28"/>
  <c r="D11" i="28"/>
  <c r="C11" i="28"/>
  <c r="B11" i="28"/>
  <c r="H10" i="28"/>
  <c r="G10" i="28"/>
  <c r="F10" i="28"/>
  <c r="E10" i="28"/>
  <c r="D10" i="28"/>
  <c r="C10" i="28"/>
  <c r="B10" i="28"/>
  <c r="H9" i="28"/>
  <c r="G9" i="28"/>
  <c r="F9" i="28"/>
  <c r="E9" i="28"/>
  <c r="D9" i="28"/>
  <c r="C9" i="28"/>
  <c r="B9" i="28"/>
  <c r="H8" i="28"/>
  <c r="G8" i="28"/>
  <c r="F8" i="28"/>
  <c r="E8" i="28"/>
  <c r="D8" i="28"/>
  <c r="C8" i="28"/>
  <c r="B8" i="28"/>
  <c r="H7" i="28"/>
  <c r="G7" i="28"/>
  <c r="F7" i="28"/>
  <c r="E7" i="28"/>
  <c r="D7" i="28"/>
  <c r="C7" i="28"/>
  <c r="B7" i="28"/>
  <c r="H6" i="28"/>
  <c r="G6" i="28"/>
  <c r="F6" i="28"/>
  <c r="E6" i="28"/>
  <c r="D6" i="28"/>
  <c r="C6" i="28"/>
  <c r="B6" i="28"/>
  <c r="AJ4" i="28"/>
  <c r="AB4" i="28"/>
  <c r="R4" i="28"/>
  <c r="Z44" i="28" l="1"/>
  <c r="AB43" i="34" s="1"/>
  <c r="P44" i="28"/>
  <c r="Z34" i="28"/>
  <c r="AB33" i="34" s="1"/>
  <c r="P34" i="28"/>
  <c r="Z46" i="28"/>
  <c r="AB45" i="34" s="1"/>
  <c r="Z9" i="28"/>
  <c r="AB9" i="34" s="1"/>
  <c r="P9" i="28"/>
  <c r="Z25" i="28"/>
  <c r="AB24" i="34" s="1"/>
  <c r="P25" i="28"/>
  <c r="Z45" i="28"/>
  <c r="AB44" i="34" s="1"/>
  <c r="P45" i="28"/>
  <c r="Z52" i="28"/>
  <c r="AB51" i="34" s="1"/>
  <c r="R157" i="18"/>
  <c r="S15" i="18"/>
  <c r="Y184" i="32" s="1"/>
  <c r="J15" i="18"/>
  <c r="W184" i="32" s="1"/>
  <c r="S6" i="18"/>
  <c r="S10" i="18"/>
  <c r="S14" i="18"/>
  <c r="Y153" i="32" s="1"/>
  <c r="S19" i="18"/>
  <c r="S23" i="18"/>
  <c r="S27" i="18"/>
  <c r="S31" i="18"/>
  <c r="S35" i="18"/>
  <c r="S39" i="18"/>
  <c r="S43" i="18"/>
  <c r="S47" i="18"/>
  <c r="S26" i="18"/>
  <c r="S38" i="18"/>
  <c r="S46" i="18"/>
  <c r="S7" i="18"/>
  <c r="S11" i="18"/>
  <c r="S16" i="18"/>
  <c r="S20" i="18"/>
  <c r="S24" i="18"/>
  <c r="S28" i="18"/>
  <c r="S32" i="18"/>
  <c r="S36" i="18"/>
  <c r="S40" i="18"/>
  <c r="S44" i="18"/>
  <c r="S48" i="18"/>
  <c r="S52" i="18"/>
  <c r="S34" i="18"/>
  <c r="S54" i="18"/>
  <c r="S8" i="18"/>
  <c r="S12" i="18"/>
  <c r="S17" i="18"/>
  <c r="S21" i="18"/>
  <c r="S25" i="18"/>
  <c r="S29" i="18"/>
  <c r="S33" i="18"/>
  <c r="S37" i="18"/>
  <c r="S41" i="18"/>
  <c r="S45" i="18"/>
  <c r="S49" i="18"/>
  <c r="S53" i="18"/>
  <c r="S9" i="18"/>
  <c r="S13" i="18"/>
  <c r="S18" i="18"/>
  <c r="S22" i="18"/>
  <c r="S30" i="18"/>
  <c r="S42" i="18"/>
  <c r="S50" i="18"/>
  <c r="J24" i="18"/>
  <c r="Z42" i="28"/>
  <c r="AB41" i="34" s="1"/>
  <c r="AB100" i="34"/>
  <c r="AB160" i="34"/>
  <c r="AB31" i="34"/>
  <c r="AB32" i="18"/>
  <c r="AB69" i="34"/>
  <c r="Z35" i="28"/>
  <c r="AB34" i="34" s="1"/>
  <c r="J9" i="18"/>
  <c r="AL4" i="34"/>
  <c r="Q12" i="28"/>
  <c r="Q12" i="34"/>
  <c r="Q10" i="28"/>
  <c r="Q10" i="34"/>
  <c r="Q14" i="28"/>
  <c r="Q14" i="34"/>
  <c r="Q27" i="28"/>
  <c r="Q26" i="34"/>
  <c r="Q30" i="34"/>
  <c r="Q35" i="28"/>
  <c r="Q34" i="34"/>
  <c r="Q38" i="34"/>
  <c r="Q43" i="28"/>
  <c r="Q42" i="34"/>
  <c r="Q47" i="28"/>
  <c r="Q46" i="34"/>
  <c r="Q51" i="28"/>
  <c r="Q50" i="34"/>
  <c r="AB67" i="28"/>
  <c r="S63" i="32" s="1"/>
  <c r="AB123" i="28"/>
  <c r="S119" i="32" s="1"/>
  <c r="AB132" i="28"/>
  <c r="S107" i="32" s="1"/>
  <c r="AB136" i="28"/>
  <c r="S47" i="32" s="1"/>
  <c r="AB140" i="28"/>
  <c r="S135" i="32" s="1"/>
  <c r="AB144" i="28"/>
  <c r="S139" i="32" s="1"/>
  <c r="AB148" i="28"/>
  <c r="S188" i="32" s="1"/>
  <c r="AB156" i="28"/>
  <c r="S115" i="32" s="1"/>
  <c r="AB160" i="28"/>
  <c r="S174" i="32" s="1"/>
  <c r="AB168" i="28"/>
  <c r="S177" i="32" s="1"/>
  <c r="AB172" i="28"/>
  <c r="S164" i="32" s="1"/>
  <c r="AB181" i="28"/>
  <c r="S170" i="32" s="1"/>
  <c r="AB186" i="28"/>
  <c r="S12" i="32" s="1"/>
  <c r="AB21" i="28"/>
  <c r="S18" i="32" s="1"/>
  <c r="Q20" i="34"/>
  <c r="Q6" i="28"/>
  <c r="Q6" i="34"/>
  <c r="Q18" i="34"/>
  <c r="Q23" i="28"/>
  <c r="Q22" i="34"/>
  <c r="Q9" i="28"/>
  <c r="Q9" i="34"/>
  <c r="Q13" i="28"/>
  <c r="Q13" i="34"/>
  <c r="Q18" i="28"/>
  <c r="Q17" i="34"/>
  <c r="Q22" i="28"/>
  <c r="Q21" i="34"/>
  <c r="Q26" i="28"/>
  <c r="Q25" i="34"/>
  <c r="Q29" i="34"/>
  <c r="Q34" i="28"/>
  <c r="Q33" i="34"/>
  <c r="Q37" i="34"/>
  <c r="Q42" i="28"/>
  <c r="Q41" i="34"/>
  <c r="Q46" i="28"/>
  <c r="Q45" i="34"/>
  <c r="Q50" i="28"/>
  <c r="Q49" i="34"/>
  <c r="Q53" i="34"/>
  <c r="AB66" i="28"/>
  <c r="S81" i="32" s="1"/>
  <c r="AB74" i="28"/>
  <c r="S162" i="32" s="1"/>
  <c r="AB78" i="28"/>
  <c r="S74" i="32" s="1"/>
  <c r="AB86" i="28"/>
  <c r="S68" i="32" s="1"/>
  <c r="AB90" i="28"/>
  <c r="S175" i="32" s="1"/>
  <c r="AB94" i="28"/>
  <c r="S90" i="32" s="1"/>
  <c r="AB98" i="28"/>
  <c r="S94" i="32" s="1"/>
  <c r="Q8" i="28"/>
  <c r="Q8" i="34"/>
  <c r="Q24" i="34"/>
  <c r="Q45" i="28"/>
  <c r="Q44" i="34"/>
  <c r="Q48" i="34"/>
  <c r="Q53" i="28"/>
  <c r="Q52" i="34"/>
  <c r="AB77" i="28"/>
  <c r="S73" i="32" s="1"/>
  <c r="AB81" i="28"/>
  <c r="S77" i="32" s="1"/>
  <c r="AB85" i="28"/>
  <c r="S91" i="32" s="1"/>
  <c r="AB89" i="28"/>
  <c r="S85" i="32" s="1"/>
  <c r="AB93" i="28"/>
  <c r="S89" i="32" s="1"/>
  <c r="AB97" i="28"/>
  <c r="S93" i="32" s="1"/>
  <c r="AB101" i="28"/>
  <c r="S80" i="32" s="1"/>
  <c r="Q17" i="28"/>
  <c r="Q16" i="34"/>
  <c r="AB29" i="28"/>
  <c r="S70" i="32" s="1"/>
  <c r="Q28" i="34"/>
  <c r="Q33" i="28"/>
  <c r="Q32" i="34"/>
  <c r="Q37" i="28"/>
  <c r="Q36" i="34"/>
  <c r="Q41" i="28"/>
  <c r="Q40" i="34"/>
  <c r="AB7" i="28"/>
  <c r="S5" i="32" s="1"/>
  <c r="Q7" i="34"/>
  <c r="AB11" i="28"/>
  <c r="S167" i="32" s="1"/>
  <c r="Q11" i="34"/>
  <c r="AB16" i="28"/>
  <c r="S72" i="32" s="1"/>
  <c r="Q15" i="34"/>
  <c r="AB20" i="28"/>
  <c r="S79" i="32" s="1"/>
  <c r="Q19" i="34"/>
  <c r="AB24" i="28"/>
  <c r="S52" i="32" s="1"/>
  <c r="Q23" i="34"/>
  <c r="AB28" i="28"/>
  <c r="S165" i="32" s="1"/>
  <c r="Q27" i="34"/>
  <c r="Q31" i="34"/>
  <c r="S98" i="32"/>
  <c r="Q35" i="34"/>
  <c r="Q40" i="28"/>
  <c r="Q39" i="34"/>
  <c r="Q44" i="28"/>
  <c r="Q43" i="34"/>
  <c r="Q47" i="34"/>
  <c r="Q52" i="28"/>
  <c r="Q51" i="34"/>
  <c r="AB100" i="28"/>
  <c r="S45" i="32" s="1"/>
  <c r="AB108" i="28"/>
  <c r="S104" i="32" s="1"/>
  <c r="AB112" i="28"/>
  <c r="S99" i="32" s="1"/>
  <c r="AB116" i="28"/>
  <c r="S112" i="32" s="1"/>
  <c r="AB120" i="28"/>
  <c r="S62" i="32" s="1"/>
  <c r="AB129" i="28"/>
  <c r="S124" i="32" s="1"/>
  <c r="AB133" i="28"/>
  <c r="S128" i="32" s="1"/>
  <c r="AB137" i="28"/>
  <c r="S132" i="32" s="1"/>
  <c r="AB141" i="28"/>
  <c r="S136" i="32" s="1"/>
  <c r="AB145" i="28"/>
  <c r="S140" i="32" s="1"/>
  <c r="AB149" i="28"/>
  <c r="S29" i="32" s="1"/>
  <c r="AB153" i="28"/>
  <c r="S146" i="32" s="1"/>
  <c r="AB157" i="28"/>
  <c r="S150" i="32" s="1"/>
  <c r="AB165" i="28"/>
  <c r="S157" i="32" s="1"/>
  <c r="AB169" i="28"/>
  <c r="S40" i="32" s="1"/>
  <c r="AB173" i="28"/>
  <c r="S25" i="32" s="1"/>
  <c r="AB178" i="28"/>
  <c r="S193" i="32" s="1"/>
  <c r="AB182" i="28"/>
  <c r="S168" i="32" s="1"/>
  <c r="AB187" i="28"/>
  <c r="S178" i="32" s="1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P48" i="34"/>
  <c r="P49" i="34"/>
  <c r="P50" i="34"/>
  <c r="P51" i="34"/>
  <c r="P52" i="34"/>
  <c r="P53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N6" i="34"/>
  <c r="N7" i="34"/>
  <c r="N8" i="34"/>
  <c r="N9" i="34"/>
  <c r="N10" i="34"/>
  <c r="N11" i="34"/>
  <c r="N12" i="34"/>
  <c r="N13" i="34"/>
  <c r="N14" i="34"/>
  <c r="N15" i="34"/>
  <c r="N16" i="34"/>
  <c r="N17" i="34"/>
  <c r="M6" i="34"/>
  <c r="M10" i="34"/>
  <c r="M14" i="34"/>
  <c r="N18" i="34"/>
  <c r="N20" i="34"/>
  <c r="N22" i="34"/>
  <c r="N24" i="34"/>
  <c r="N26" i="34"/>
  <c r="N28" i="34"/>
  <c r="N30" i="34"/>
  <c r="N32" i="34"/>
  <c r="N34" i="34"/>
  <c r="N36" i="34"/>
  <c r="N38" i="34"/>
  <c r="N40" i="34"/>
  <c r="N42" i="34"/>
  <c r="N44" i="34"/>
  <c r="N46" i="34"/>
  <c r="N48" i="34"/>
  <c r="N50" i="34"/>
  <c r="N52" i="34"/>
  <c r="M7" i="34"/>
  <c r="M11" i="34"/>
  <c r="M15" i="34"/>
  <c r="M18" i="34"/>
  <c r="M20" i="34"/>
  <c r="M22" i="34"/>
  <c r="M24" i="34"/>
  <c r="M26" i="34"/>
  <c r="M28" i="34"/>
  <c r="M30" i="34"/>
  <c r="M32" i="34"/>
  <c r="M34" i="34"/>
  <c r="M36" i="34"/>
  <c r="M38" i="34"/>
  <c r="M40" i="34"/>
  <c r="M42" i="34"/>
  <c r="M44" i="34"/>
  <c r="M46" i="34"/>
  <c r="M48" i="34"/>
  <c r="M50" i="34"/>
  <c r="M52" i="34"/>
  <c r="M8" i="34"/>
  <c r="M12" i="34"/>
  <c r="M16" i="34"/>
  <c r="N19" i="34"/>
  <c r="N21" i="34"/>
  <c r="N23" i="34"/>
  <c r="N25" i="34"/>
  <c r="N27" i="34"/>
  <c r="N29" i="34"/>
  <c r="N31" i="34"/>
  <c r="N33" i="34"/>
  <c r="N35" i="34"/>
  <c r="N37" i="34"/>
  <c r="N39" i="34"/>
  <c r="N41" i="34"/>
  <c r="N43" i="34"/>
  <c r="N45" i="34"/>
  <c r="N47" i="34"/>
  <c r="N49" i="34"/>
  <c r="N51" i="34"/>
  <c r="N53" i="34"/>
  <c r="M9" i="34"/>
  <c r="M21" i="34"/>
  <c r="M29" i="34"/>
  <c r="M37" i="34"/>
  <c r="M45" i="34"/>
  <c r="M53" i="34"/>
  <c r="M33" i="34"/>
  <c r="M19" i="34"/>
  <c r="M35" i="34"/>
  <c r="M51" i="34"/>
  <c r="M13" i="34"/>
  <c r="M23" i="34"/>
  <c r="M31" i="34"/>
  <c r="M39" i="34"/>
  <c r="M47" i="34"/>
  <c r="M25" i="34"/>
  <c r="M41" i="34"/>
  <c r="M49" i="34"/>
  <c r="M27" i="34"/>
  <c r="M43" i="34"/>
  <c r="M17" i="34"/>
  <c r="Q186" i="31"/>
  <c r="T197" i="32"/>
  <c r="AL4" i="28"/>
  <c r="AB8" i="28"/>
  <c r="S6" i="32" s="1"/>
  <c r="AB12" i="28"/>
  <c r="S10" i="32" s="1"/>
  <c r="AB27" i="28"/>
  <c r="S24" i="32" s="1"/>
  <c r="AB31" i="28"/>
  <c r="S28" i="32" s="1"/>
  <c r="AB39" i="28"/>
  <c r="S23" i="32" s="1"/>
  <c r="AB47" i="28"/>
  <c r="S44" i="32" s="1"/>
  <c r="AB59" i="28"/>
  <c r="S171" i="32" s="1"/>
  <c r="AB72" i="28"/>
  <c r="S103" i="32" s="1"/>
  <c r="AB76" i="28"/>
  <c r="S152" i="32" s="1"/>
  <c r="AB87" i="28"/>
  <c r="S163" i="32" s="1"/>
  <c r="AB95" i="28"/>
  <c r="S116" i="32" s="1"/>
  <c r="AB109" i="28"/>
  <c r="S9" i="32" s="1"/>
  <c r="AB121" i="28"/>
  <c r="S67" i="32" s="1"/>
  <c r="AB138" i="28"/>
  <c r="S160" i="32" s="1"/>
  <c r="AB154" i="28"/>
  <c r="S147" i="32" s="1"/>
  <c r="AB167" i="28"/>
  <c r="S21" i="32" s="1"/>
  <c r="AB179" i="28"/>
  <c r="S30" i="32" s="1"/>
  <c r="AB50" i="28"/>
  <c r="S145" i="32" s="1"/>
  <c r="AB55" i="28"/>
  <c r="S126" i="32" s="1"/>
  <c r="AB62" i="28"/>
  <c r="S149" i="32" s="1"/>
  <c r="AB64" i="28"/>
  <c r="S55" i="32" s="1"/>
  <c r="AB88" i="28"/>
  <c r="S84" i="32" s="1"/>
  <c r="AB96" i="28"/>
  <c r="S92" i="32" s="1"/>
  <c r="AB105" i="28"/>
  <c r="S186" i="32" s="1"/>
  <c r="AB125" i="28"/>
  <c r="S181" i="32" s="1"/>
  <c r="AB142" i="28"/>
  <c r="S121" i="32" s="1"/>
  <c r="AB158" i="28"/>
  <c r="S190" i="32" s="1"/>
  <c r="AB174" i="28"/>
  <c r="S65" i="32" s="1"/>
  <c r="AB19" i="28"/>
  <c r="S16" i="32" s="1"/>
  <c r="AB26" i="28"/>
  <c r="S82" i="32" s="1"/>
  <c r="AB30" i="28"/>
  <c r="S27" i="32" s="1"/>
  <c r="AB43" i="28"/>
  <c r="S169" i="32" s="1"/>
  <c r="AB51" i="28"/>
  <c r="S46" i="32" s="1"/>
  <c r="AB73" i="28"/>
  <c r="S117" i="32" s="1"/>
  <c r="AB79" i="28"/>
  <c r="S75" i="32" s="1"/>
  <c r="AB110" i="28"/>
  <c r="S106" i="32" s="1"/>
  <c r="AB117" i="28"/>
  <c r="S159" i="32" s="1"/>
  <c r="AB130" i="28"/>
  <c r="S78" i="32" s="1"/>
  <c r="AB146" i="28"/>
  <c r="S141" i="32" s="1"/>
  <c r="AB170" i="28"/>
  <c r="S105" i="32" s="1"/>
  <c r="AB175" i="28"/>
  <c r="S51" i="32" s="1"/>
  <c r="AB188" i="28"/>
  <c r="S120" i="32" s="1"/>
  <c r="AB9" i="28"/>
  <c r="S7" i="32" s="1"/>
  <c r="AB17" i="28"/>
  <c r="S33" i="32" s="1"/>
  <c r="AB22" i="28"/>
  <c r="S19" i="32" s="1"/>
  <c r="AB38" i="28"/>
  <c r="S13" i="32" s="1"/>
  <c r="AB46" i="28"/>
  <c r="S43" i="32" s="1"/>
  <c r="AB54" i="28"/>
  <c r="S173" i="32" s="1"/>
  <c r="AB63" i="28"/>
  <c r="S59" i="32" s="1"/>
  <c r="AB65" i="28"/>
  <c r="S61" i="32" s="1"/>
  <c r="S161" i="32"/>
  <c r="AB91" i="28"/>
  <c r="S87" i="32" s="1"/>
  <c r="AB99" i="28"/>
  <c r="S125" i="32" s="1"/>
  <c r="AB106" i="28"/>
  <c r="S86" i="32" s="1"/>
  <c r="AB150" i="28"/>
  <c r="S189" i="32" s="1"/>
  <c r="AB166" i="28"/>
  <c r="S158" i="32" s="1"/>
  <c r="AB171" i="28"/>
  <c r="S34" i="32" s="1"/>
  <c r="AL4" i="29"/>
  <c r="Q7" i="28"/>
  <c r="Q32" i="28"/>
  <c r="AB14" i="28"/>
  <c r="S153" i="32" s="1"/>
  <c r="Q20" i="28"/>
  <c r="Q21" i="28"/>
  <c r="Q28" i="28"/>
  <c r="Q36" i="28"/>
  <c r="AB18" i="28"/>
  <c r="S15" i="32" s="1"/>
  <c r="Q25" i="28"/>
  <c r="AB40" i="28"/>
  <c r="S37" i="32" s="1"/>
  <c r="AB44" i="28"/>
  <c r="S41" i="32" s="1"/>
  <c r="AB48" i="28"/>
  <c r="S60" i="32" s="1"/>
  <c r="AB60" i="28"/>
  <c r="S56" i="32" s="1"/>
  <c r="AB69" i="28"/>
  <c r="S151" i="32" s="1"/>
  <c r="AB75" i="28"/>
  <c r="S71" i="32" s="1"/>
  <c r="AB33" i="28"/>
  <c r="S102" i="32" s="1"/>
  <c r="AB37" i="28"/>
  <c r="S83" i="32" s="1"/>
  <c r="AB41" i="28"/>
  <c r="S38" i="32" s="1"/>
  <c r="AB45" i="28"/>
  <c r="S42" i="32" s="1"/>
  <c r="AB49" i="28"/>
  <c r="S96" i="32" s="1"/>
  <c r="AB53" i="28"/>
  <c r="S50" i="32" s="1"/>
  <c r="AB57" i="28"/>
  <c r="S185" i="32" s="1"/>
  <c r="AB61" i="28"/>
  <c r="S57" i="32" s="1"/>
  <c r="AB118" i="28"/>
  <c r="S114" i="32" s="1"/>
  <c r="AB92" i="28"/>
  <c r="S88" i="32" s="1"/>
  <c r="AB103" i="28"/>
  <c r="S100" i="32" s="1"/>
  <c r="AB107" i="28"/>
  <c r="S97" i="32" s="1"/>
  <c r="AB111" i="28"/>
  <c r="S20" i="32" s="1"/>
  <c r="AB115" i="28"/>
  <c r="S111" i="32" s="1"/>
  <c r="AB122" i="28"/>
  <c r="S118" i="32" s="1"/>
  <c r="AB127" i="28"/>
  <c r="S122" i="32" s="1"/>
  <c r="AB131" i="28"/>
  <c r="S113" i="32" s="1"/>
  <c r="AB135" i="28"/>
  <c r="S130" i="32" s="1"/>
  <c r="AB143" i="28"/>
  <c r="S69" i="32" s="1"/>
  <c r="AB147" i="28"/>
  <c r="S143" i="32" s="1"/>
  <c r="AB151" i="28"/>
  <c r="S144" i="32" s="1"/>
  <c r="AB155" i="28"/>
  <c r="S148" i="32" s="1"/>
  <c r="AB159" i="28"/>
  <c r="S138" i="32" s="1"/>
  <c r="AB180" i="28"/>
  <c r="S26" i="32" s="1"/>
  <c r="AB184" i="28"/>
  <c r="S172" i="32" s="1"/>
  <c r="AB189" i="28"/>
  <c r="S176" i="32" s="1"/>
  <c r="AB34" i="28" l="1"/>
  <c r="S31" i="32" s="1"/>
  <c r="AB52" i="28"/>
  <c r="S49" i="32" s="1"/>
  <c r="AB25" i="28"/>
  <c r="S22" i="32" s="1"/>
  <c r="AC184" i="32"/>
  <c r="AG184" i="32" s="1"/>
  <c r="K200" i="28"/>
  <c r="K200" i="18"/>
  <c r="AB42" i="28"/>
  <c r="S39" i="32" s="1"/>
  <c r="AL15" i="18"/>
  <c r="AB162" i="28"/>
  <c r="S95" i="32" s="1"/>
  <c r="AB35" i="28"/>
  <c r="S32" i="32" s="1"/>
  <c r="AB32" i="28"/>
  <c r="S48" i="32" s="1"/>
  <c r="AB70" i="28"/>
  <c r="S127" i="32" s="1"/>
  <c r="Y200" i="28"/>
  <c r="O200" i="28"/>
  <c r="M200" i="28"/>
  <c r="N200" i="28"/>
  <c r="R118" i="34"/>
  <c r="R49" i="34"/>
  <c r="R52" i="34"/>
  <c r="R40" i="34"/>
  <c r="R32" i="34"/>
  <c r="R21" i="34"/>
  <c r="R37" i="34"/>
  <c r="R16" i="34"/>
  <c r="R7" i="34"/>
  <c r="R41" i="34"/>
  <c r="R23" i="34"/>
  <c r="R15" i="34"/>
  <c r="R47" i="34"/>
  <c r="R31" i="34"/>
  <c r="R27" i="34"/>
  <c r="R8" i="34"/>
  <c r="R43" i="34"/>
  <c r="R36" i="34"/>
  <c r="R24" i="34"/>
  <c r="R11" i="34"/>
  <c r="R53" i="34"/>
  <c r="R33" i="34"/>
  <c r="R20" i="34"/>
  <c r="R9" i="34"/>
  <c r="R39" i="34"/>
  <c r="R25" i="34"/>
  <c r="R12" i="34"/>
  <c r="R145" i="34"/>
  <c r="R123" i="34"/>
  <c r="R51" i="34"/>
  <c r="R50" i="34"/>
  <c r="R48" i="34"/>
  <c r="R45" i="34"/>
  <c r="R44" i="34"/>
  <c r="R42" i="34"/>
  <c r="R38" i="34"/>
  <c r="R35" i="34"/>
  <c r="R30" i="34"/>
  <c r="R29" i="34"/>
  <c r="R28" i="34"/>
  <c r="R26" i="34"/>
  <c r="R22" i="34"/>
  <c r="R18" i="34"/>
  <c r="R13" i="34"/>
  <c r="R6" i="34"/>
  <c r="R172" i="34"/>
  <c r="R159" i="34"/>
  <c r="R101" i="34"/>
  <c r="R46" i="34"/>
  <c r="R34" i="34"/>
  <c r="R19" i="34"/>
  <c r="R17" i="34"/>
  <c r="R14" i="34"/>
  <c r="R10" i="34"/>
  <c r="R194" i="34"/>
  <c r="R11" i="28"/>
  <c r="AL11" i="28" s="1"/>
  <c r="R53" i="28"/>
  <c r="R124" i="28"/>
  <c r="U197" i="32"/>
  <c r="R33" i="28"/>
  <c r="AL33" i="28" s="1"/>
  <c r="R22" i="28"/>
  <c r="AL21" i="34" s="1"/>
  <c r="R119" i="28"/>
  <c r="R34" i="28"/>
  <c r="R13" i="28"/>
  <c r="R25" i="28"/>
  <c r="R16" i="28"/>
  <c r="R24" i="28"/>
  <c r="AL23" i="34" s="1"/>
  <c r="R20" i="28"/>
  <c r="R36" i="28"/>
  <c r="R46" i="28"/>
  <c r="R40" i="28"/>
  <c r="R147" i="28"/>
  <c r="R51" i="28"/>
  <c r="R49" i="28"/>
  <c r="AL48" i="34" s="1"/>
  <c r="R48" i="28"/>
  <c r="AL47" i="34" s="1"/>
  <c r="R39" i="28"/>
  <c r="AL38" i="34" s="1"/>
  <c r="R31" i="28"/>
  <c r="R30" i="28"/>
  <c r="R23" i="28"/>
  <c r="R19" i="28"/>
  <c r="R17" i="28"/>
  <c r="R6" i="28"/>
  <c r="R174" i="28"/>
  <c r="AL172" i="34" s="1"/>
  <c r="R102" i="28"/>
  <c r="R44" i="28"/>
  <c r="AL43" i="34" s="1"/>
  <c r="R42" i="28"/>
  <c r="R41" i="28"/>
  <c r="R37" i="28"/>
  <c r="AL36" i="34" s="1"/>
  <c r="R35" i="28"/>
  <c r="R26" i="28"/>
  <c r="AL25" i="34" s="1"/>
  <c r="R18" i="28"/>
  <c r="R14" i="28"/>
  <c r="R12" i="28"/>
  <c r="AL12" i="34" s="1"/>
  <c r="R10" i="28"/>
  <c r="R198" i="28"/>
  <c r="R54" i="28"/>
  <c r="R50" i="28"/>
  <c r="R43" i="28"/>
  <c r="R38" i="28"/>
  <c r="AL37" i="34" s="1"/>
  <c r="R9" i="28"/>
  <c r="AL9" i="34" s="1"/>
  <c r="R8" i="28"/>
  <c r="AL8" i="34" s="1"/>
  <c r="R52" i="28"/>
  <c r="R45" i="28"/>
  <c r="AL44" i="34" s="1"/>
  <c r="R27" i="28"/>
  <c r="AL26" i="34" s="1"/>
  <c r="R47" i="28"/>
  <c r="R7" i="28"/>
  <c r="R161" i="28"/>
  <c r="R28" i="28"/>
  <c r="R29" i="28"/>
  <c r="AL28" i="34" s="1"/>
  <c r="R32" i="28"/>
  <c r="R21" i="28"/>
  <c r="AB6" i="28"/>
  <c r="H6" i="18"/>
  <c r="G6" i="18"/>
  <c r="R7" i="18"/>
  <c r="R11" i="18"/>
  <c r="R12" i="18"/>
  <c r="R16" i="18"/>
  <c r="R18" i="18"/>
  <c r="R27" i="18"/>
  <c r="R32" i="18"/>
  <c r="Z13" i="32"/>
  <c r="R40" i="18"/>
  <c r="R44" i="18"/>
  <c r="R48" i="18"/>
  <c r="R53" i="18"/>
  <c r="Z173" i="32"/>
  <c r="Z33" i="32"/>
  <c r="Q193" i="18"/>
  <c r="E6" i="18"/>
  <c r="D6" i="18"/>
  <c r="C6" i="18"/>
  <c r="B6" i="18"/>
  <c r="Z70" i="32"/>
  <c r="Z102" i="32"/>
  <c r="Z23" i="32"/>
  <c r="Z39" i="32"/>
  <c r="Z43" i="32"/>
  <c r="Z96" i="32"/>
  <c r="Z145" i="32"/>
  <c r="AL34" i="28" l="1"/>
  <c r="AL25" i="28"/>
  <c r="AL31" i="34"/>
  <c r="AF184" i="32"/>
  <c r="Z6" i="18"/>
  <c r="AB6" i="18" s="1"/>
  <c r="R37" i="18"/>
  <c r="X83" i="32" s="1"/>
  <c r="AL34" i="34"/>
  <c r="R158" i="18"/>
  <c r="X58" i="32" s="1"/>
  <c r="R193" i="18"/>
  <c r="X4" i="32" s="1"/>
  <c r="AL49" i="28"/>
  <c r="Q18" i="32"/>
  <c r="V18" i="32" s="1"/>
  <c r="AL20" i="34"/>
  <c r="Q165" i="32"/>
  <c r="V165" i="32" s="1"/>
  <c r="AL27" i="34"/>
  <c r="Q5" i="32"/>
  <c r="V5" i="32" s="1"/>
  <c r="AL7" i="34"/>
  <c r="Q44" i="32"/>
  <c r="V44" i="32" s="1"/>
  <c r="AL46" i="34"/>
  <c r="Q49" i="32"/>
  <c r="V49" i="32" s="1"/>
  <c r="AL51" i="34"/>
  <c r="Q169" i="32"/>
  <c r="V169" i="32" s="1"/>
  <c r="AL42" i="34"/>
  <c r="Q145" i="32"/>
  <c r="V145" i="32" s="1"/>
  <c r="AL49" i="34"/>
  <c r="Q173" i="32"/>
  <c r="V173" i="32" s="1"/>
  <c r="AL53" i="34"/>
  <c r="Q4" i="32"/>
  <c r="V4" i="32" s="1"/>
  <c r="AL194" i="34"/>
  <c r="Q153" i="32"/>
  <c r="V153" i="32" s="1"/>
  <c r="AL14" i="34"/>
  <c r="Q15" i="32"/>
  <c r="V15" i="32" s="1"/>
  <c r="AL17" i="34"/>
  <c r="Q38" i="32"/>
  <c r="V38" i="32" s="1"/>
  <c r="AL40" i="34"/>
  <c r="Q39" i="32"/>
  <c r="V39" i="32" s="1"/>
  <c r="AL41" i="34"/>
  <c r="Q137" i="32"/>
  <c r="AL6" i="34"/>
  <c r="Q33" i="32"/>
  <c r="V33" i="32" s="1"/>
  <c r="AL16" i="34"/>
  <c r="Q16" i="32"/>
  <c r="V16" i="32" s="1"/>
  <c r="AL18" i="34"/>
  <c r="Q17" i="32"/>
  <c r="AL30" i="28"/>
  <c r="AL29" i="34"/>
  <c r="Q28" i="32"/>
  <c r="V28" i="32" s="1"/>
  <c r="AL30" i="34"/>
  <c r="Q46" i="32"/>
  <c r="V46" i="32" s="1"/>
  <c r="AL50" i="34"/>
  <c r="Q143" i="32"/>
  <c r="V143" i="32" s="1"/>
  <c r="AL145" i="34"/>
  <c r="Q37" i="32"/>
  <c r="V37" i="32" s="1"/>
  <c r="AL39" i="34"/>
  <c r="Q43" i="32"/>
  <c r="V43" i="32" s="1"/>
  <c r="AL45" i="34"/>
  <c r="Q98" i="32"/>
  <c r="V98" i="32" s="1"/>
  <c r="AL35" i="34"/>
  <c r="Q79" i="32"/>
  <c r="V79" i="32" s="1"/>
  <c r="AL19" i="34"/>
  <c r="Q72" i="32"/>
  <c r="V72" i="32" s="1"/>
  <c r="AL15" i="34"/>
  <c r="Q22" i="32"/>
  <c r="V22" i="32" s="1"/>
  <c r="AL24" i="34"/>
  <c r="Q11" i="32"/>
  <c r="Q31" i="32"/>
  <c r="V31" i="32" s="1"/>
  <c r="AL33" i="34"/>
  <c r="Q102" i="32"/>
  <c r="V102" i="32" s="1"/>
  <c r="AL32" i="34"/>
  <c r="Q108" i="32"/>
  <c r="AL53" i="28"/>
  <c r="AL52" i="34"/>
  <c r="Q167" i="32"/>
  <c r="V167" i="32" s="1"/>
  <c r="AL11" i="34"/>
  <c r="AL65" i="34"/>
  <c r="AL18" i="28"/>
  <c r="AL7" i="28"/>
  <c r="AL40" i="28"/>
  <c r="AL6" i="28"/>
  <c r="S137" i="32"/>
  <c r="Q35" i="32"/>
  <c r="Q50" i="32"/>
  <c r="V50" i="32" s="1"/>
  <c r="AL27" i="28"/>
  <c r="Q24" i="32"/>
  <c r="V24" i="32" s="1"/>
  <c r="Q27" i="32"/>
  <c r="V27" i="32" s="1"/>
  <c r="Q58" i="32"/>
  <c r="Q42" i="32"/>
  <c r="V42" i="32" s="1"/>
  <c r="Q41" i="32"/>
  <c r="V41" i="32" s="1"/>
  <c r="AL24" i="28"/>
  <c r="Q52" i="32"/>
  <c r="V52" i="32" s="1"/>
  <c r="Q23" i="32"/>
  <c r="V23" i="32" s="1"/>
  <c r="Q60" i="32"/>
  <c r="V60" i="32" s="1"/>
  <c r="Q6" i="32"/>
  <c r="V6" i="32" s="1"/>
  <c r="Q8" i="32"/>
  <c r="Q96" i="32"/>
  <c r="V96" i="32" s="1"/>
  <c r="Q7" i="32"/>
  <c r="V7" i="32" s="1"/>
  <c r="AL12" i="28"/>
  <c r="Q10" i="32"/>
  <c r="V10" i="32" s="1"/>
  <c r="AL174" i="28"/>
  <c r="Q65" i="32"/>
  <c r="V65" i="32" s="1"/>
  <c r="Q13" i="32"/>
  <c r="V13" i="32" s="1"/>
  <c r="Q36" i="32"/>
  <c r="AL32" i="28"/>
  <c r="Q48" i="32"/>
  <c r="V48" i="32" s="1"/>
  <c r="Q82" i="32"/>
  <c r="V82" i="32" s="1"/>
  <c r="Q19" i="32"/>
  <c r="V19" i="32" s="1"/>
  <c r="Q70" i="32"/>
  <c r="V70" i="32" s="1"/>
  <c r="Q32" i="32"/>
  <c r="V32" i="32" s="1"/>
  <c r="AL37" i="28"/>
  <c r="Q83" i="32"/>
  <c r="V83" i="32" s="1"/>
  <c r="X41" i="32"/>
  <c r="X50" i="32"/>
  <c r="X60" i="32"/>
  <c r="R24" i="18"/>
  <c r="R23" i="18"/>
  <c r="AL44" i="28"/>
  <c r="AL35" i="28"/>
  <c r="AL31" i="28"/>
  <c r="AL66" i="28"/>
  <c r="AL28" i="28"/>
  <c r="Y96" i="32"/>
  <c r="Y13" i="32"/>
  <c r="Y22" i="32"/>
  <c r="J25" i="18"/>
  <c r="Y7" i="32"/>
  <c r="W7" i="32"/>
  <c r="J6" i="18"/>
  <c r="Y137" i="32"/>
  <c r="Y28" i="32"/>
  <c r="J31" i="18"/>
  <c r="J47" i="18"/>
  <c r="Y44" i="32"/>
  <c r="J36" i="18"/>
  <c r="Y98" i="32"/>
  <c r="J23" i="18"/>
  <c r="Y17" i="32"/>
  <c r="W181" i="32"/>
  <c r="Y43" i="32"/>
  <c r="J46" i="18"/>
  <c r="J34" i="18"/>
  <c r="Y31" i="32"/>
  <c r="J22" i="18"/>
  <c r="Y19" i="32"/>
  <c r="Y16" i="32"/>
  <c r="J19" i="18"/>
  <c r="J45" i="18"/>
  <c r="Y42" i="32"/>
  <c r="J33" i="18"/>
  <c r="Y102" i="32"/>
  <c r="J21" i="18"/>
  <c r="Y18" i="32"/>
  <c r="Y49" i="32"/>
  <c r="J52" i="18"/>
  <c r="J44" i="18"/>
  <c r="Y41" i="32"/>
  <c r="J32" i="18"/>
  <c r="Y48" i="32"/>
  <c r="J18" i="18"/>
  <c r="Y15" i="32"/>
  <c r="Y52" i="32"/>
  <c r="Y5" i="32"/>
  <c r="J7" i="18"/>
  <c r="W5" i="32" s="1"/>
  <c r="Y169" i="32"/>
  <c r="J43" i="18"/>
  <c r="Y27" i="32"/>
  <c r="J30" i="18"/>
  <c r="J16" i="18"/>
  <c r="Y72" i="32"/>
  <c r="J37" i="18"/>
  <c r="Y83" i="32"/>
  <c r="W129" i="32"/>
  <c r="W39" i="32"/>
  <c r="Y39" i="32"/>
  <c r="Y70" i="32"/>
  <c r="J14" i="18"/>
  <c r="Y32" i="32"/>
  <c r="J35" i="18"/>
  <c r="Y60" i="32"/>
  <c r="J17" i="18"/>
  <c r="Y33" i="32"/>
  <c r="J54" i="18"/>
  <c r="Y173" i="32"/>
  <c r="J8" i="18"/>
  <c r="Y6" i="32"/>
  <c r="J28" i="18"/>
  <c r="Y165" i="32"/>
  <c r="J13" i="18"/>
  <c r="Y11" i="32"/>
  <c r="Y50" i="32"/>
  <c r="J53" i="18"/>
  <c r="Y37" i="32"/>
  <c r="J40" i="18"/>
  <c r="Y24" i="32"/>
  <c r="J27" i="18"/>
  <c r="Y10" i="32"/>
  <c r="J12" i="18"/>
  <c r="Y46" i="32"/>
  <c r="J51" i="18"/>
  <c r="Y38" i="32"/>
  <c r="J41" i="18"/>
  <c r="Y79" i="32"/>
  <c r="Y167" i="32"/>
  <c r="J11" i="18"/>
  <c r="J50" i="18"/>
  <c r="Y145" i="32"/>
  <c r="Y23" i="32"/>
  <c r="J26" i="18"/>
  <c r="Y82" i="32"/>
  <c r="Y8" i="32"/>
  <c r="J10" i="18"/>
  <c r="AL52" i="28"/>
  <c r="AL54" i="28"/>
  <c r="AL9" i="28"/>
  <c r="AL20" i="28"/>
  <c r="AL41" i="28"/>
  <c r="AL39" i="28"/>
  <c r="AL43" i="28"/>
  <c r="AL51" i="28"/>
  <c r="AL22" i="28"/>
  <c r="AL16" i="28"/>
  <c r="AL36" i="28"/>
  <c r="AL147" i="28"/>
  <c r="AL48" i="28"/>
  <c r="AL26" i="28"/>
  <c r="AL38" i="28"/>
  <c r="AL42" i="28"/>
  <c r="AL46" i="28"/>
  <c r="AL29" i="28"/>
  <c r="AL19" i="28"/>
  <c r="AL8" i="28"/>
  <c r="AL50" i="28"/>
  <c r="AL17" i="28"/>
  <c r="AL21" i="28"/>
  <c r="AL14" i="28"/>
  <c r="AL45" i="28"/>
  <c r="AL47" i="28"/>
  <c r="AL198" i="28"/>
  <c r="Z48" i="32"/>
  <c r="AA197" i="32"/>
  <c r="Q6" i="18"/>
  <c r="R19" i="18"/>
  <c r="R46" i="18"/>
  <c r="R39" i="18"/>
  <c r="R29" i="18"/>
  <c r="R22" i="18"/>
  <c r="R10" i="18"/>
  <c r="R54" i="18"/>
  <c r="R45" i="18"/>
  <c r="R38" i="18"/>
  <c r="R21" i="18"/>
  <c r="Z4" i="32"/>
  <c r="X174" i="32"/>
  <c r="R51" i="18"/>
  <c r="R47" i="18"/>
  <c r="R43" i="18"/>
  <c r="Z169" i="32"/>
  <c r="R41" i="18"/>
  <c r="R36" i="18"/>
  <c r="Z98" i="32"/>
  <c r="R20" i="18"/>
  <c r="R9" i="18"/>
  <c r="AL9" i="18" s="1"/>
  <c r="R50" i="18"/>
  <c r="R42" i="18"/>
  <c r="AL42" i="18" s="1"/>
  <c r="R34" i="18"/>
  <c r="R26" i="18"/>
  <c r="R14" i="18"/>
  <c r="Z37" i="32"/>
  <c r="R49" i="18"/>
  <c r="R33" i="18"/>
  <c r="R25" i="18"/>
  <c r="R13" i="18"/>
  <c r="Z32" i="32"/>
  <c r="L186" i="27"/>
  <c r="H180" i="27"/>
  <c r="G180" i="27"/>
  <c r="F180" i="27"/>
  <c r="E180" i="27"/>
  <c r="D180" i="27"/>
  <c r="C180" i="27"/>
  <c r="B180" i="27"/>
  <c r="H156" i="27"/>
  <c r="G156" i="27"/>
  <c r="F156" i="27"/>
  <c r="E156" i="27"/>
  <c r="D156" i="27"/>
  <c r="C156" i="27"/>
  <c r="B156" i="27"/>
  <c r="H37" i="27"/>
  <c r="G37" i="27"/>
  <c r="F37" i="27"/>
  <c r="E37" i="27"/>
  <c r="D37" i="27"/>
  <c r="C37" i="27"/>
  <c r="B37" i="27"/>
  <c r="H74" i="27"/>
  <c r="G74" i="27"/>
  <c r="F74" i="27"/>
  <c r="E74" i="27"/>
  <c r="D74" i="27"/>
  <c r="C74" i="27"/>
  <c r="B74" i="27"/>
  <c r="H71" i="27"/>
  <c r="G71" i="27"/>
  <c r="F71" i="27"/>
  <c r="E71" i="27"/>
  <c r="D71" i="27"/>
  <c r="C71" i="27"/>
  <c r="B71" i="27"/>
  <c r="H44" i="27"/>
  <c r="G44" i="27"/>
  <c r="F44" i="27"/>
  <c r="E44" i="27"/>
  <c r="D44" i="27"/>
  <c r="C44" i="27"/>
  <c r="B44" i="27"/>
  <c r="H43" i="27"/>
  <c r="G43" i="27"/>
  <c r="F43" i="27"/>
  <c r="E43" i="27"/>
  <c r="D43" i="27"/>
  <c r="C43" i="27"/>
  <c r="B43" i="27"/>
  <c r="H42" i="27"/>
  <c r="G42" i="27"/>
  <c r="F42" i="27"/>
  <c r="E42" i="27"/>
  <c r="D42" i="27"/>
  <c r="C42" i="27"/>
  <c r="B42" i="27"/>
  <c r="H41" i="27"/>
  <c r="G41" i="27"/>
  <c r="F41" i="27"/>
  <c r="E41" i="27"/>
  <c r="D41" i="27"/>
  <c r="C41" i="27"/>
  <c r="B41" i="27"/>
  <c r="H40" i="27"/>
  <c r="G40" i="27"/>
  <c r="F40" i="27"/>
  <c r="E40" i="27"/>
  <c r="D40" i="27"/>
  <c r="C40" i="27"/>
  <c r="B40" i="27"/>
  <c r="H39" i="27"/>
  <c r="G39" i="27"/>
  <c r="F39" i="27"/>
  <c r="E39" i="27"/>
  <c r="D39" i="27"/>
  <c r="C39" i="27"/>
  <c r="B39" i="27"/>
  <c r="H38" i="27"/>
  <c r="G38" i="27"/>
  <c r="F38" i="27"/>
  <c r="E38" i="27"/>
  <c r="D38" i="27"/>
  <c r="C38" i="27"/>
  <c r="B38" i="27"/>
  <c r="H46" i="27"/>
  <c r="G46" i="27"/>
  <c r="F46" i="27"/>
  <c r="E46" i="27"/>
  <c r="D46" i="27"/>
  <c r="C46" i="27"/>
  <c r="B46" i="27"/>
  <c r="H36" i="27"/>
  <c r="G36" i="27"/>
  <c r="F36" i="27"/>
  <c r="E36" i="27"/>
  <c r="D36" i="27"/>
  <c r="C36" i="27"/>
  <c r="B36" i="27"/>
  <c r="H35" i="27"/>
  <c r="G35" i="27"/>
  <c r="F35" i="27"/>
  <c r="E35" i="27"/>
  <c r="D35" i="27"/>
  <c r="C35" i="27"/>
  <c r="B35" i="27"/>
  <c r="H34" i="27"/>
  <c r="G34" i="27"/>
  <c r="F34" i="27"/>
  <c r="E34" i="27"/>
  <c r="D34" i="27"/>
  <c r="C34" i="27"/>
  <c r="B34" i="27"/>
  <c r="H33" i="27"/>
  <c r="G33" i="27"/>
  <c r="F33" i="27"/>
  <c r="E33" i="27"/>
  <c r="D33" i="27"/>
  <c r="C33" i="27"/>
  <c r="B33" i="27"/>
  <c r="H32" i="27"/>
  <c r="G32" i="27"/>
  <c r="F32" i="27"/>
  <c r="E32" i="27"/>
  <c r="D32" i="27"/>
  <c r="C32" i="27"/>
  <c r="B32" i="27"/>
  <c r="H31" i="27"/>
  <c r="G31" i="27"/>
  <c r="F31" i="27"/>
  <c r="E31" i="27"/>
  <c r="D31" i="27"/>
  <c r="C31" i="27"/>
  <c r="B31" i="27"/>
  <c r="H30" i="27"/>
  <c r="G30" i="27"/>
  <c r="F30" i="27"/>
  <c r="E30" i="27"/>
  <c r="D30" i="27"/>
  <c r="C30" i="27"/>
  <c r="B30" i="27"/>
  <c r="H29" i="27"/>
  <c r="G29" i="27"/>
  <c r="F29" i="27"/>
  <c r="E29" i="27"/>
  <c r="D29" i="27"/>
  <c r="C29" i="27"/>
  <c r="B29" i="27"/>
  <c r="H28" i="27"/>
  <c r="G28" i="27"/>
  <c r="F28" i="27"/>
  <c r="E28" i="27"/>
  <c r="D28" i="27"/>
  <c r="C28" i="27"/>
  <c r="B28" i="27"/>
  <c r="H27" i="27"/>
  <c r="G27" i="27"/>
  <c r="F27" i="27"/>
  <c r="E27" i="27"/>
  <c r="D27" i="27"/>
  <c r="C27" i="27"/>
  <c r="B27" i="27"/>
  <c r="H26" i="27"/>
  <c r="G26" i="27"/>
  <c r="F26" i="27"/>
  <c r="E26" i="27"/>
  <c r="D26" i="27"/>
  <c r="C26" i="27"/>
  <c r="B26" i="27"/>
  <c r="H25" i="27"/>
  <c r="G25" i="27"/>
  <c r="F25" i="27"/>
  <c r="E25" i="27"/>
  <c r="D25" i="27"/>
  <c r="C25" i="27"/>
  <c r="B25" i="27"/>
  <c r="H24" i="27"/>
  <c r="G24" i="27"/>
  <c r="F24" i="27"/>
  <c r="E24" i="27"/>
  <c r="D24" i="27"/>
  <c r="C24" i="27"/>
  <c r="B24" i="27"/>
  <c r="H23" i="27"/>
  <c r="G23" i="27"/>
  <c r="F23" i="27"/>
  <c r="E23" i="27"/>
  <c r="D23" i="27"/>
  <c r="C23" i="27"/>
  <c r="B23" i="27"/>
  <c r="H22" i="27"/>
  <c r="G22" i="27"/>
  <c r="F22" i="27"/>
  <c r="E22" i="27"/>
  <c r="D22" i="27"/>
  <c r="C22" i="27"/>
  <c r="B22" i="27"/>
  <c r="H21" i="27"/>
  <c r="G21" i="27"/>
  <c r="F21" i="27"/>
  <c r="E21" i="27"/>
  <c r="D21" i="27"/>
  <c r="C21" i="27"/>
  <c r="B21" i="27"/>
  <c r="H20" i="27"/>
  <c r="G20" i="27"/>
  <c r="F20" i="27"/>
  <c r="E20" i="27"/>
  <c r="D20" i="27"/>
  <c r="C20" i="27"/>
  <c r="B20" i="27"/>
  <c r="H19" i="27"/>
  <c r="G19" i="27"/>
  <c r="F19" i="27"/>
  <c r="E19" i="27"/>
  <c r="D19" i="27"/>
  <c r="C19" i="27"/>
  <c r="B19" i="27"/>
  <c r="H18" i="27"/>
  <c r="G18" i="27"/>
  <c r="F18" i="27"/>
  <c r="E18" i="27"/>
  <c r="D18" i="27"/>
  <c r="C18" i="27"/>
  <c r="B18" i="27"/>
  <c r="H17" i="27"/>
  <c r="G17" i="27"/>
  <c r="F17" i="27"/>
  <c r="E17" i="27"/>
  <c r="D17" i="27"/>
  <c r="C17" i="27"/>
  <c r="B17" i="27"/>
  <c r="H16" i="27"/>
  <c r="G16" i="27"/>
  <c r="F16" i="27"/>
  <c r="E16" i="27"/>
  <c r="D16" i="27"/>
  <c r="C16" i="27"/>
  <c r="B16" i="27"/>
  <c r="H15" i="27"/>
  <c r="G15" i="27"/>
  <c r="F15" i="27"/>
  <c r="E15" i="27"/>
  <c r="D15" i="27"/>
  <c r="C15" i="27"/>
  <c r="B15" i="27"/>
  <c r="H14" i="27"/>
  <c r="G14" i="27"/>
  <c r="F14" i="27"/>
  <c r="E14" i="27"/>
  <c r="D14" i="27"/>
  <c r="C14" i="27"/>
  <c r="B14" i="27"/>
  <c r="H13" i="27"/>
  <c r="G13" i="27"/>
  <c r="F13" i="27"/>
  <c r="E13" i="27"/>
  <c r="D13" i="27"/>
  <c r="C13" i="27"/>
  <c r="B13" i="27"/>
  <c r="H12" i="27"/>
  <c r="G12" i="27"/>
  <c r="F12" i="27"/>
  <c r="E12" i="27"/>
  <c r="D12" i="27"/>
  <c r="C12" i="27"/>
  <c r="B12" i="27"/>
  <c r="H11" i="27"/>
  <c r="G11" i="27"/>
  <c r="F11" i="27"/>
  <c r="E11" i="27"/>
  <c r="D11" i="27"/>
  <c r="C11" i="27"/>
  <c r="B11" i="27"/>
  <c r="H10" i="27"/>
  <c r="G10" i="27"/>
  <c r="F10" i="27"/>
  <c r="E10" i="27"/>
  <c r="D10" i="27"/>
  <c r="C10" i="27"/>
  <c r="B10" i="27"/>
  <c r="H9" i="27"/>
  <c r="G9" i="27"/>
  <c r="F9" i="27"/>
  <c r="E9" i="27"/>
  <c r="D9" i="27"/>
  <c r="C9" i="27"/>
  <c r="B9" i="27"/>
  <c r="H8" i="27"/>
  <c r="G8" i="27"/>
  <c r="F8" i="27"/>
  <c r="E8" i="27"/>
  <c r="D8" i="27"/>
  <c r="C8" i="27"/>
  <c r="B8" i="27"/>
  <c r="H7" i="27"/>
  <c r="G7" i="27"/>
  <c r="F7" i="27"/>
  <c r="E7" i="27"/>
  <c r="D7" i="27"/>
  <c r="C7" i="27"/>
  <c r="B7" i="27"/>
  <c r="H6" i="27"/>
  <c r="G6" i="27"/>
  <c r="F6" i="27"/>
  <c r="E6" i="27"/>
  <c r="D6" i="27"/>
  <c r="C6" i="27"/>
  <c r="B6" i="27"/>
  <c r="H5" i="27"/>
  <c r="G5" i="27"/>
  <c r="F5" i="27"/>
  <c r="E5" i="27"/>
  <c r="D5" i="27"/>
  <c r="C5" i="27"/>
  <c r="B5" i="27"/>
  <c r="H4" i="27"/>
  <c r="G4" i="27"/>
  <c r="F4" i="27"/>
  <c r="E4" i="27"/>
  <c r="D4" i="27"/>
  <c r="C4" i="27"/>
  <c r="B4" i="27"/>
  <c r="H3" i="27"/>
  <c r="G3" i="27"/>
  <c r="F3" i="27"/>
  <c r="E3" i="27"/>
  <c r="D3" i="27"/>
  <c r="C3" i="27"/>
  <c r="B3" i="27"/>
  <c r="H2" i="27"/>
  <c r="G2" i="27"/>
  <c r="F2" i="27"/>
  <c r="E2" i="27"/>
  <c r="D2" i="27"/>
  <c r="C2" i="27"/>
  <c r="B2" i="27"/>
  <c r="V137" i="32" l="1"/>
  <c r="R6" i="18"/>
  <c r="W137" i="32"/>
  <c r="W46" i="32"/>
  <c r="W10" i="32"/>
  <c r="W37" i="32"/>
  <c r="AL40" i="18"/>
  <c r="W27" i="32"/>
  <c r="W171" i="32"/>
  <c r="W23" i="32"/>
  <c r="AL39" i="18"/>
  <c r="W107" i="32"/>
  <c r="W165" i="32"/>
  <c r="W149" i="32"/>
  <c r="W15" i="32"/>
  <c r="W41" i="32"/>
  <c r="W102" i="32"/>
  <c r="AL33" i="18"/>
  <c r="W19" i="32"/>
  <c r="W98" i="32"/>
  <c r="AL36" i="18"/>
  <c r="W96" i="32"/>
  <c r="AL49" i="18"/>
  <c r="W79" i="32"/>
  <c r="W43" i="32"/>
  <c r="AL46" i="18"/>
  <c r="W28" i="32"/>
  <c r="W83" i="32"/>
  <c r="W167" i="32"/>
  <c r="W38" i="32"/>
  <c r="W24" i="32"/>
  <c r="W50" i="32"/>
  <c r="W32" i="32"/>
  <c r="W169" i="32"/>
  <c r="AL43" i="18"/>
  <c r="W49" i="32"/>
  <c r="W16" i="32"/>
  <c r="W8" i="32"/>
  <c r="W22" i="32"/>
  <c r="W173" i="32"/>
  <c r="AL54" i="18"/>
  <c r="W60" i="32"/>
  <c r="W70" i="32"/>
  <c r="AL29" i="18"/>
  <c r="W45" i="32"/>
  <c r="W67" i="32"/>
  <c r="W82" i="32"/>
  <c r="W145" i="32"/>
  <c r="AL50" i="18"/>
  <c r="W93" i="32"/>
  <c r="W11" i="32"/>
  <c r="W6" i="32"/>
  <c r="W33" i="32"/>
  <c r="W153" i="32"/>
  <c r="W72" i="32"/>
  <c r="W52" i="32"/>
  <c r="W48" i="32"/>
  <c r="AL32" i="18"/>
  <c r="W168" i="32"/>
  <c r="W18" i="32"/>
  <c r="W42" i="32"/>
  <c r="W31" i="32"/>
  <c r="W17" i="32"/>
  <c r="W44" i="32"/>
  <c r="W177" i="32"/>
  <c r="W13" i="32"/>
  <c r="AL38" i="18"/>
  <c r="R8" i="18"/>
  <c r="X6" i="32" s="1"/>
  <c r="R30" i="18"/>
  <c r="X27" i="32" s="1"/>
  <c r="X48" i="32"/>
  <c r="R28" i="18"/>
  <c r="X96" i="32"/>
  <c r="X102" i="32"/>
  <c r="X169" i="32"/>
  <c r="X31" i="32"/>
  <c r="X39" i="32"/>
  <c r="AC39" i="32" s="1"/>
  <c r="AG39" i="32" s="1"/>
  <c r="X38" i="32"/>
  <c r="X145" i="32"/>
  <c r="Z83" i="32"/>
  <c r="Z6" i="32"/>
  <c r="Z50" i="32"/>
  <c r="Z27" i="32"/>
  <c r="Z31" i="32"/>
  <c r="X98" i="32"/>
  <c r="Z38" i="32"/>
  <c r="Z42" i="32"/>
  <c r="Z44" i="32"/>
  <c r="Z46" i="32"/>
  <c r="X46" i="32"/>
  <c r="Z28" i="32"/>
  <c r="Z16" i="32"/>
  <c r="Z41" i="32"/>
  <c r="X13" i="32"/>
  <c r="X42" i="32"/>
  <c r="X173" i="32"/>
  <c r="X70" i="32"/>
  <c r="X16" i="32"/>
  <c r="Z49" i="32"/>
  <c r="Z60" i="32"/>
  <c r="R197" i="32"/>
  <c r="K191" i="14"/>
  <c r="K186" i="26"/>
  <c r="AC13" i="32" l="1"/>
  <c r="AG13" i="32" s="1"/>
  <c r="AC31" i="32"/>
  <c r="AG31" i="32" s="1"/>
  <c r="AC42" i="32"/>
  <c r="AC48" i="32"/>
  <c r="AG48" i="32" s="1"/>
  <c r="AC6" i="32"/>
  <c r="AG6" i="32" s="1"/>
  <c r="AC145" i="32"/>
  <c r="AG145" i="32" s="1"/>
  <c r="AC70" i="32"/>
  <c r="AC60" i="32"/>
  <c r="AG60" i="32" s="1"/>
  <c r="AC173" i="32"/>
  <c r="AG173" i="32" s="1"/>
  <c r="AC16" i="32"/>
  <c r="AC169" i="32"/>
  <c r="AG169" i="32" s="1"/>
  <c r="AC50" i="32"/>
  <c r="AG50" i="32" s="1"/>
  <c r="AC38" i="32"/>
  <c r="AG38" i="32" s="1"/>
  <c r="AC83" i="32"/>
  <c r="AG83" i="32" s="1"/>
  <c r="AC96" i="32"/>
  <c r="AG96" i="32" s="1"/>
  <c r="AC98" i="32"/>
  <c r="AC102" i="32"/>
  <c r="AG102" i="32" s="1"/>
  <c r="AC41" i="32"/>
  <c r="AC27" i="32"/>
  <c r="AC46" i="32"/>
  <c r="AL45" i="18"/>
  <c r="AL53" i="18"/>
  <c r="AL37" i="18"/>
  <c r="AL47" i="18"/>
  <c r="AL34" i="18"/>
  <c r="AL8" i="18"/>
  <c r="AL48" i="18"/>
  <c r="AL19" i="18"/>
  <c r="AL41" i="18"/>
  <c r="AL44" i="18"/>
  <c r="AL30" i="18"/>
  <c r="AL51" i="18"/>
  <c r="X23" i="32"/>
  <c r="AC23" i="32" s="1"/>
  <c r="AG23" i="32" s="1"/>
  <c r="X43" i="32"/>
  <c r="AC43" i="32" s="1"/>
  <c r="AG43" i="32" s="1"/>
  <c r="X44" i="32"/>
  <c r="AC44" i="32" s="1"/>
  <c r="AG44" i="32" s="1"/>
  <c r="X37" i="32"/>
  <c r="AC37" i="32" s="1"/>
  <c r="AG37" i="32" s="1"/>
  <c r="AF39" i="32"/>
  <c r="S61" i="31"/>
  <c r="AF6" i="32" l="1"/>
  <c r="AF31" i="32"/>
  <c r="AF38" i="32"/>
  <c r="AF145" i="32"/>
  <c r="AF27" i="32"/>
  <c r="AG27" i="32"/>
  <c r="AF70" i="32"/>
  <c r="AG70" i="32"/>
  <c r="AF42" i="32"/>
  <c r="AG42" i="32"/>
  <c r="AF46" i="32"/>
  <c r="AG46" i="32"/>
  <c r="AF41" i="32"/>
  <c r="AG41" i="32"/>
  <c r="AF16" i="32"/>
  <c r="AG16" i="32"/>
  <c r="AF98" i="32"/>
  <c r="AG98" i="32"/>
  <c r="AF44" i="32"/>
  <c r="AF60" i="32"/>
  <c r="AF173" i="32"/>
  <c r="AF169" i="32"/>
  <c r="AF96" i="32"/>
  <c r="AF48" i="32"/>
  <c r="AF102" i="32"/>
  <c r="AF50" i="32"/>
  <c r="AF83" i="32"/>
  <c r="AF37" i="32"/>
  <c r="AF43" i="32"/>
  <c r="AF23" i="32"/>
  <c r="AF13" i="32"/>
  <c r="S15" i="31"/>
  <c r="S7" i="31"/>
  <c r="S47" i="31"/>
  <c r="S17" i="31"/>
  <c r="S38" i="31"/>
  <c r="S63" i="31"/>
  <c r="S93" i="31"/>
  <c r="S20" i="31"/>
  <c r="S80" i="31"/>
  <c r="S32" i="31"/>
  <c r="S81" i="31"/>
  <c r="S64" i="31"/>
  <c r="S142" i="31"/>
  <c r="S137" i="31" l="1"/>
  <c r="J186" i="27" l="1"/>
  <c r="P158" i="31"/>
  <c r="U158" i="31" s="1"/>
  <c r="P93" i="31"/>
  <c r="U93" i="31" s="1"/>
  <c r="L186" i="26"/>
  <c r="J186" i="26"/>
  <c r="H180" i="26"/>
  <c r="G180" i="26"/>
  <c r="F180" i="26"/>
  <c r="P133" i="31" s="1"/>
  <c r="U133" i="31" s="1"/>
  <c r="E180" i="26"/>
  <c r="D180" i="26"/>
  <c r="C180" i="26"/>
  <c r="B180" i="26"/>
  <c r="H157" i="26"/>
  <c r="G157" i="26"/>
  <c r="F157" i="26"/>
  <c r="P100" i="31" s="1"/>
  <c r="U100" i="31" s="1"/>
  <c r="E157" i="26"/>
  <c r="D157" i="26"/>
  <c r="C157" i="26"/>
  <c r="B157" i="26"/>
  <c r="H37" i="26"/>
  <c r="G37" i="26"/>
  <c r="F37" i="26"/>
  <c r="P49" i="31" s="1"/>
  <c r="U49" i="31" s="1"/>
  <c r="E37" i="26"/>
  <c r="D37" i="26"/>
  <c r="C37" i="26"/>
  <c r="H74" i="26"/>
  <c r="G74" i="26"/>
  <c r="F74" i="26"/>
  <c r="P123" i="31" s="1"/>
  <c r="U123" i="31" s="1"/>
  <c r="E74" i="26"/>
  <c r="D74" i="26"/>
  <c r="C74" i="26"/>
  <c r="B74" i="26"/>
  <c r="H71" i="26"/>
  <c r="G71" i="26"/>
  <c r="F71" i="26"/>
  <c r="P11" i="31" s="1"/>
  <c r="E71" i="26"/>
  <c r="D71" i="26"/>
  <c r="C71" i="26"/>
  <c r="B71" i="26"/>
  <c r="H44" i="26"/>
  <c r="G44" i="26"/>
  <c r="F44" i="26"/>
  <c r="P51" i="31" s="1"/>
  <c r="U51" i="31" s="1"/>
  <c r="E44" i="26"/>
  <c r="D44" i="26"/>
  <c r="C44" i="26"/>
  <c r="B44" i="26"/>
  <c r="H43" i="26"/>
  <c r="G43" i="26"/>
  <c r="F43" i="26"/>
  <c r="P180" i="31" s="1"/>
  <c r="U180" i="31" s="1"/>
  <c r="E43" i="26"/>
  <c r="D43" i="26"/>
  <c r="C43" i="26"/>
  <c r="B43" i="26"/>
  <c r="H42" i="26"/>
  <c r="G42" i="26"/>
  <c r="F42" i="26"/>
  <c r="P17" i="31" s="1"/>
  <c r="U17" i="31" s="1"/>
  <c r="E42" i="26"/>
  <c r="D42" i="26"/>
  <c r="C42" i="26"/>
  <c r="B42" i="26"/>
  <c r="H41" i="26"/>
  <c r="G41" i="26"/>
  <c r="F41" i="26"/>
  <c r="P142" i="31" s="1"/>
  <c r="U142" i="31" s="1"/>
  <c r="E41" i="26"/>
  <c r="D41" i="26"/>
  <c r="C41" i="26"/>
  <c r="B41" i="26"/>
  <c r="H40" i="26"/>
  <c r="G40" i="26"/>
  <c r="F40" i="26"/>
  <c r="P109" i="31" s="1"/>
  <c r="U109" i="31" s="1"/>
  <c r="E40" i="26"/>
  <c r="D40" i="26"/>
  <c r="C40" i="26"/>
  <c r="B40" i="26"/>
  <c r="H39" i="26"/>
  <c r="G39" i="26"/>
  <c r="F39" i="26"/>
  <c r="P45" i="31" s="1"/>
  <c r="U45" i="31" s="1"/>
  <c r="E39" i="26"/>
  <c r="D39" i="26"/>
  <c r="C39" i="26"/>
  <c r="B39" i="26"/>
  <c r="H38" i="26"/>
  <c r="G38" i="26"/>
  <c r="F38" i="26"/>
  <c r="P32" i="31" s="1"/>
  <c r="U32" i="31" s="1"/>
  <c r="E38" i="26"/>
  <c r="D38" i="26"/>
  <c r="C38" i="26"/>
  <c r="B38" i="26"/>
  <c r="H46" i="26"/>
  <c r="G46" i="26"/>
  <c r="F46" i="26"/>
  <c r="P118" i="31" s="1"/>
  <c r="U118" i="31" s="1"/>
  <c r="E46" i="26"/>
  <c r="D46" i="26"/>
  <c r="C46" i="26"/>
  <c r="B46" i="26"/>
  <c r="H36" i="26"/>
  <c r="G36" i="26"/>
  <c r="F36" i="26"/>
  <c r="P130" i="31" s="1"/>
  <c r="U130" i="31" s="1"/>
  <c r="E36" i="26"/>
  <c r="D36" i="26"/>
  <c r="C36" i="26"/>
  <c r="B36" i="26"/>
  <c r="H35" i="26"/>
  <c r="G35" i="26"/>
  <c r="F35" i="26"/>
  <c r="P132" i="31" s="1"/>
  <c r="U132" i="31" s="1"/>
  <c r="E35" i="26"/>
  <c r="D35" i="26"/>
  <c r="C35" i="26"/>
  <c r="B35" i="26"/>
  <c r="H34" i="26"/>
  <c r="G34" i="26"/>
  <c r="F34" i="26"/>
  <c r="P40" i="31" s="1"/>
  <c r="U40" i="31" s="1"/>
  <c r="E34" i="26"/>
  <c r="D34" i="26"/>
  <c r="C34" i="26"/>
  <c r="B34" i="26"/>
  <c r="H33" i="26"/>
  <c r="G33" i="26"/>
  <c r="F33" i="26"/>
  <c r="P106" i="31" s="1"/>
  <c r="U106" i="31" s="1"/>
  <c r="E33" i="26"/>
  <c r="D33" i="26"/>
  <c r="C33" i="26"/>
  <c r="B33" i="26"/>
  <c r="H32" i="26"/>
  <c r="G32" i="26"/>
  <c r="F32" i="26"/>
  <c r="P16" i="31" s="1"/>
  <c r="U16" i="31" s="1"/>
  <c r="E32" i="26"/>
  <c r="D32" i="26"/>
  <c r="C32" i="26"/>
  <c r="B32" i="26"/>
  <c r="H31" i="26"/>
  <c r="G31" i="26"/>
  <c r="F31" i="26"/>
  <c r="P104" i="31" s="1"/>
  <c r="U104" i="31" s="1"/>
  <c r="E31" i="26"/>
  <c r="D31" i="26"/>
  <c r="C31" i="26"/>
  <c r="B31" i="26"/>
  <c r="H30" i="26"/>
  <c r="G30" i="26"/>
  <c r="F30" i="26"/>
  <c r="P88" i="31" s="1"/>
  <c r="U88" i="31" s="1"/>
  <c r="E30" i="26"/>
  <c r="D30" i="26"/>
  <c r="C30" i="26"/>
  <c r="B30" i="26"/>
  <c r="H29" i="26"/>
  <c r="G29" i="26"/>
  <c r="F29" i="26"/>
  <c r="P36" i="31" s="1"/>
  <c r="U36" i="31" s="1"/>
  <c r="E29" i="26"/>
  <c r="D29" i="26"/>
  <c r="C29" i="26"/>
  <c r="B29" i="26"/>
  <c r="H28" i="26"/>
  <c r="G28" i="26"/>
  <c r="F28" i="26"/>
  <c r="P35" i="31" s="1"/>
  <c r="U35" i="31" s="1"/>
  <c r="E28" i="26"/>
  <c r="D28" i="26"/>
  <c r="C28" i="26"/>
  <c r="B28" i="26"/>
  <c r="H27" i="26"/>
  <c r="G27" i="26"/>
  <c r="F27" i="26"/>
  <c r="P34" i="31" s="1"/>
  <c r="U34" i="31" s="1"/>
  <c r="E27" i="26"/>
  <c r="D27" i="26"/>
  <c r="C27" i="26"/>
  <c r="B27" i="26"/>
  <c r="H26" i="26"/>
  <c r="G26" i="26"/>
  <c r="F26" i="26"/>
  <c r="P182" i="31" s="1"/>
  <c r="U182" i="31" s="1"/>
  <c r="E26" i="26"/>
  <c r="D26" i="26"/>
  <c r="C26" i="26"/>
  <c r="B26" i="26"/>
  <c r="H25" i="26"/>
  <c r="G25" i="26"/>
  <c r="F25" i="26"/>
  <c r="P150" i="31" s="1"/>
  <c r="U150" i="31" s="1"/>
  <c r="E25" i="26"/>
  <c r="D25" i="26"/>
  <c r="C25" i="26"/>
  <c r="B25" i="26"/>
  <c r="H24" i="26"/>
  <c r="G24" i="26"/>
  <c r="F24" i="26"/>
  <c r="P30" i="31" s="1"/>
  <c r="U30" i="31" s="1"/>
  <c r="E24" i="26"/>
  <c r="D24" i="26"/>
  <c r="C24" i="26"/>
  <c r="B24" i="26"/>
  <c r="H23" i="26"/>
  <c r="G23" i="26"/>
  <c r="F23" i="26"/>
  <c r="P127" i="31" s="1"/>
  <c r="U127" i="31" s="1"/>
  <c r="E23" i="26"/>
  <c r="D23" i="26"/>
  <c r="C23" i="26"/>
  <c r="B23" i="26"/>
  <c r="H22" i="26"/>
  <c r="G22" i="26"/>
  <c r="F22" i="26"/>
  <c r="P76" i="31" s="1"/>
  <c r="U76" i="31" s="1"/>
  <c r="E22" i="26"/>
  <c r="D22" i="26"/>
  <c r="C22" i="26"/>
  <c r="B22" i="26"/>
  <c r="H21" i="26"/>
  <c r="G21" i="26"/>
  <c r="F21" i="26"/>
  <c r="P26" i="31" s="1"/>
  <c r="U26" i="31" s="1"/>
  <c r="E21" i="26"/>
  <c r="D21" i="26"/>
  <c r="C21" i="26"/>
  <c r="B21" i="26"/>
  <c r="H20" i="26"/>
  <c r="G20" i="26"/>
  <c r="F20" i="26"/>
  <c r="P25" i="31" s="1"/>
  <c r="U25" i="31" s="1"/>
  <c r="E20" i="26"/>
  <c r="D20" i="26"/>
  <c r="C20" i="26"/>
  <c r="B20" i="26"/>
  <c r="H19" i="26"/>
  <c r="G19" i="26"/>
  <c r="F19" i="26"/>
  <c r="P7" i="31" s="1"/>
  <c r="U7" i="31" s="1"/>
  <c r="E19" i="26"/>
  <c r="D19" i="26"/>
  <c r="C19" i="26"/>
  <c r="B19" i="26"/>
  <c r="H18" i="26"/>
  <c r="G18" i="26"/>
  <c r="F18" i="26"/>
  <c r="P145" i="31" s="1"/>
  <c r="U145" i="31" s="1"/>
  <c r="E18" i="26"/>
  <c r="D18" i="26"/>
  <c r="C18" i="26"/>
  <c r="B18" i="26"/>
  <c r="H17" i="26"/>
  <c r="G17" i="26"/>
  <c r="F17" i="26"/>
  <c r="P23" i="31" s="1"/>
  <c r="U23" i="31" s="1"/>
  <c r="E17" i="26"/>
  <c r="D17" i="26"/>
  <c r="C17" i="26"/>
  <c r="B17" i="26"/>
  <c r="H16" i="26"/>
  <c r="G16" i="26"/>
  <c r="F16" i="26"/>
  <c r="P37" i="31" s="1"/>
  <c r="U37" i="31" s="1"/>
  <c r="E16" i="26"/>
  <c r="D16" i="26"/>
  <c r="C16" i="26"/>
  <c r="B16" i="26"/>
  <c r="H15" i="26"/>
  <c r="G15" i="26"/>
  <c r="F15" i="26"/>
  <c r="E15" i="26"/>
  <c r="D15" i="26"/>
  <c r="C15" i="26"/>
  <c r="B15" i="26"/>
  <c r="H14" i="26"/>
  <c r="G14" i="26"/>
  <c r="F14" i="26"/>
  <c r="P54" i="31" s="1"/>
  <c r="U54" i="31" s="1"/>
  <c r="E14" i="26"/>
  <c r="D14" i="26"/>
  <c r="C14" i="26"/>
  <c r="B14" i="26"/>
  <c r="H13" i="26"/>
  <c r="G13" i="26"/>
  <c r="F13" i="26"/>
  <c r="P157" i="31" s="1"/>
  <c r="U157" i="31" s="1"/>
  <c r="E13" i="26"/>
  <c r="D13" i="26"/>
  <c r="C13" i="26"/>
  <c r="B13" i="26"/>
  <c r="H12" i="26"/>
  <c r="G12" i="26"/>
  <c r="F12" i="26"/>
  <c r="P89" i="31" s="1"/>
  <c r="U89" i="31" s="1"/>
  <c r="E12" i="26"/>
  <c r="D12" i="26"/>
  <c r="C12" i="26"/>
  <c r="B12" i="26"/>
  <c r="H11" i="26"/>
  <c r="G11" i="26"/>
  <c r="F11" i="26"/>
  <c r="E11" i="26"/>
  <c r="D11" i="26"/>
  <c r="C11" i="26"/>
  <c r="B11" i="26"/>
  <c r="H10" i="26"/>
  <c r="G10" i="26"/>
  <c r="F10" i="26"/>
  <c r="P13" i="31" s="1"/>
  <c r="U13" i="31" s="1"/>
  <c r="E10" i="26"/>
  <c r="D10" i="26"/>
  <c r="C10" i="26"/>
  <c r="B10" i="26"/>
  <c r="H9" i="26"/>
  <c r="G9" i="26"/>
  <c r="F9" i="26"/>
  <c r="P12" i="31" s="1"/>
  <c r="U12" i="31" s="1"/>
  <c r="E9" i="26"/>
  <c r="D9" i="26"/>
  <c r="C9" i="26"/>
  <c r="B9" i="26"/>
  <c r="H8" i="26"/>
  <c r="G8" i="26"/>
  <c r="F8" i="26"/>
  <c r="E8" i="26"/>
  <c r="D8" i="26"/>
  <c r="C8" i="26"/>
  <c r="B8" i="26"/>
  <c r="H7" i="26"/>
  <c r="G7" i="26"/>
  <c r="F7" i="26"/>
  <c r="P43" i="31" s="1"/>
  <c r="U43" i="31" s="1"/>
  <c r="E7" i="26"/>
  <c r="D7" i="26"/>
  <c r="C7" i="26"/>
  <c r="B7" i="26"/>
  <c r="H6" i="26"/>
  <c r="G6" i="26"/>
  <c r="F6" i="26"/>
  <c r="P9" i="31" s="1"/>
  <c r="U9" i="31" s="1"/>
  <c r="E6" i="26"/>
  <c r="D6" i="26"/>
  <c r="C6" i="26"/>
  <c r="B6" i="26"/>
  <c r="H5" i="26"/>
  <c r="G5" i="26"/>
  <c r="F5" i="26"/>
  <c r="E5" i="26"/>
  <c r="D5" i="26"/>
  <c r="C5" i="26"/>
  <c r="B5" i="26"/>
  <c r="H4" i="26"/>
  <c r="G4" i="26"/>
  <c r="F4" i="26"/>
  <c r="P71" i="31" s="1"/>
  <c r="U71" i="31" s="1"/>
  <c r="E4" i="26"/>
  <c r="D4" i="26"/>
  <c r="C4" i="26"/>
  <c r="B4" i="26"/>
  <c r="H3" i="26"/>
  <c r="G3" i="26"/>
  <c r="F3" i="26"/>
  <c r="P5" i="31" s="1"/>
  <c r="U5" i="31" s="1"/>
  <c r="E3" i="26"/>
  <c r="D3" i="26"/>
  <c r="C3" i="26"/>
  <c r="B3" i="26"/>
  <c r="H2" i="26"/>
  <c r="G2" i="26"/>
  <c r="F2" i="26"/>
  <c r="E2" i="26"/>
  <c r="D2" i="26"/>
  <c r="C2" i="26"/>
  <c r="B2" i="26"/>
  <c r="U11" i="31" l="1"/>
  <c r="T11" i="31"/>
  <c r="T5" i="31"/>
  <c r="T71" i="31"/>
  <c r="T9" i="31"/>
  <c r="T43" i="31"/>
  <c r="T12" i="31"/>
  <c r="T13" i="31"/>
  <c r="T89" i="31"/>
  <c r="T157" i="31"/>
  <c r="T54" i="31"/>
  <c r="T37" i="31"/>
  <c r="T23" i="31"/>
  <c r="T145" i="31"/>
  <c r="T7" i="31"/>
  <c r="T25" i="31"/>
  <c r="T26" i="31"/>
  <c r="T76" i="31"/>
  <c r="T127" i="31"/>
  <c r="T30" i="31"/>
  <c r="T150" i="31"/>
  <c r="T182" i="31"/>
  <c r="T34" i="31"/>
  <c r="T35" i="31"/>
  <c r="T36" i="31"/>
  <c r="T88" i="31"/>
  <c r="T104" i="31"/>
  <c r="T16" i="31"/>
  <c r="T106" i="31"/>
  <c r="T40" i="31"/>
  <c r="T132" i="31"/>
  <c r="T130" i="31"/>
  <c r="T118" i="31"/>
  <c r="T32" i="31"/>
  <c r="T45" i="31"/>
  <c r="T109" i="31"/>
  <c r="T142" i="31"/>
  <c r="T17" i="31"/>
  <c r="T180" i="31"/>
  <c r="T51" i="31"/>
  <c r="T123" i="31"/>
  <c r="T49" i="31"/>
  <c r="T100" i="31"/>
  <c r="T133" i="31"/>
  <c r="T93" i="31"/>
  <c r="T158" i="31"/>
  <c r="AA162" i="34"/>
  <c r="AA161" i="34"/>
  <c r="AA10" i="34"/>
  <c r="AA10" i="18"/>
  <c r="AB10" i="18" s="1"/>
  <c r="AA112" i="34"/>
  <c r="AA111" i="18"/>
  <c r="P61" i="31"/>
  <c r="U61" i="31" s="1"/>
  <c r="AA161" i="18"/>
  <c r="P151" i="31"/>
  <c r="U151" i="31" s="1"/>
  <c r="AA160" i="18"/>
  <c r="P75" i="31"/>
  <c r="U75" i="31" s="1"/>
  <c r="AA13" i="28"/>
  <c r="M168" i="27"/>
  <c r="P46" i="31"/>
  <c r="U46" i="31" s="1"/>
  <c r="AA152" i="28"/>
  <c r="P95" i="31"/>
  <c r="U95" i="31" s="1"/>
  <c r="AA10" i="28"/>
  <c r="P28" i="31"/>
  <c r="U28" i="31" s="1"/>
  <c r="AA163" i="28"/>
  <c r="P79" i="31"/>
  <c r="U79" i="31" s="1"/>
  <c r="AA113" i="28"/>
  <c r="P21" i="31"/>
  <c r="U21" i="31" s="1"/>
  <c r="AA164" i="28"/>
  <c r="W142" i="31"/>
  <c r="V142" i="31"/>
  <c r="W7" i="31"/>
  <c r="V7" i="31"/>
  <c r="V17" i="31"/>
  <c r="W17" i="31"/>
  <c r="W32" i="31"/>
  <c r="V32" i="31"/>
  <c r="W93" i="31"/>
  <c r="V93" i="31"/>
  <c r="K31" i="27"/>
  <c r="M31" i="27" s="1"/>
  <c r="K28" i="27"/>
  <c r="M28" i="27" s="1"/>
  <c r="K6" i="27"/>
  <c r="M6" i="27" s="1"/>
  <c r="K30" i="27"/>
  <c r="M30" i="27" s="1"/>
  <c r="K15" i="27"/>
  <c r="M15" i="27" s="1"/>
  <c r="K18" i="27"/>
  <c r="M18" i="27" s="1"/>
  <c r="K21" i="27"/>
  <c r="M21" i="27" s="1"/>
  <c r="K16" i="27"/>
  <c r="M16" i="27" s="1"/>
  <c r="K44" i="27"/>
  <c r="M44" i="27" s="1"/>
  <c r="K39" i="27"/>
  <c r="M39" i="27" s="1"/>
  <c r="K37" i="27"/>
  <c r="M37" i="27" s="1"/>
  <c r="K3" i="27"/>
  <c r="M3" i="27" s="1"/>
  <c r="K10" i="27"/>
  <c r="M10" i="27" s="1"/>
  <c r="K34" i="27"/>
  <c r="M34" i="27" s="1"/>
  <c r="K23" i="27"/>
  <c r="M23" i="27" s="1"/>
  <c r="K5" i="27"/>
  <c r="M5" i="27" s="1"/>
  <c r="K25" i="27"/>
  <c r="M25" i="27" s="1"/>
  <c r="K32" i="27"/>
  <c r="M32" i="27" s="1"/>
  <c r="K43" i="27"/>
  <c r="M43" i="27" s="1"/>
  <c r="K7" i="27"/>
  <c r="M7" i="27" s="1"/>
  <c r="K22" i="27"/>
  <c r="M22" i="27" s="1"/>
  <c r="K8" i="27"/>
  <c r="M8" i="27" s="1"/>
  <c r="K35" i="27"/>
  <c r="M35" i="27" s="1"/>
  <c r="K9" i="27"/>
  <c r="M9" i="27" s="1"/>
  <c r="K29" i="27"/>
  <c r="M29" i="27" s="1"/>
  <c r="K36" i="27"/>
  <c r="M36" i="27" s="1"/>
  <c r="K12" i="27"/>
  <c r="M12" i="27" s="1"/>
  <c r="K27" i="27"/>
  <c r="M27" i="27" s="1"/>
  <c r="K26" i="27"/>
  <c r="M26" i="27" s="1"/>
  <c r="K24" i="27"/>
  <c r="M24" i="27" s="1"/>
  <c r="K14" i="27"/>
  <c r="M14" i="27" s="1"/>
  <c r="K13" i="27"/>
  <c r="M13" i="27" s="1"/>
  <c r="K33" i="27"/>
  <c r="M33" i="27" s="1"/>
  <c r="K4" i="27"/>
  <c r="M4" i="27" s="1"/>
  <c r="K40" i="27"/>
  <c r="M40" i="27" s="1"/>
  <c r="P137" i="31"/>
  <c r="U137" i="31" s="1"/>
  <c r="T137" i="31" l="1"/>
  <c r="T21" i="31"/>
  <c r="T79" i="31"/>
  <c r="T28" i="31"/>
  <c r="T95" i="31"/>
  <c r="T46" i="31"/>
  <c r="T75" i="31"/>
  <c r="T151" i="31"/>
  <c r="T61" i="31"/>
  <c r="W61" i="31"/>
  <c r="V61" i="31"/>
  <c r="AB150" i="34"/>
  <c r="AB152" i="28"/>
  <c r="AB113" i="28"/>
  <c r="AB112" i="34"/>
  <c r="AB10" i="28"/>
  <c r="AL10" i="28" s="1"/>
  <c r="AB10" i="34"/>
  <c r="AB164" i="28"/>
  <c r="AB162" i="34"/>
  <c r="AB163" i="28"/>
  <c r="AB161" i="34"/>
  <c r="M186" i="26"/>
  <c r="V137" i="31"/>
  <c r="W137" i="31"/>
  <c r="S45" i="31"/>
  <c r="W45" i="31" s="1"/>
  <c r="S95" i="31"/>
  <c r="W95" i="31" s="1"/>
  <c r="S130" i="31"/>
  <c r="V130" i="31" s="1"/>
  <c r="S40" i="31"/>
  <c r="W40" i="31" s="1"/>
  <c r="S150" i="31"/>
  <c r="V150" i="31" s="1"/>
  <c r="S180" i="31"/>
  <c r="W180" i="31" s="1"/>
  <c r="S12" i="31"/>
  <c r="W12" i="31" s="1"/>
  <c r="S104" i="31"/>
  <c r="W104" i="31" s="1"/>
  <c r="S13" i="31"/>
  <c r="V13" i="31" s="1"/>
  <c r="S157" i="31"/>
  <c r="V157" i="31" s="1"/>
  <c r="S71" i="31"/>
  <c r="W71" i="31" s="1"/>
  <c r="S109" i="31"/>
  <c r="V109" i="31" s="1"/>
  <c r="S145" i="31"/>
  <c r="W145" i="31" s="1"/>
  <c r="S37" i="31"/>
  <c r="W37" i="31" s="1"/>
  <c r="S132" i="31"/>
  <c r="W132" i="31" s="1"/>
  <c r="S43" i="31"/>
  <c r="V43" i="31" s="1"/>
  <c r="S127" i="31"/>
  <c r="W127" i="31" s="1"/>
  <c r="S21" i="31"/>
  <c r="W21" i="31" s="1"/>
  <c r="S106" i="31"/>
  <c r="V106" i="31" s="1"/>
  <c r="S5" i="31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72" i="14"/>
  <c r="H75" i="14"/>
  <c r="H76" i="14"/>
  <c r="H162" i="14"/>
  <c r="H184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72" i="14"/>
  <c r="G75" i="14"/>
  <c r="G76" i="14"/>
  <c r="G162" i="14"/>
  <c r="G184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72" i="14"/>
  <c r="C75" i="14"/>
  <c r="C76" i="14"/>
  <c r="C162" i="14"/>
  <c r="C184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72" i="14"/>
  <c r="F75" i="14"/>
  <c r="F76" i="14"/>
  <c r="F162" i="14"/>
  <c r="F184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72" i="14"/>
  <c r="E75" i="14"/>
  <c r="E76" i="14"/>
  <c r="E162" i="14"/>
  <c r="E184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72" i="14"/>
  <c r="D75" i="14"/>
  <c r="D76" i="14"/>
  <c r="D162" i="14"/>
  <c r="D184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72" i="14"/>
  <c r="B75" i="14"/>
  <c r="B76" i="14"/>
  <c r="B162" i="14"/>
  <c r="B184" i="14"/>
  <c r="B2" i="14"/>
  <c r="B243" i="21"/>
  <c r="H243" i="21"/>
  <c r="B190" i="25"/>
  <c r="U189" i="25"/>
  <c r="S189" i="25"/>
  <c r="R189" i="25"/>
  <c r="O189" i="25"/>
  <c r="O188" i="25"/>
  <c r="O187" i="25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74" i="25"/>
  <c r="O173" i="25"/>
  <c r="O172" i="25"/>
  <c r="O171" i="25"/>
  <c r="O170" i="25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57" i="25"/>
  <c r="O156" i="25"/>
  <c r="O155" i="25"/>
  <c r="O154" i="25"/>
  <c r="O153" i="25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38" i="25"/>
  <c r="O137" i="25"/>
  <c r="O136" i="25"/>
  <c r="O135" i="25"/>
  <c r="O134" i="25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21" i="25"/>
  <c r="O120" i="25"/>
  <c r="O119" i="25"/>
  <c r="O118" i="25"/>
  <c r="O117" i="25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04" i="25"/>
  <c r="O103" i="25"/>
  <c r="O102" i="25"/>
  <c r="O101" i="25"/>
  <c r="O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87" i="25"/>
  <c r="O86" i="25"/>
  <c r="O85" i="25"/>
  <c r="O84" i="25"/>
  <c r="O83" i="25"/>
  <c r="O82" i="25"/>
  <c r="O81" i="25"/>
  <c r="O80" i="25"/>
  <c r="O79" i="25"/>
  <c r="O78" i="25"/>
  <c r="O77" i="25"/>
  <c r="O76" i="25"/>
  <c r="O75" i="25"/>
  <c r="O74" i="25"/>
  <c r="O73" i="25"/>
  <c r="O72" i="25"/>
  <c r="O71" i="25"/>
  <c r="O70" i="25"/>
  <c r="O69" i="25"/>
  <c r="O68" i="25"/>
  <c r="O67" i="25"/>
  <c r="O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53" i="25"/>
  <c r="O52" i="25"/>
  <c r="O51" i="25"/>
  <c r="O50" i="25"/>
  <c r="O49" i="25"/>
  <c r="O48" i="25"/>
  <c r="O47" i="25"/>
  <c r="O46" i="25"/>
  <c r="O45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1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H6" i="25"/>
  <c r="O6" i="25" s="1"/>
  <c r="O5" i="25"/>
  <c r="O4" i="25"/>
  <c r="O3" i="25"/>
  <c r="O2" i="25"/>
  <c r="S54" i="32" l="1"/>
  <c r="AA23" i="18"/>
  <c r="AB23" i="18" s="1"/>
  <c r="AA23" i="28"/>
  <c r="S109" i="32"/>
  <c r="S156" i="32"/>
  <c r="S54" i="31"/>
  <c r="V54" i="31" s="1"/>
  <c r="AB13" i="34"/>
  <c r="AB13" i="28"/>
  <c r="AL10" i="34"/>
  <c r="S8" i="32"/>
  <c r="V8" i="32" s="1"/>
  <c r="S155" i="32"/>
  <c r="W150" i="31"/>
  <c r="W130" i="31"/>
  <c r="V95" i="31"/>
  <c r="V40" i="31"/>
  <c r="V12" i="31"/>
  <c r="W109" i="31"/>
  <c r="W157" i="31"/>
  <c r="V71" i="31"/>
  <c r="W13" i="31"/>
  <c r="V104" i="31"/>
  <c r="V180" i="31"/>
  <c r="W43" i="31"/>
  <c r="V21" i="31"/>
  <c r="V132" i="31"/>
  <c r="V127" i="31"/>
  <c r="V145" i="31"/>
  <c r="V45" i="31"/>
  <c r="V37" i="31"/>
  <c r="W106" i="31"/>
  <c r="S23" i="31"/>
  <c r="W23" i="31" s="1"/>
  <c r="S49" i="31"/>
  <c r="V49" i="31" s="1"/>
  <c r="S36" i="31"/>
  <c r="V36" i="31" s="1"/>
  <c r="S26" i="31"/>
  <c r="V26" i="31" s="1"/>
  <c r="S76" i="31"/>
  <c r="V76" i="31" s="1"/>
  <c r="S30" i="31"/>
  <c r="V30" i="31" s="1"/>
  <c r="S182" i="31"/>
  <c r="W182" i="31" s="1"/>
  <c r="S88" i="31"/>
  <c r="W88" i="31" s="1"/>
  <c r="S75" i="31"/>
  <c r="V75" i="31" s="1"/>
  <c r="S34" i="31"/>
  <c r="W34" i="31" s="1"/>
  <c r="S51" i="31"/>
  <c r="V51" i="31" s="1"/>
  <c r="S25" i="31"/>
  <c r="W25" i="31" s="1"/>
  <c r="S89" i="31"/>
  <c r="V89" i="31" s="1"/>
  <c r="S35" i="31"/>
  <c r="V35" i="31" s="1"/>
  <c r="S16" i="31"/>
  <c r="W16" i="31" s="1"/>
  <c r="S9" i="31"/>
  <c r="W9" i="31" s="1"/>
  <c r="R186" i="31"/>
  <c r="V5" i="31"/>
  <c r="W5" i="31"/>
  <c r="A190" i="25"/>
  <c r="X137" i="32"/>
  <c r="R4" i="18"/>
  <c r="AB4" i="18"/>
  <c r="AJ4" i="18"/>
  <c r="X165" i="32"/>
  <c r="X79" i="32"/>
  <c r="X24" i="32"/>
  <c r="X82" i="32"/>
  <c r="X22" i="32"/>
  <c r="X52" i="32"/>
  <c r="X17" i="32"/>
  <c r="X19" i="32"/>
  <c r="X18" i="32"/>
  <c r="X15" i="32"/>
  <c r="X72" i="32"/>
  <c r="X153" i="32"/>
  <c r="X11" i="32"/>
  <c r="X10" i="32"/>
  <c r="X167" i="32"/>
  <c r="X8" i="32"/>
  <c r="X7" i="32"/>
  <c r="Z7" i="32"/>
  <c r="X5" i="32"/>
  <c r="Z5" i="32"/>
  <c r="Z137" i="32"/>
  <c r="D24" i="23"/>
  <c r="D25" i="23"/>
  <c r="AC5" i="32" l="1"/>
  <c r="AG5" i="32" s="1"/>
  <c r="AC7" i="32"/>
  <c r="AG7" i="32" s="1"/>
  <c r="AC137" i="32"/>
  <c r="AG137" i="32" s="1"/>
  <c r="Z153" i="32"/>
  <c r="AC153" i="32" s="1"/>
  <c r="AG153" i="32" s="1"/>
  <c r="AL14" i="18"/>
  <c r="Z8" i="32"/>
  <c r="AC8" i="32" s="1"/>
  <c r="AG8" i="32" s="1"/>
  <c r="AL10" i="18"/>
  <c r="Z10" i="32"/>
  <c r="AC10" i="32" s="1"/>
  <c r="AG10" i="32" s="1"/>
  <c r="AL12" i="18"/>
  <c r="Z15" i="32"/>
  <c r="AC15" i="32" s="1"/>
  <c r="AG15" i="32" s="1"/>
  <c r="AL18" i="18"/>
  <c r="Z19" i="32"/>
  <c r="AC19" i="32" s="1"/>
  <c r="AG19" i="32" s="1"/>
  <c r="AL22" i="18"/>
  <c r="Z52" i="32"/>
  <c r="AC52" i="32" s="1"/>
  <c r="AG52" i="32" s="1"/>
  <c r="AL24" i="18"/>
  <c r="Z82" i="32"/>
  <c r="AC82" i="32" s="1"/>
  <c r="AG82" i="32" s="1"/>
  <c r="AL26" i="18"/>
  <c r="Z167" i="32"/>
  <c r="AC167" i="32" s="1"/>
  <c r="AG167" i="32" s="1"/>
  <c r="AL11" i="18"/>
  <c r="Z11" i="32"/>
  <c r="AC11" i="32" s="1"/>
  <c r="AL13" i="18"/>
  <c r="Z72" i="32"/>
  <c r="AC72" i="32" s="1"/>
  <c r="AG72" i="32" s="1"/>
  <c r="AL16" i="18"/>
  <c r="Z18" i="32"/>
  <c r="AC18" i="32" s="1"/>
  <c r="AG18" i="32" s="1"/>
  <c r="AL21" i="18"/>
  <c r="Z17" i="32"/>
  <c r="AC17" i="32" s="1"/>
  <c r="AL23" i="18"/>
  <c r="Z22" i="32"/>
  <c r="AC22" i="32" s="1"/>
  <c r="AG22" i="32" s="1"/>
  <c r="AL25" i="18"/>
  <c r="Z24" i="32"/>
  <c r="AC24" i="32" s="1"/>
  <c r="AG24" i="32" s="1"/>
  <c r="AL27" i="18"/>
  <c r="Z165" i="32"/>
  <c r="AC165" i="32" s="1"/>
  <c r="AG165" i="32" s="1"/>
  <c r="AL28" i="18"/>
  <c r="Z79" i="32"/>
  <c r="AC79" i="32" s="1"/>
  <c r="AG79" i="32" s="1"/>
  <c r="AL20" i="18"/>
  <c r="W54" i="31"/>
  <c r="AB22" i="34"/>
  <c r="AB23" i="28"/>
  <c r="S11" i="32"/>
  <c r="V11" i="32" s="1"/>
  <c r="AL13" i="34"/>
  <c r="AL13" i="28"/>
  <c r="V182" i="31"/>
  <c r="W51" i="31"/>
  <c r="V23" i="31"/>
  <c r="W76" i="31"/>
  <c r="V25" i="31"/>
  <c r="W49" i="31"/>
  <c r="W35" i="31"/>
  <c r="V34" i="31"/>
  <c r="V9" i="31"/>
  <c r="W30" i="31"/>
  <c r="W75" i="31"/>
  <c r="V88" i="31"/>
  <c r="V16" i="31"/>
  <c r="W89" i="31"/>
  <c r="W36" i="31"/>
  <c r="W26" i="31"/>
  <c r="AL4" i="18"/>
  <c r="AL7" i="18"/>
  <c r="AL6" i="18"/>
  <c r="AG11" i="32" l="1"/>
  <c r="AF79" i="32"/>
  <c r="AF82" i="32"/>
  <c r="AF52" i="32"/>
  <c r="S17" i="32"/>
  <c r="V17" i="32" s="1"/>
  <c r="AG17" i="32" s="1"/>
  <c r="AL22" i="34"/>
  <c r="AL23" i="28"/>
  <c r="AF11" i="32"/>
  <c r="AF167" i="32"/>
  <c r="AF165" i="32"/>
  <c r="AF22" i="32"/>
  <c r="AF18" i="32"/>
  <c r="AF7" i="32"/>
  <c r="AF19" i="32"/>
  <c r="AF24" i="32"/>
  <c r="AF15" i="32"/>
  <c r="AF10" i="32"/>
  <c r="AF5" i="32"/>
  <c r="AF153" i="32"/>
  <c r="AF8" i="32"/>
  <c r="AF137" i="32"/>
  <c r="L191" i="14"/>
  <c r="J191" i="14"/>
  <c r="AF17" i="32" l="1"/>
  <c r="AF72" i="32"/>
  <c r="M191" i="14"/>
  <c r="I197" i="32" l="1"/>
  <c r="AJ151" i="29" l="1"/>
  <c r="M146" i="32" s="1"/>
  <c r="AJ183" i="29"/>
  <c r="M178" i="32" s="1"/>
  <c r="AJ119" i="29"/>
  <c r="M62" i="32" s="1"/>
  <c r="AJ180" i="29"/>
  <c r="M194" i="32" s="1"/>
  <c r="O194" i="32" s="1"/>
  <c r="AJ126" i="29"/>
  <c r="M123" i="32" s="1"/>
  <c r="AJ95" i="29"/>
  <c r="M92" i="32" s="1"/>
  <c r="AJ111" i="29"/>
  <c r="M99" i="32" s="1"/>
  <c r="AJ106" i="29"/>
  <c r="M97" i="32" s="1"/>
  <c r="AJ170" i="29"/>
  <c r="M164" i="32" s="1"/>
  <c r="AJ118" i="29"/>
  <c r="M36" i="32" s="1"/>
  <c r="AJ61" i="29"/>
  <c r="M149" i="32" s="1"/>
  <c r="AJ149" i="29" l="1"/>
  <c r="M144" i="32" s="1"/>
  <c r="AJ114" i="29"/>
  <c r="M111" i="32" s="1"/>
  <c r="AJ189" i="29"/>
  <c r="M180" i="32" s="1"/>
  <c r="AK195" i="29"/>
  <c r="AJ34" i="29"/>
  <c r="M32" i="32" s="1"/>
  <c r="AG195" i="29"/>
  <c r="AF195" i="29"/>
  <c r="AJ117" i="29"/>
  <c r="M114" i="32" s="1"/>
  <c r="AJ83" i="29"/>
  <c r="M142" i="32" s="1"/>
  <c r="AJ158" i="29"/>
  <c r="M174" i="32" s="1"/>
  <c r="AJ102" i="29"/>
  <c r="M100" i="32" s="1"/>
  <c r="AJ127" i="29"/>
  <c r="M124" i="32" s="1"/>
  <c r="AI195" i="29"/>
  <c r="AJ156" i="29"/>
  <c r="AJ76" i="29"/>
  <c r="M73" i="32" s="1"/>
  <c r="AJ190" i="29"/>
  <c r="M14" i="32" s="1"/>
  <c r="AJ87" i="29"/>
  <c r="M84" i="32" s="1"/>
  <c r="AJ138" i="29"/>
  <c r="M135" i="32" s="1"/>
  <c r="AJ146" i="29"/>
  <c r="M188" i="32" s="1"/>
  <c r="O188" i="32" s="1"/>
  <c r="AJ166" i="29"/>
  <c r="M177" i="32" s="1"/>
  <c r="AJ167" i="29"/>
  <c r="M40" i="32" s="1"/>
  <c r="AH195" i="29"/>
  <c r="AJ48" i="29"/>
  <c r="M96" i="32" s="1"/>
  <c r="AJ88" i="29"/>
  <c r="M85" i="32" s="1"/>
  <c r="AJ175" i="29"/>
  <c r="M193" i="32" s="1"/>
  <c r="O193" i="32" s="1"/>
  <c r="AJ66" i="29"/>
  <c r="M63" i="32" s="1"/>
  <c r="AJ84" i="29"/>
  <c r="M91" i="32" s="1"/>
  <c r="AJ160" i="29"/>
  <c r="M95" i="32" s="1"/>
  <c r="AJ96" i="29"/>
  <c r="M93" i="32" s="1"/>
  <c r="AJ187" i="29"/>
  <c r="M166" i="32" s="1"/>
  <c r="AJ93" i="29"/>
  <c r="M90" i="32" s="1"/>
  <c r="AJ150" i="29"/>
  <c r="M54" i="32" s="1"/>
  <c r="AJ29" i="29"/>
  <c r="M27" i="32" s="1"/>
  <c r="AJ98" i="29"/>
  <c r="M125" i="32" s="1"/>
  <c r="AJ45" i="29"/>
  <c r="M43" i="32" s="1"/>
  <c r="AJ18" i="29"/>
  <c r="M16" i="32" s="1"/>
  <c r="AJ134" i="29"/>
  <c r="M47" i="32" s="1"/>
  <c r="AJ169" i="29"/>
  <c r="M34" i="32" s="1"/>
  <c r="AJ178" i="29"/>
  <c r="M170" i="32" s="1"/>
  <c r="AJ108" i="29"/>
  <c r="M9" i="32" s="1"/>
  <c r="AJ12" i="29"/>
  <c r="M10" i="32" s="1"/>
  <c r="AJ82" i="29"/>
  <c r="M154" i="32" s="1"/>
  <c r="AJ65" i="29"/>
  <c r="M81" i="32" s="1"/>
  <c r="AJ52" i="29"/>
  <c r="M50" i="32" s="1"/>
  <c r="AJ30" i="29"/>
  <c r="M28" i="32" s="1"/>
  <c r="AJ13" i="29"/>
  <c r="M11" i="32" s="1"/>
  <c r="AJ140" i="29"/>
  <c r="M121" i="32" s="1"/>
  <c r="AJ60" i="29"/>
  <c r="M57" i="32" s="1"/>
  <c r="AJ37" i="29"/>
  <c r="M13" i="32" s="1"/>
  <c r="AJ164" i="29"/>
  <c r="M158" i="32" s="1"/>
  <c r="AJ20" i="29"/>
  <c r="M18" i="32" s="1"/>
  <c r="AJ62" i="29"/>
  <c r="M59" i="32" s="1"/>
  <c r="AJ129" i="29"/>
  <c r="M113" i="32" s="1"/>
  <c r="AJ85" i="29"/>
  <c r="M68" i="32" s="1"/>
  <c r="AJ40" i="29"/>
  <c r="M38" i="32" s="1"/>
  <c r="AJ68" i="29"/>
  <c r="M151" i="32" s="1"/>
  <c r="AJ78" i="29"/>
  <c r="M75" i="32" s="1"/>
  <c r="AJ22" i="29"/>
  <c r="M17" i="32" s="1"/>
  <c r="AJ86" i="29"/>
  <c r="M163" i="32" s="1"/>
  <c r="AJ113" i="29"/>
  <c r="M110" i="32" s="1"/>
  <c r="AJ26" i="29"/>
  <c r="M24" i="32" s="1"/>
  <c r="AJ90" i="29"/>
  <c r="M87" i="32" s="1"/>
  <c r="AJ41" i="29"/>
  <c r="M39" i="32" s="1"/>
  <c r="AJ168" i="29"/>
  <c r="M105" i="32" s="1"/>
  <c r="AJ43" i="29"/>
  <c r="M41" i="32" s="1"/>
  <c r="AJ55" i="29"/>
  <c r="M53" i="32" s="1"/>
  <c r="AJ131" i="29"/>
  <c r="M128" i="32" s="1"/>
  <c r="AJ157" i="29"/>
  <c r="M138" i="32" s="1"/>
  <c r="AJ144" i="29"/>
  <c r="M141" i="32" s="1"/>
  <c r="AJ154" i="29"/>
  <c r="M115" i="32" s="1"/>
  <c r="AJ125" i="29"/>
  <c r="M122" i="32" s="1"/>
  <c r="AJ165" i="29"/>
  <c r="M21" i="32" s="1"/>
  <c r="AJ89" i="29"/>
  <c r="M175" i="32" s="1"/>
  <c r="AJ35" i="29"/>
  <c r="M98" i="32" s="1"/>
  <c r="AJ47" i="29"/>
  <c r="M60" i="32" s="1"/>
  <c r="AJ142" i="29"/>
  <c r="M139" i="32" s="1"/>
  <c r="AJ163" i="29"/>
  <c r="M157" i="32" s="1"/>
  <c r="AJ177" i="29"/>
  <c r="M26" i="32" s="1"/>
  <c r="AJ188" i="29"/>
  <c r="M179" i="32" s="1"/>
  <c r="AJ171" i="29"/>
  <c r="M25" i="32" s="1"/>
  <c r="AJ172" i="29"/>
  <c r="M65" i="32" s="1"/>
  <c r="AJ64" i="29"/>
  <c r="M61" i="32" s="1"/>
  <c r="AJ80" i="29"/>
  <c r="M77" i="32" s="1"/>
  <c r="AJ97" i="29"/>
  <c r="M94" i="32" s="1"/>
  <c r="AJ69" i="29"/>
  <c r="M127" i="32" s="1"/>
  <c r="AJ24" i="29"/>
  <c r="M22" i="32" s="1"/>
  <c r="AJ56" i="29"/>
  <c r="M185" i="32" s="1"/>
  <c r="O185" i="32" s="1"/>
  <c r="AJ116" i="29"/>
  <c r="M159" i="32" s="1"/>
  <c r="AJ72" i="29"/>
  <c r="M117" i="32" s="1"/>
  <c r="AJ173" i="29"/>
  <c r="M51" i="32" s="1"/>
  <c r="AJ38" i="29"/>
  <c r="M23" i="32" s="1"/>
  <c r="AJ101" i="29"/>
  <c r="M35" i="32" s="1"/>
  <c r="AJ145" i="29"/>
  <c r="M143" i="32" s="1"/>
  <c r="AJ42" i="29"/>
  <c r="M169" i="32" s="1"/>
  <c r="AJ105" i="29"/>
  <c r="M86" i="32" s="1"/>
  <c r="AJ33" i="29"/>
  <c r="M31" i="32" s="1"/>
  <c r="AJ73" i="29"/>
  <c r="M162" i="32" s="1"/>
  <c r="AJ7" i="29"/>
  <c r="M5" i="32" s="1"/>
  <c r="AJ59" i="29"/>
  <c r="M56" i="32" s="1"/>
  <c r="AJ71" i="29"/>
  <c r="M103" i="32" s="1"/>
  <c r="AJ121" i="29"/>
  <c r="M118" i="32" s="1"/>
  <c r="AJ49" i="29"/>
  <c r="M145" i="32" s="1"/>
  <c r="AJ186" i="29"/>
  <c r="M131" i="32" s="1"/>
  <c r="AJ107" i="29"/>
  <c r="M104" i="32" s="1"/>
  <c r="AJ141" i="29"/>
  <c r="M69" i="32" s="1"/>
  <c r="AJ120" i="29"/>
  <c r="M67" i="32" s="1"/>
  <c r="AJ51" i="29"/>
  <c r="M49" i="32" s="1"/>
  <c r="AJ63" i="29"/>
  <c r="M55" i="32" s="1"/>
  <c r="AJ176" i="29"/>
  <c r="M30" i="32" s="1"/>
  <c r="AJ184" i="29"/>
  <c r="M120" i="32" s="1"/>
  <c r="AJ115" i="29"/>
  <c r="M112" i="32" s="1"/>
  <c r="AJ181" i="29"/>
  <c r="M172" i="32" s="1"/>
  <c r="AJ193" i="29"/>
  <c r="M183" i="32" s="1"/>
  <c r="AJ192" i="29"/>
  <c r="M182" i="32" s="1"/>
  <c r="AJ123" i="29"/>
  <c r="M108" i="32" s="1"/>
  <c r="AJ6" i="29"/>
  <c r="M137" i="32" s="1"/>
  <c r="AJ124" i="29"/>
  <c r="M181" i="32" s="1"/>
  <c r="AJ77" i="29"/>
  <c r="M74" i="32" s="1"/>
  <c r="AJ8" i="29"/>
  <c r="M6" i="32" s="1"/>
  <c r="AJ50" i="29"/>
  <c r="M46" i="32" s="1"/>
  <c r="AJ128" i="29"/>
  <c r="M78" i="32" s="1"/>
  <c r="AJ100" i="29"/>
  <c r="M80" i="32" s="1"/>
  <c r="AJ17" i="29"/>
  <c r="M15" i="32" s="1"/>
  <c r="AJ94" i="29"/>
  <c r="M116" i="32" s="1"/>
  <c r="AJ21" i="29"/>
  <c r="M19" i="32" s="1"/>
  <c r="AJ148" i="29"/>
  <c r="M189" i="32" s="1"/>
  <c r="O189" i="32" s="1"/>
  <c r="AJ32" i="29"/>
  <c r="M102" i="32" s="1"/>
  <c r="AJ14" i="29"/>
  <c r="M153" i="32" s="1"/>
  <c r="AJ54" i="29"/>
  <c r="M126" i="32" s="1"/>
  <c r="AJ58" i="29"/>
  <c r="M171" i="32" s="1"/>
  <c r="AJ133" i="29"/>
  <c r="M130" i="32" s="1"/>
  <c r="AJ104" i="29"/>
  <c r="AJ11" i="29"/>
  <c r="M167" i="32" s="1"/>
  <c r="AJ23" i="29"/>
  <c r="M52" i="32" s="1"/>
  <c r="AJ75" i="29"/>
  <c r="M152" i="32" s="1"/>
  <c r="AJ137" i="29"/>
  <c r="M134" i="32" s="1"/>
  <c r="AJ81" i="29"/>
  <c r="M66" i="32" s="1"/>
  <c r="AJ91" i="29"/>
  <c r="M88" i="32" s="1"/>
  <c r="AJ139" i="29"/>
  <c r="M136" i="32" s="1"/>
  <c r="AJ25" i="29"/>
  <c r="M82" i="32" s="1"/>
  <c r="AJ152" i="29"/>
  <c r="M147" i="32" s="1"/>
  <c r="AJ15" i="29"/>
  <c r="M72" i="32" s="1"/>
  <c r="AJ67" i="29"/>
  <c r="M64" i="32" s="1"/>
  <c r="AJ79" i="29"/>
  <c r="M76" i="32" s="1"/>
  <c r="AJ130" i="29"/>
  <c r="M107" i="32" s="1"/>
  <c r="AJ103" i="29"/>
  <c r="M101" i="32" s="1"/>
  <c r="AJ185" i="29"/>
  <c r="M176" i="32" s="1"/>
  <c r="AJ179" i="29"/>
  <c r="M168" i="32" s="1"/>
  <c r="AJ191" i="29"/>
  <c r="M196" i="32" s="1"/>
  <c r="O196" i="32" s="1"/>
  <c r="AJ44" i="29"/>
  <c r="M42" i="32" s="1"/>
  <c r="AJ28" i="29"/>
  <c r="M70" i="32" s="1"/>
  <c r="AJ132" i="29"/>
  <c r="M129" i="32" s="1"/>
  <c r="AJ16" i="29"/>
  <c r="M33" i="32" s="1"/>
  <c r="AE195" i="29"/>
  <c r="AJ53" i="29"/>
  <c r="M173" i="32" s="1"/>
  <c r="AJ174" i="29"/>
  <c r="M191" i="32" s="1"/>
  <c r="O191" i="32" s="1"/>
  <c r="AJ36" i="29"/>
  <c r="M83" i="32" s="1"/>
  <c r="AJ182" i="29"/>
  <c r="M12" i="32" s="1"/>
  <c r="AJ46" i="29"/>
  <c r="M44" i="32" s="1"/>
  <c r="AJ70" i="29"/>
  <c r="M161" i="32" s="1"/>
  <c r="AJ10" i="29"/>
  <c r="M8" i="32" s="1"/>
  <c r="AJ74" i="29"/>
  <c r="M71" i="32" s="1"/>
  <c r="AJ9" i="29"/>
  <c r="M7" i="32" s="1"/>
  <c r="AJ136" i="29"/>
  <c r="M160" i="32" s="1"/>
  <c r="AJ27" i="29"/>
  <c r="M165" i="32" s="1"/>
  <c r="AJ39" i="29"/>
  <c r="M37" i="32" s="1"/>
  <c r="AJ99" i="29"/>
  <c r="M45" i="32" s="1"/>
  <c r="AJ153" i="29"/>
  <c r="M148" i="32" s="1"/>
  <c r="AJ112" i="29"/>
  <c r="M109" i="32" s="1"/>
  <c r="AJ122" i="29"/>
  <c r="M119" i="32" s="1"/>
  <c r="AJ109" i="29"/>
  <c r="M106" i="32" s="1"/>
  <c r="AJ161" i="29"/>
  <c r="M155" i="32" s="1"/>
  <c r="AJ57" i="29"/>
  <c r="M133" i="32" s="1"/>
  <c r="AJ194" i="29"/>
  <c r="M4" i="32" s="1"/>
  <c r="O4" i="32" s="1"/>
  <c r="AE4" i="32" s="1"/>
  <c r="AJ19" i="29"/>
  <c r="M79" i="32" s="1"/>
  <c r="AJ31" i="29"/>
  <c r="M48" i="32" s="1"/>
  <c r="AJ110" i="29"/>
  <c r="M20" i="32" s="1"/>
  <c r="AJ162" i="29"/>
  <c r="M156" i="32" s="1"/>
  <c r="AJ135" i="29"/>
  <c r="M132" i="32" s="1"/>
  <c r="AJ147" i="29"/>
  <c r="M29" i="32" s="1"/>
  <c r="AJ159" i="29"/>
  <c r="M58" i="32" s="1"/>
  <c r="AJ92" i="29"/>
  <c r="M89" i="32" s="1"/>
  <c r="AJ143" i="29"/>
  <c r="M140" i="32" s="1"/>
  <c r="AJ155" i="29"/>
  <c r="M150" i="32" s="1"/>
  <c r="T195" i="29"/>
  <c r="S195" i="29"/>
  <c r="K197" i="32"/>
  <c r="V195" i="29"/>
  <c r="X195" i="29"/>
  <c r="W195" i="29"/>
  <c r="O195" i="29"/>
  <c r="P195" i="29"/>
  <c r="AL128" i="29"/>
  <c r="L195" i="29"/>
  <c r="N195" i="29"/>
  <c r="AL89" i="29"/>
  <c r="M195" i="29"/>
  <c r="AL55" i="29"/>
  <c r="AL104" i="29" l="1"/>
  <c r="M186" i="32"/>
  <c r="O186" i="32" s="1"/>
  <c r="AL156" i="29"/>
  <c r="M190" i="32"/>
  <c r="O190" i="32" s="1"/>
  <c r="AL108" i="29"/>
  <c r="AL42" i="29"/>
  <c r="AL45" i="29"/>
  <c r="AL48" i="29"/>
  <c r="AL120" i="29"/>
  <c r="AL13" i="29"/>
  <c r="AL16" i="29"/>
  <c r="AL49" i="29"/>
  <c r="AL23" i="29"/>
  <c r="AL93" i="29"/>
  <c r="AL27" i="29"/>
  <c r="AL73" i="29"/>
  <c r="AL132" i="29"/>
  <c r="AL136" i="29"/>
  <c r="AL10" i="29"/>
  <c r="AL148" i="29"/>
  <c r="AL41" i="29"/>
  <c r="AL53" i="29"/>
  <c r="AL68" i="29"/>
  <c r="AL70" i="29"/>
  <c r="AJ195" i="29"/>
  <c r="AL186" i="29"/>
  <c r="AL40" i="29"/>
  <c r="AL86" i="29"/>
  <c r="AL162" i="29"/>
  <c r="AL62" i="29"/>
  <c r="AL141" i="29"/>
  <c r="AL7" i="29"/>
  <c r="AL150" i="29"/>
  <c r="AL147" i="29"/>
  <c r="AL81" i="29"/>
  <c r="AL107" i="29"/>
  <c r="AL79" i="29"/>
  <c r="AL59" i="29"/>
  <c r="AL50" i="29"/>
  <c r="AL113" i="29"/>
  <c r="AL122" i="29"/>
  <c r="AL72" i="29"/>
  <c r="AL151" i="29"/>
  <c r="AL64" i="29"/>
  <c r="AL65" i="29"/>
  <c r="AL31" i="29"/>
  <c r="AL153" i="29"/>
  <c r="AL38" i="29"/>
  <c r="AL110" i="29"/>
  <c r="AL28" i="29"/>
  <c r="AL139" i="29"/>
  <c r="AL85" i="29"/>
  <c r="AL74" i="29"/>
  <c r="AL130" i="29"/>
  <c r="AL159" i="29"/>
  <c r="AL58" i="29"/>
  <c r="AL9" i="29"/>
  <c r="AL168" i="29"/>
  <c r="AL52" i="29"/>
  <c r="AL117" i="29"/>
  <c r="AL182" i="29"/>
  <c r="AL106" i="29"/>
  <c r="AL131" i="29"/>
  <c r="AL124" i="29"/>
  <c r="AL87" i="29"/>
  <c r="AL26" i="29"/>
  <c r="AL137" i="29"/>
  <c r="AL47" i="29"/>
  <c r="AL25" i="29"/>
  <c r="AL133" i="29"/>
  <c r="AL35" i="29"/>
  <c r="AL78" i="29"/>
  <c r="AL157" i="29"/>
  <c r="AL71" i="29"/>
  <c r="AL166" i="29"/>
  <c r="AL84" i="29"/>
  <c r="AL163" i="29"/>
  <c r="AL77" i="29"/>
  <c r="AL140" i="29"/>
  <c r="AL172" i="29"/>
  <c r="AL66" i="29"/>
  <c r="AL129" i="29"/>
  <c r="AL138" i="29"/>
  <c r="AL103" i="29"/>
  <c r="AL167" i="29"/>
  <c r="AL80" i="29"/>
  <c r="AL97" i="29"/>
  <c r="AL95" i="29"/>
  <c r="AL158" i="29"/>
  <c r="AL60" i="29"/>
  <c r="AL155" i="29"/>
  <c r="AL100" i="29"/>
  <c r="AL169" i="29"/>
  <c r="AL146" i="29"/>
  <c r="AL176" i="29"/>
  <c r="AL63" i="29"/>
  <c r="AL61" i="29"/>
  <c r="AL57" i="29"/>
  <c r="AL126" i="29"/>
  <c r="AL143" i="29"/>
  <c r="AL102" i="29"/>
  <c r="AL30" i="29"/>
  <c r="AL94" i="29"/>
  <c r="AL173" i="29"/>
  <c r="AL118" i="29"/>
  <c r="AL99" i="29"/>
  <c r="AL180" i="29"/>
  <c r="AL160" i="29"/>
  <c r="AL90" i="29"/>
  <c r="AL11" i="29"/>
  <c r="AL82" i="29"/>
  <c r="AL43" i="29"/>
  <c r="AL170" i="29"/>
  <c r="AL119" i="29"/>
  <c r="AL112" i="29"/>
  <c r="AL127" i="29"/>
  <c r="AL144" i="29"/>
  <c r="AL142" i="29"/>
  <c r="AL101" i="29"/>
  <c r="AL175" i="29"/>
  <c r="AL92" i="29"/>
  <c r="AL171" i="29"/>
  <c r="AL164" i="29"/>
  <c r="AL192" i="29"/>
  <c r="AL15" i="29"/>
  <c r="AL54" i="29"/>
  <c r="AL149" i="29"/>
  <c r="AL29" i="29"/>
  <c r="AL154" i="29"/>
  <c r="AL105" i="29"/>
  <c r="AL51" i="29"/>
  <c r="AL20" i="29"/>
  <c r="AL17" i="29"/>
  <c r="AL193" i="29"/>
  <c r="AL125" i="29"/>
  <c r="AL91" i="29"/>
  <c r="AL88" i="29"/>
  <c r="AL37" i="29"/>
  <c r="AL116" i="29"/>
  <c r="AL39" i="29"/>
  <c r="AL44" i="29"/>
  <c r="AL34" i="29"/>
  <c r="AL161" i="29"/>
  <c r="AL96" i="29"/>
  <c r="AL19" i="29"/>
  <c r="AL24" i="29"/>
  <c r="AL22" i="29"/>
  <c r="AL152" i="29"/>
  <c r="AL178" i="29"/>
  <c r="AL145" i="29"/>
  <c r="AL46" i="29"/>
  <c r="AL109" i="29"/>
  <c r="AL190" i="29"/>
  <c r="AL134" i="29"/>
  <c r="AL36" i="29"/>
  <c r="AL115" i="29"/>
  <c r="AL181" i="29"/>
  <c r="AL76" i="29"/>
  <c r="AL121" i="29"/>
  <c r="AL165" i="29"/>
  <c r="AL18" i="29"/>
  <c r="AL98" i="29"/>
  <c r="AL75" i="29"/>
  <c r="AL187" i="29"/>
  <c r="AL135" i="29"/>
  <c r="AL69" i="29"/>
  <c r="AL32" i="29"/>
  <c r="AL33" i="29"/>
  <c r="AL14" i="29"/>
  <c r="AL67" i="29"/>
  <c r="AL191" i="29"/>
  <c r="AL123" i="29"/>
  <c r="AL21" i="29"/>
  <c r="AL83" i="29"/>
  <c r="AL114" i="29"/>
  <c r="AL111" i="29"/>
  <c r="AL177" i="29"/>
  <c r="AL56" i="29"/>
  <c r="AL188" i="29"/>
  <c r="AL174" i="29"/>
  <c r="AL194" i="29"/>
  <c r="AL179" i="29"/>
  <c r="AL185" i="29"/>
  <c r="AL189" i="29"/>
  <c r="O149" i="32"/>
  <c r="Z195" i="29"/>
  <c r="O126" i="32"/>
  <c r="O161" i="32"/>
  <c r="Q195" i="29"/>
  <c r="O160" i="32"/>
  <c r="O91" i="32"/>
  <c r="O52" i="32"/>
  <c r="AE52" i="32" s="1"/>
  <c r="O173" i="32"/>
  <c r="AE173" i="32" s="1"/>
  <c r="K195" i="29"/>
  <c r="AL6" i="29"/>
  <c r="O101" i="32"/>
  <c r="O49" i="32"/>
  <c r="AE49" i="32" s="1"/>
  <c r="AL12" i="29"/>
  <c r="O169" i="32"/>
  <c r="AE169" i="32" s="1"/>
  <c r="O67" i="32"/>
  <c r="O78" i="32"/>
  <c r="O165" i="32" l="1"/>
  <c r="O14" i="32"/>
  <c r="O13" i="32"/>
  <c r="AE13" i="32" s="1"/>
  <c r="O60" i="32"/>
  <c r="AE60" i="32" s="1"/>
  <c r="O53" i="32"/>
  <c r="O58" i="32"/>
  <c r="O141" i="32"/>
  <c r="O24" i="32"/>
  <c r="O44" i="32"/>
  <c r="O79" i="32"/>
  <c r="O157" i="32"/>
  <c r="O71" i="32"/>
  <c r="O20" i="32"/>
  <c r="O8" i="32"/>
  <c r="AE8" i="32" s="1"/>
  <c r="O43" i="32"/>
  <c r="O74" i="32"/>
  <c r="O120" i="32"/>
  <c r="O51" i="32"/>
  <c r="O77" i="32"/>
  <c r="O158" i="32"/>
  <c r="O84" i="32"/>
  <c r="O140" i="32"/>
  <c r="O61" i="32"/>
  <c r="O151" i="32"/>
  <c r="O45" i="32"/>
  <c r="O113" i="32"/>
  <c r="O62" i="32"/>
  <c r="O5" i="32"/>
  <c r="AE5" i="32" s="1"/>
  <c r="O128" i="32"/>
  <c r="O144" i="32"/>
  <c r="O89" i="32"/>
  <c r="O29" i="32"/>
  <c r="O159" i="32"/>
  <c r="O33" i="32"/>
  <c r="O9" i="32"/>
  <c r="O104" i="32"/>
  <c r="O39" i="32"/>
  <c r="AE39" i="32" s="1"/>
  <c r="O59" i="32"/>
  <c r="O34" i="32"/>
  <c r="O162" i="32"/>
  <c r="O103" i="32"/>
  <c r="O167" i="32"/>
  <c r="O56" i="32"/>
  <c r="O12" i="32"/>
  <c r="O174" i="32"/>
  <c r="O41" i="32"/>
  <c r="O48" i="32"/>
  <c r="AE48" i="32" s="1"/>
  <c r="O145" i="32"/>
  <c r="AE145" i="32" s="1"/>
  <c r="O110" i="32"/>
  <c r="O90" i="32"/>
  <c r="O175" i="32"/>
  <c r="O11" i="32"/>
  <c r="AE11" i="32" s="1"/>
  <c r="O117" i="32"/>
  <c r="O96" i="32"/>
  <c r="O38" i="32"/>
  <c r="AE38" i="32" s="1"/>
  <c r="O124" i="32"/>
  <c r="O133" i="32"/>
  <c r="O28" i="32"/>
  <c r="O65" i="32"/>
  <c r="O107" i="32"/>
  <c r="O129" i="32"/>
  <c r="O171" i="32"/>
  <c r="O75" i="32"/>
  <c r="O136" i="32"/>
  <c r="O30" i="32"/>
  <c r="O148" i="32"/>
  <c r="O55" i="32"/>
  <c r="O130" i="32"/>
  <c r="O150" i="32"/>
  <c r="O152" i="32"/>
  <c r="O180" i="32"/>
  <c r="O86" i="32"/>
  <c r="O182" i="32"/>
  <c r="O32" i="32"/>
  <c r="AE32" i="32" s="1"/>
  <c r="O50" i="32"/>
  <c r="O27" i="32"/>
  <c r="AE27" i="32" s="1"/>
  <c r="O35" i="32"/>
  <c r="O88" i="32"/>
  <c r="O111" i="32"/>
  <c r="O82" i="32"/>
  <c r="AE82" i="32" s="1"/>
  <c r="O70" i="32"/>
  <c r="O95" i="32"/>
  <c r="O94" i="32"/>
  <c r="O138" i="32"/>
  <c r="O98" i="32"/>
  <c r="M197" i="32"/>
  <c r="N197" i="32"/>
  <c r="O92" i="32"/>
  <c r="O154" i="32"/>
  <c r="O119" i="32"/>
  <c r="O25" i="32"/>
  <c r="O123" i="32"/>
  <c r="O57" i="32"/>
  <c r="O116" i="32"/>
  <c r="O69" i="32"/>
  <c r="O131" i="32"/>
  <c r="O80" i="32"/>
  <c r="O156" i="32"/>
  <c r="O105" i="32"/>
  <c r="O163" i="32"/>
  <c r="O54" i="32"/>
  <c r="O81" i="32"/>
  <c r="O66" i="32"/>
  <c r="O146" i="32"/>
  <c r="O121" i="32"/>
  <c r="O181" i="32"/>
  <c r="O46" i="32"/>
  <c r="O72" i="32"/>
  <c r="AE72" i="32" s="1"/>
  <c r="O114" i="32"/>
  <c r="O76" i="32"/>
  <c r="O139" i="32"/>
  <c r="O22" i="32"/>
  <c r="AE22" i="32" s="1"/>
  <c r="O164" i="32"/>
  <c r="O68" i="32"/>
  <c r="O135" i="32"/>
  <c r="O134" i="32"/>
  <c r="O109" i="32"/>
  <c r="O168" i="32"/>
  <c r="O23" i="32"/>
  <c r="AE23" i="32" s="1"/>
  <c r="O172" i="32"/>
  <c r="O179" i="32"/>
  <c r="O177" i="32"/>
  <c r="O63" i="32"/>
  <c r="O40" i="32"/>
  <c r="O87" i="32"/>
  <c r="O64" i="32"/>
  <c r="O143" i="32"/>
  <c r="O17" i="32"/>
  <c r="O36" i="32"/>
  <c r="O18" i="32"/>
  <c r="O112" i="32"/>
  <c r="O115" i="32"/>
  <c r="O155" i="32"/>
  <c r="O118" i="32"/>
  <c r="O15" i="32"/>
  <c r="O97" i="32"/>
  <c r="O183" i="32"/>
  <c r="O73" i="32"/>
  <c r="O21" i="32"/>
  <c r="O19" i="32"/>
  <c r="AE19" i="32" s="1"/>
  <c r="O42" i="32"/>
  <c r="O99" i="32"/>
  <c r="O127" i="32"/>
  <c r="O176" i="32"/>
  <c r="O93" i="32"/>
  <c r="O37" i="32"/>
  <c r="AE37" i="32" s="1"/>
  <c r="O106" i="32"/>
  <c r="O47" i="32"/>
  <c r="O26" i="32"/>
  <c r="O170" i="32"/>
  <c r="O142" i="32"/>
  <c r="O108" i="32"/>
  <c r="O132" i="32"/>
  <c r="O83" i="32"/>
  <c r="AE83" i="32" s="1"/>
  <c r="O166" i="32"/>
  <c r="O16" i="32"/>
  <c r="O147" i="32"/>
  <c r="O85" i="32"/>
  <c r="O122" i="32"/>
  <c r="O153" i="32"/>
  <c r="AE153" i="32" s="1"/>
  <c r="O102" i="32"/>
  <c r="O100" i="32"/>
  <c r="O31" i="32"/>
  <c r="O125" i="32"/>
  <c r="O6" i="32"/>
  <c r="AE6" i="32" s="1"/>
  <c r="AL8" i="29"/>
  <c r="AL184" i="29"/>
  <c r="O178" i="32"/>
  <c r="AL183" i="29"/>
  <c r="O7" i="32"/>
  <c r="AE7" i="32" s="1"/>
  <c r="AB195" i="29"/>
  <c r="AD49" i="32"/>
  <c r="R195" i="29"/>
  <c r="AD173" i="32"/>
  <c r="AD52" i="32"/>
  <c r="AD169" i="32"/>
  <c r="O10" i="32"/>
  <c r="AE10" i="32" s="1"/>
  <c r="AD15" i="32" l="1"/>
  <c r="AE15" i="32"/>
  <c r="AD143" i="32"/>
  <c r="AE143" i="32"/>
  <c r="AD46" i="32"/>
  <c r="AE46" i="32"/>
  <c r="AD50" i="32"/>
  <c r="AE50" i="32"/>
  <c r="AD65" i="32"/>
  <c r="AE65" i="32"/>
  <c r="AD43" i="32"/>
  <c r="AE43" i="32"/>
  <c r="AD17" i="32"/>
  <c r="AE17" i="32"/>
  <c r="AD24" i="32"/>
  <c r="AE24" i="32"/>
  <c r="AD18" i="32"/>
  <c r="AE18" i="32"/>
  <c r="AD28" i="32"/>
  <c r="AE28" i="32"/>
  <c r="AD96" i="32"/>
  <c r="AE96" i="32"/>
  <c r="AD41" i="32"/>
  <c r="AE41" i="32"/>
  <c r="AD167" i="32"/>
  <c r="AE167" i="32"/>
  <c r="AD33" i="32"/>
  <c r="AE33" i="32"/>
  <c r="AD79" i="32"/>
  <c r="AE79" i="32"/>
  <c r="AD16" i="32"/>
  <c r="AE16" i="32"/>
  <c r="AD31" i="32"/>
  <c r="AE31" i="32"/>
  <c r="AD102" i="32"/>
  <c r="AE102" i="32"/>
  <c r="AD42" i="32"/>
  <c r="AE42" i="32"/>
  <c r="AD98" i="32"/>
  <c r="AE98" i="32"/>
  <c r="AD70" i="32"/>
  <c r="AE70" i="32"/>
  <c r="AD44" i="32"/>
  <c r="AE44" i="32"/>
  <c r="AD165" i="32"/>
  <c r="AE165" i="32"/>
  <c r="AD5" i="32"/>
  <c r="AD13" i="32"/>
  <c r="AD4" i="32"/>
  <c r="AD48" i="32"/>
  <c r="AD8" i="32"/>
  <c r="AD38" i="32"/>
  <c r="AD60" i="32"/>
  <c r="AD22" i="32"/>
  <c r="AD72" i="32"/>
  <c r="AD39" i="32"/>
  <c r="AD82" i="32"/>
  <c r="AD27" i="32"/>
  <c r="AD11" i="32"/>
  <c r="AD145" i="32"/>
  <c r="AD32" i="32"/>
  <c r="AD83" i="32"/>
  <c r="AD153" i="32"/>
  <c r="AD23" i="32"/>
  <c r="AD19" i="32"/>
  <c r="AD7" i="32"/>
  <c r="AD37" i="32"/>
  <c r="AL195" i="29"/>
  <c r="AD6" i="32"/>
  <c r="L197" i="32"/>
  <c r="J197" i="32"/>
  <c r="O137" i="32"/>
  <c r="AD10" i="32"/>
  <c r="O197" i="32" l="1"/>
  <c r="AE137" i="32"/>
  <c r="AD137" i="32"/>
  <c r="P31" i="31"/>
  <c r="U31" i="31" s="1"/>
  <c r="P177" i="31"/>
  <c r="U177" i="31" s="1"/>
  <c r="P56" i="31"/>
  <c r="U56" i="31" s="1"/>
  <c r="P50" i="31"/>
  <c r="U50" i="31" s="1"/>
  <c r="P101" i="31"/>
  <c r="U101" i="31" s="1"/>
  <c r="P62" i="31"/>
  <c r="U62" i="31" s="1"/>
  <c r="P171" i="31"/>
  <c r="U171" i="31" s="1"/>
  <c r="P138" i="31"/>
  <c r="U138" i="31" s="1"/>
  <c r="P125" i="31"/>
  <c r="U125" i="31" s="1"/>
  <c r="P42" i="31"/>
  <c r="U42" i="31" s="1"/>
  <c r="P119" i="31"/>
  <c r="U119" i="31" s="1"/>
  <c r="P131" i="31"/>
  <c r="U131" i="31" s="1"/>
  <c r="P18" i="31"/>
  <c r="U18" i="31" s="1"/>
  <c r="P168" i="31"/>
  <c r="U168" i="31" s="1"/>
  <c r="P24" i="31"/>
  <c r="U24" i="31" s="1"/>
  <c r="P19" i="31"/>
  <c r="U19" i="31" s="1"/>
  <c r="P159" i="31"/>
  <c r="U159" i="31" s="1"/>
  <c r="P149" i="31"/>
  <c r="U149" i="31" s="1"/>
  <c r="P148" i="31"/>
  <c r="U148" i="31" s="1"/>
  <c r="P126" i="31"/>
  <c r="U126" i="31" s="1"/>
  <c r="P160" i="31"/>
  <c r="U160" i="31" s="1"/>
  <c r="P96" i="31"/>
  <c r="U96" i="31" s="1"/>
  <c r="P134" i="31"/>
  <c r="U134" i="31" s="1"/>
  <c r="P110" i="31"/>
  <c r="U110" i="31" s="1"/>
  <c r="P116" i="31"/>
  <c r="U116" i="31" s="1"/>
  <c r="P135" i="31"/>
  <c r="U135" i="31" s="1"/>
  <c r="P74" i="31"/>
  <c r="U74" i="31" s="1"/>
  <c r="P73" i="31"/>
  <c r="U73" i="31" s="1"/>
  <c r="P136" i="31"/>
  <c r="U136" i="31" s="1"/>
  <c r="P108" i="31"/>
  <c r="U108" i="31" s="1"/>
  <c r="P10" i="31"/>
  <c r="U10" i="31" s="1"/>
  <c r="P174" i="31"/>
  <c r="U174" i="31" s="1"/>
  <c r="P60" i="31"/>
  <c r="U60" i="31" s="1"/>
  <c r="P173" i="31"/>
  <c r="U173" i="31" s="1"/>
  <c r="P39" i="31"/>
  <c r="U39" i="31" s="1"/>
  <c r="P59" i="31"/>
  <c r="U59" i="31" s="1"/>
  <c r="P146" i="31"/>
  <c r="U146" i="31" s="1"/>
  <c r="P161" i="31"/>
  <c r="U161" i="31" s="1"/>
  <c r="P144" i="31"/>
  <c r="U144" i="31" s="1"/>
  <c r="P77" i="31"/>
  <c r="U77" i="31" s="1"/>
  <c r="P129" i="31"/>
  <c r="U129" i="31" s="1"/>
  <c r="P98" i="31"/>
  <c r="U98" i="31" s="1"/>
  <c r="P155" i="31"/>
  <c r="U155" i="31" s="1"/>
  <c r="P102" i="31"/>
  <c r="U102" i="31" s="1"/>
  <c r="P85" i="31"/>
  <c r="U85" i="31" s="1"/>
  <c r="P128" i="31"/>
  <c r="U128" i="31" s="1"/>
  <c r="P143" i="31"/>
  <c r="U143" i="31" s="1"/>
  <c r="P52" i="31"/>
  <c r="U52" i="31" s="1"/>
  <c r="P78" i="31"/>
  <c r="U78" i="31" s="1"/>
  <c r="P68" i="31"/>
  <c r="U68" i="31" s="1"/>
  <c r="P147" i="31"/>
  <c r="U147" i="31" s="1"/>
  <c r="P20" i="31"/>
  <c r="U20" i="31" s="1"/>
  <c r="P53" i="31"/>
  <c r="U53" i="31" s="1"/>
  <c r="P176" i="31"/>
  <c r="U176" i="31" s="1"/>
  <c r="P107" i="31"/>
  <c r="U107" i="31" s="1"/>
  <c r="P156" i="31"/>
  <c r="U156" i="31" s="1"/>
  <c r="P6" i="31"/>
  <c r="U6" i="31" s="1"/>
  <c r="P103" i="31"/>
  <c r="U103" i="31" s="1"/>
  <c r="P82" i="31"/>
  <c r="U82" i="31" s="1"/>
  <c r="P67" i="31"/>
  <c r="U67" i="31" s="1"/>
  <c r="P84" i="31"/>
  <c r="U84" i="31" s="1"/>
  <c r="P112" i="31"/>
  <c r="U112" i="31" s="1"/>
  <c r="P14" i="31"/>
  <c r="U14" i="31" s="1"/>
  <c r="P140" i="31"/>
  <c r="U140" i="31" s="1"/>
  <c r="P124" i="31"/>
  <c r="U124" i="31" s="1"/>
  <c r="P111" i="31"/>
  <c r="U111" i="31" s="1"/>
  <c r="P90" i="31"/>
  <c r="U90" i="31" s="1"/>
  <c r="P15" i="31"/>
  <c r="U15" i="31" s="1"/>
  <c r="P29" i="31"/>
  <c r="U29" i="31" s="1"/>
  <c r="P113" i="31"/>
  <c r="U113" i="31" s="1"/>
  <c r="P65" i="31"/>
  <c r="U65" i="31" s="1"/>
  <c r="P99" i="31"/>
  <c r="U99" i="31" s="1"/>
  <c r="P44" i="31"/>
  <c r="U44" i="31" s="1"/>
  <c r="P114" i="31"/>
  <c r="U114" i="31" s="1"/>
  <c r="P141" i="31"/>
  <c r="U141" i="31" s="1"/>
  <c r="P33" i="31"/>
  <c r="U33" i="31" s="1"/>
  <c r="P57" i="31"/>
  <c r="U57" i="31" s="1"/>
  <c r="P122" i="31"/>
  <c r="U122" i="31" s="1"/>
  <c r="P27" i="31"/>
  <c r="U27" i="31" s="1"/>
  <c r="P8" i="31"/>
  <c r="U8" i="31" s="1"/>
  <c r="P121" i="31"/>
  <c r="U121" i="31" s="1"/>
  <c r="P48" i="31"/>
  <c r="U48" i="31" s="1"/>
  <c r="P92" i="31"/>
  <c r="U92" i="31" s="1"/>
  <c r="P81" i="31"/>
  <c r="U81" i="31" s="1"/>
  <c r="P162" i="31"/>
  <c r="P94" i="31"/>
  <c r="U94" i="31" s="1"/>
  <c r="P66" i="31"/>
  <c r="U66" i="31" s="1"/>
  <c r="P139" i="31"/>
  <c r="U139" i="31" s="1"/>
  <c r="P80" i="31"/>
  <c r="U80" i="31" s="1"/>
  <c r="P22" i="31"/>
  <c r="U22" i="31" s="1"/>
  <c r="P72" i="31"/>
  <c r="U72" i="31" s="1"/>
  <c r="P91" i="31"/>
  <c r="U91" i="31" s="1"/>
  <c r="P41" i="31"/>
  <c r="U41" i="31" s="1"/>
  <c r="P87" i="31"/>
  <c r="U87" i="31" s="1"/>
  <c r="P154" i="31"/>
  <c r="U154" i="31" s="1"/>
  <c r="P47" i="31"/>
  <c r="U47" i="31" s="1"/>
  <c r="P70" i="31"/>
  <c r="U70" i="31" s="1"/>
  <c r="P69" i="31"/>
  <c r="U69" i="31" s="1"/>
  <c r="P166" i="31"/>
  <c r="U166" i="31" s="1"/>
  <c r="P63" i="31"/>
  <c r="U63" i="31" s="1"/>
  <c r="P64" i="31"/>
  <c r="U64" i="31" s="1"/>
  <c r="P175" i="31"/>
  <c r="U175" i="31" s="1"/>
  <c r="P38" i="31"/>
  <c r="U38" i="31" s="1"/>
  <c r="P179" i="31"/>
  <c r="U179" i="31" s="1"/>
  <c r="P178" i="31"/>
  <c r="U178" i="31" s="1"/>
  <c r="P164" i="31"/>
  <c r="U164" i="31" s="1"/>
  <c r="P165" i="31"/>
  <c r="U165" i="31" s="1"/>
  <c r="P181" i="31"/>
  <c r="U181" i="31" s="1"/>
  <c r="P183" i="31"/>
  <c r="U183" i="31" s="1"/>
  <c r="P97" i="31"/>
  <c r="U97" i="31" s="1"/>
  <c r="P83" i="31"/>
  <c r="U83" i="31" s="1"/>
  <c r="P185" i="31"/>
  <c r="U185" i="31" s="1"/>
  <c r="P115" i="31"/>
  <c r="U115" i="31" s="1"/>
  <c r="P163" i="31"/>
  <c r="U163" i="31" s="1"/>
  <c r="P169" i="31"/>
  <c r="U169" i="31" s="1"/>
  <c r="P55" i="31"/>
  <c r="U55" i="31" s="1"/>
  <c r="P58" i="31"/>
  <c r="U58" i="31" s="1"/>
  <c r="P86" i="31"/>
  <c r="U86" i="31" s="1"/>
  <c r="P105" i="31"/>
  <c r="U105" i="31" s="1"/>
  <c r="P117" i="31"/>
  <c r="U117" i="31" s="1"/>
  <c r="P120" i="31"/>
  <c r="U120" i="31" s="1"/>
  <c r="P152" i="31"/>
  <c r="U152" i="31" s="1"/>
  <c r="P153" i="31"/>
  <c r="U153" i="31" s="1"/>
  <c r="P167" i="31"/>
  <c r="U167" i="31" s="1"/>
  <c r="P170" i="31"/>
  <c r="U170" i="31" s="1"/>
  <c r="P172" i="31"/>
  <c r="U172" i="31" s="1"/>
  <c r="AB98" i="34"/>
  <c r="AB134" i="34"/>
  <c r="V15" i="31" l="1"/>
  <c r="V81" i="31"/>
  <c r="W81" i="31"/>
  <c r="W15" i="31"/>
  <c r="V47" i="31"/>
  <c r="T162" i="31"/>
  <c r="U162" i="31"/>
  <c r="T172" i="31"/>
  <c r="T170" i="31"/>
  <c r="T167" i="31"/>
  <c r="T153" i="31"/>
  <c r="T152" i="31"/>
  <c r="T120" i="31"/>
  <c r="T117" i="31"/>
  <c r="T105" i="31"/>
  <c r="T86" i="31"/>
  <c r="T58" i="31"/>
  <c r="T55" i="31"/>
  <c r="T169" i="31"/>
  <c r="T163" i="31"/>
  <c r="T115" i="31"/>
  <c r="T185" i="31"/>
  <c r="T83" i="31"/>
  <c r="T97" i="31"/>
  <c r="T183" i="31"/>
  <c r="T181" i="31"/>
  <c r="T165" i="31"/>
  <c r="T164" i="31"/>
  <c r="T178" i="31"/>
  <c r="T179" i="31"/>
  <c r="T38" i="31"/>
  <c r="T175" i="31"/>
  <c r="T64" i="31"/>
  <c r="T63" i="31"/>
  <c r="T166" i="31"/>
  <c r="T69" i="31"/>
  <c r="T70" i="31"/>
  <c r="T47" i="31"/>
  <c r="T154" i="31"/>
  <c r="T87" i="31"/>
  <c r="T41" i="31"/>
  <c r="T91" i="31"/>
  <c r="T72" i="31"/>
  <c r="T22" i="31"/>
  <c r="T80" i="31"/>
  <c r="T139" i="31"/>
  <c r="T66" i="31"/>
  <c r="T94" i="31"/>
  <c r="T81" i="31"/>
  <c r="T92" i="31"/>
  <c r="T48" i="31"/>
  <c r="T121" i="31"/>
  <c r="T8" i="31"/>
  <c r="T27" i="31"/>
  <c r="T122" i="31"/>
  <c r="T57" i="31"/>
  <c r="T33" i="31"/>
  <c r="T141" i="31"/>
  <c r="T114" i="31"/>
  <c r="T44" i="31"/>
  <c r="T99" i="31"/>
  <c r="T65" i="31"/>
  <c r="T113" i="31"/>
  <c r="T29" i="31"/>
  <c r="T15" i="31"/>
  <c r="T90" i="31"/>
  <c r="T111" i="31"/>
  <c r="T124" i="31"/>
  <c r="T140" i="31"/>
  <c r="T14" i="31"/>
  <c r="T112" i="31"/>
  <c r="T84" i="31"/>
  <c r="T67" i="31"/>
  <c r="T82" i="31"/>
  <c r="T103" i="31"/>
  <c r="T6" i="31"/>
  <c r="T156" i="31"/>
  <c r="T107" i="31"/>
  <c r="T176" i="31"/>
  <c r="T53" i="31"/>
  <c r="T20" i="31"/>
  <c r="T147" i="31"/>
  <c r="T68" i="31"/>
  <c r="T78" i="31"/>
  <c r="T52" i="31"/>
  <c r="T143" i="31"/>
  <c r="T128" i="31"/>
  <c r="T85" i="31"/>
  <c r="T102" i="31"/>
  <c r="T155" i="31"/>
  <c r="T98" i="31"/>
  <c r="T129" i="31"/>
  <c r="T77" i="31"/>
  <c r="T144" i="31"/>
  <c r="T161" i="31"/>
  <c r="T146" i="31"/>
  <c r="T59" i="31"/>
  <c r="T39" i="31"/>
  <c r="T173" i="31"/>
  <c r="T60" i="31"/>
  <c r="T174" i="31"/>
  <c r="T10" i="31"/>
  <c r="T108" i="31"/>
  <c r="T136" i="31"/>
  <c r="T73" i="31"/>
  <c r="T74" i="31"/>
  <c r="T135" i="31"/>
  <c r="T116" i="31"/>
  <c r="T110" i="31"/>
  <c r="T134" i="31"/>
  <c r="T96" i="31"/>
  <c r="T160" i="31"/>
  <c r="T126" i="31"/>
  <c r="T148" i="31"/>
  <c r="T149" i="31"/>
  <c r="T159" i="31"/>
  <c r="T19" i="31"/>
  <c r="T24" i="31"/>
  <c r="T168" i="31"/>
  <c r="T18" i="31"/>
  <c r="T131" i="31"/>
  <c r="T119" i="31"/>
  <c r="T42" i="31"/>
  <c r="T125" i="31"/>
  <c r="T138" i="31"/>
  <c r="T171" i="31"/>
  <c r="T62" i="31"/>
  <c r="T101" i="31"/>
  <c r="T50" i="31"/>
  <c r="T56" i="31"/>
  <c r="T177" i="31"/>
  <c r="T31" i="31"/>
  <c r="V38" i="31"/>
  <c r="W64" i="31"/>
  <c r="V63" i="31"/>
  <c r="W80" i="31"/>
  <c r="W20" i="31"/>
  <c r="W47" i="31"/>
  <c r="W63" i="31"/>
  <c r="V80" i="31"/>
  <c r="V64" i="31"/>
  <c r="W38" i="31"/>
  <c r="P186" i="31"/>
  <c r="V20" i="31"/>
  <c r="E58" i="18"/>
  <c r="E55" i="18"/>
  <c r="F50" i="27"/>
  <c r="B45" i="27"/>
  <c r="E65" i="18"/>
  <c r="F75" i="18"/>
  <c r="B45" i="14"/>
  <c r="F58" i="18"/>
  <c r="F64" i="27"/>
  <c r="F60" i="18"/>
  <c r="E62" i="28"/>
  <c r="Q61" i="34" s="1"/>
  <c r="F54" i="27"/>
  <c r="F48" i="27"/>
  <c r="E68" i="18"/>
  <c r="F64" i="34"/>
  <c r="E69" i="18"/>
  <c r="E67" i="28"/>
  <c r="E70" i="28"/>
  <c r="Q69" i="34" s="1"/>
  <c r="F65" i="27"/>
  <c r="F65" i="18"/>
  <c r="E76" i="18"/>
  <c r="E59" i="28"/>
  <c r="Q58" i="34" s="1"/>
  <c r="E75" i="28"/>
  <c r="F162" i="27"/>
  <c r="F52" i="27"/>
  <c r="E64" i="28"/>
  <c r="E60" i="28"/>
  <c r="Q59" i="34" s="1"/>
  <c r="F77" i="18"/>
  <c r="E75" i="18"/>
  <c r="E65" i="28"/>
  <c r="F57" i="18"/>
  <c r="E76" i="28"/>
  <c r="Q75" i="34" s="1"/>
  <c r="E57" i="18"/>
  <c r="F66" i="27"/>
  <c r="F74" i="18"/>
  <c r="F61" i="18"/>
  <c r="F77" i="34"/>
  <c r="F62" i="27"/>
  <c r="F63" i="27"/>
  <c r="F68" i="18"/>
  <c r="F67" i="27"/>
  <c r="E60" i="18"/>
  <c r="P60" i="18" s="1"/>
  <c r="F69" i="18"/>
  <c r="F76" i="34"/>
  <c r="E67" i="18"/>
  <c r="E77" i="28"/>
  <c r="Q77" i="28" s="1"/>
  <c r="F55" i="34"/>
  <c r="F67" i="34"/>
  <c r="E72" i="28"/>
  <c r="Q71" i="34" s="1"/>
  <c r="F49" i="27"/>
  <c r="E59" i="18"/>
  <c r="F70" i="18"/>
  <c r="E66" i="28"/>
  <c r="Q65" i="34" s="1"/>
  <c r="E69" i="28"/>
  <c r="Q69" i="28" s="1"/>
  <c r="R69" i="28" s="1"/>
  <c r="F68" i="27"/>
  <c r="F66" i="34"/>
  <c r="E72" i="18"/>
  <c r="E73" i="28"/>
  <c r="Q73" i="28" s="1"/>
  <c r="F56" i="18"/>
  <c r="F58" i="34"/>
  <c r="F61" i="34"/>
  <c r="E194" i="18"/>
  <c r="F55" i="18"/>
  <c r="F72" i="18"/>
  <c r="F71" i="18"/>
  <c r="E68" i="28"/>
  <c r="F62" i="18"/>
  <c r="F56" i="34"/>
  <c r="E56" i="28"/>
  <c r="F75" i="34"/>
  <c r="F69" i="34"/>
  <c r="F57" i="27"/>
  <c r="E78" i="28"/>
  <c r="E73" i="18"/>
  <c r="B45" i="26"/>
  <c r="F47" i="27"/>
  <c r="F59" i="18"/>
  <c r="E63" i="28"/>
  <c r="Q63" i="28" s="1"/>
  <c r="F59" i="34"/>
  <c r="F73" i="34"/>
  <c r="F76" i="18"/>
  <c r="E58" i="28"/>
  <c r="Z58" i="28" s="1"/>
  <c r="F63" i="34"/>
  <c r="F54" i="34"/>
  <c r="F62" i="34"/>
  <c r="F57" i="34"/>
  <c r="E61" i="18"/>
  <c r="F68" i="34"/>
  <c r="E62" i="18"/>
  <c r="E70" i="18"/>
  <c r="F51" i="27"/>
  <c r="F58" i="27"/>
  <c r="E74" i="18"/>
  <c r="F67" i="18"/>
  <c r="F71" i="34"/>
  <c r="E66" i="18"/>
  <c r="P66" i="18" s="1"/>
  <c r="F65" i="34"/>
  <c r="F72" i="34"/>
  <c r="E74" i="28"/>
  <c r="E57" i="28"/>
  <c r="Q57" i="28" s="1"/>
  <c r="E61" i="28"/>
  <c r="E64" i="18"/>
  <c r="F73" i="18"/>
  <c r="F70" i="27"/>
  <c r="F194" i="18"/>
  <c r="F63" i="18"/>
  <c r="E55" i="28"/>
  <c r="Q54" i="34" s="1"/>
  <c r="F66" i="18"/>
  <c r="F45" i="27"/>
  <c r="F45" i="26"/>
  <c r="E77" i="18"/>
  <c r="P77" i="18" s="1"/>
  <c r="F61" i="27"/>
  <c r="E71" i="28"/>
  <c r="Q70" i="34" s="1"/>
  <c r="E63" i="18"/>
  <c r="F74" i="34"/>
  <c r="E71" i="18"/>
  <c r="F60" i="34"/>
  <c r="I62" i="26"/>
  <c r="E46" i="14"/>
  <c r="H67" i="27"/>
  <c r="F51" i="14"/>
  <c r="C80" i="31"/>
  <c r="G48" i="27"/>
  <c r="C61" i="26"/>
  <c r="C50" i="26"/>
  <c r="D65" i="28"/>
  <c r="B75" i="29"/>
  <c r="D64" i="26"/>
  <c r="I70" i="34"/>
  <c r="H60" i="29"/>
  <c r="F67" i="26"/>
  <c r="I65" i="29"/>
  <c r="D71" i="18"/>
  <c r="B51" i="26"/>
  <c r="C58" i="18"/>
  <c r="B49" i="26"/>
  <c r="D57" i="34"/>
  <c r="F69" i="29"/>
  <c r="I50" i="27"/>
  <c r="D81" i="32"/>
  <c r="H74" i="31"/>
  <c r="H54" i="29"/>
  <c r="C56" i="34"/>
  <c r="B163" i="26"/>
  <c r="B55" i="18"/>
  <c r="F73" i="28"/>
  <c r="F62" i="28"/>
  <c r="B56" i="34"/>
  <c r="E61" i="29"/>
  <c r="H68" i="26"/>
  <c r="D67" i="26"/>
  <c r="B57" i="28"/>
  <c r="F68" i="26"/>
  <c r="F128" i="31"/>
  <c r="G74" i="29"/>
  <c r="G64" i="32"/>
  <c r="D63" i="14"/>
  <c r="C54" i="26"/>
  <c r="D73" i="28"/>
  <c r="C62" i="34"/>
  <c r="D71" i="29"/>
  <c r="C45" i="14"/>
  <c r="G56" i="27"/>
  <c r="G70" i="18"/>
  <c r="D80" i="31"/>
  <c r="G61" i="26"/>
  <c r="I73" i="18"/>
  <c r="F52" i="31"/>
  <c r="C50" i="27"/>
  <c r="H90" i="31"/>
  <c r="C69" i="29"/>
  <c r="C69" i="18"/>
  <c r="G68" i="34"/>
  <c r="B54" i="27"/>
  <c r="D55" i="29"/>
  <c r="D31" i="31"/>
  <c r="I75" i="34"/>
  <c r="H63" i="32"/>
  <c r="B194" i="18"/>
  <c r="H70" i="31"/>
  <c r="H55" i="32"/>
  <c r="B57" i="27"/>
  <c r="C63" i="31"/>
  <c r="C56" i="32"/>
  <c r="F76" i="28"/>
  <c r="G59" i="14"/>
  <c r="F75" i="29"/>
  <c r="C73" i="29"/>
  <c r="H64" i="28"/>
  <c r="F55" i="28"/>
  <c r="H48" i="27"/>
  <c r="B64" i="27"/>
  <c r="B53" i="14"/>
  <c r="D48" i="14"/>
  <c r="C72" i="34"/>
  <c r="I59" i="14"/>
  <c r="G162" i="27"/>
  <c r="G60" i="29"/>
  <c r="C68" i="34"/>
  <c r="C194" i="18"/>
  <c r="H53" i="14"/>
  <c r="G62" i="29"/>
  <c r="C47" i="27"/>
  <c r="C161" i="32"/>
  <c r="H149" i="32"/>
  <c r="I49" i="27"/>
  <c r="B72" i="29"/>
  <c r="B60" i="28"/>
  <c r="D52" i="26"/>
  <c r="G71" i="29"/>
  <c r="C31" i="31"/>
  <c r="C75" i="29"/>
  <c r="D90" i="31"/>
  <c r="C64" i="26"/>
  <c r="C78" i="28"/>
  <c r="D63" i="18"/>
  <c r="E61" i="27"/>
  <c r="B171" i="32"/>
  <c r="D55" i="31"/>
  <c r="F62" i="14"/>
  <c r="C64" i="32"/>
  <c r="C59" i="14"/>
  <c r="G77" i="18"/>
  <c r="G135" i="31"/>
  <c r="F147" i="31"/>
  <c r="F66" i="14"/>
  <c r="G62" i="26"/>
  <c r="C55" i="29"/>
  <c r="B47" i="27"/>
  <c r="G61" i="14"/>
  <c r="F55" i="26"/>
  <c r="D72" i="29"/>
  <c r="E54" i="26"/>
  <c r="H60" i="31"/>
  <c r="E49" i="26"/>
  <c r="G152" i="32"/>
  <c r="B48" i="14"/>
  <c r="G58" i="28"/>
  <c r="F60" i="26"/>
  <c r="E63" i="34"/>
  <c r="D161" i="32"/>
  <c r="I66" i="34"/>
  <c r="G63" i="18"/>
  <c r="B107" i="31"/>
  <c r="C59" i="32"/>
  <c r="D72" i="28"/>
  <c r="I53" i="14"/>
  <c r="I57" i="18"/>
  <c r="D69" i="18"/>
  <c r="F63" i="14"/>
  <c r="I75" i="29"/>
  <c r="G75" i="29"/>
  <c r="D162" i="27"/>
  <c r="I58" i="14"/>
  <c r="H57" i="28"/>
  <c r="G52" i="26"/>
  <c r="F57" i="14"/>
  <c r="B63" i="34"/>
  <c r="C68" i="26"/>
  <c r="H55" i="34"/>
  <c r="D60" i="26"/>
  <c r="C57" i="14"/>
  <c r="F61" i="28"/>
  <c r="F51" i="26"/>
  <c r="H162" i="32"/>
  <c r="D61" i="14"/>
  <c r="F60" i="31"/>
  <c r="E54" i="29"/>
  <c r="I70" i="18"/>
  <c r="D63" i="31"/>
  <c r="H76" i="34"/>
  <c r="C65" i="31"/>
  <c r="C73" i="18"/>
  <c r="G133" i="32"/>
  <c r="B74" i="28"/>
  <c r="F81" i="32"/>
  <c r="E50" i="27"/>
  <c r="G73" i="29"/>
  <c r="B70" i="18"/>
  <c r="B135" i="31"/>
  <c r="G69" i="18"/>
  <c r="B61" i="27"/>
  <c r="C58" i="14"/>
  <c r="G56" i="34"/>
  <c r="C57" i="27"/>
  <c r="F52" i="14"/>
  <c r="E55" i="29"/>
  <c r="H62" i="29"/>
  <c r="H61" i="14"/>
  <c r="E73" i="29"/>
  <c r="F71" i="32"/>
  <c r="G76" i="29"/>
  <c r="H63" i="18"/>
  <c r="E67" i="27"/>
  <c r="B56" i="28"/>
  <c r="F70" i="28"/>
  <c r="F70" i="26"/>
  <c r="B73" i="32"/>
  <c r="D65" i="31"/>
  <c r="D55" i="34"/>
  <c r="F72" i="29"/>
  <c r="C63" i="18"/>
  <c r="I51" i="27"/>
  <c r="I62" i="27"/>
  <c r="D56" i="14"/>
  <c r="H69" i="18"/>
  <c r="D73" i="29"/>
  <c r="F69" i="28"/>
  <c r="F74" i="31"/>
  <c r="G62" i="34"/>
  <c r="C52" i="26"/>
  <c r="I68" i="18"/>
  <c r="B55" i="29"/>
  <c r="D72" i="34"/>
  <c r="C152" i="32"/>
  <c r="E68" i="27"/>
  <c r="B65" i="31"/>
  <c r="D65" i="14"/>
  <c r="G47" i="27"/>
  <c r="D58" i="26"/>
  <c r="B59" i="14"/>
  <c r="C61" i="27"/>
  <c r="B60" i="34"/>
  <c r="B78" i="28"/>
  <c r="G68" i="26"/>
  <c r="B66" i="28"/>
  <c r="D127" i="32"/>
  <c r="D45" i="14"/>
  <c r="E52" i="26"/>
  <c r="D63" i="27"/>
  <c r="D59" i="34"/>
  <c r="D66" i="26"/>
  <c r="G53" i="14"/>
  <c r="E163" i="26"/>
  <c r="C60" i="34"/>
  <c r="G80" i="31"/>
  <c r="H49" i="27"/>
  <c r="G69" i="14"/>
  <c r="C59" i="28"/>
  <c r="F49" i="26"/>
  <c r="D45" i="27"/>
  <c r="G62" i="27"/>
  <c r="H67" i="26"/>
  <c r="D55" i="32"/>
  <c r="B62" i="14"/>
  <c r="G51" i="26"/>
  <c r="C63" i="34"/>
  <c r="H69" i="34"/>
  <c r="F48" i="14"/>
  <c r="C63" i="32"/>
  <c r="D117" i="32"/>
  <c r="H47" i="31"/>
  <c r="D65" i="27"/>
  <c r="I163" i="26"/>
  <c r="C60" i="26"/>
  <c r="B62" i="18"/>
  <c r="G73" i="28"/>
  <c r="C66" i="26"/>
  <c r="D57" i="27"/>
  <c r="I57" i="27"/>
  <c r="E74" i="34"/>
  <c r="C74" i="34"/>
  <c r="H70" i="28"/>
  <c r="H77" i="29"/>
  <c r="E65" i="27"/>
  <c r="D151" i="32"/>
  <c r="I62" i="28"/>
  <c r="B59" i="34"/>
  <c r="G56" i="18"/>
  <c r="H58" i="34"/>
  <c r="F77" i="29"/>
  <c r="G72" i="31"/>
  <c r="D58" i="28"/>
  <c r="B61" i="32"/>
  <c r="E64" i="29"/>
  <c r="E56" i="29"/>
  <c r="B64" i="34"/>
  <c r="D69" i="31"/>
  <c r="H59" i="34"/>
  <c r="D77" i="18"/>
  <c r="H162" i="27"/>
  <c r="I48" i="14"/>
  <c r="I65" i="34"/>
  <c r="D61" i="28"/>
  <c r="C71" i="32"/>
  <c r="G47" i="14"/>
  <c r="B63" i="29"/>
  <c r="G55" i="14"/>
  <c r="H66" i="26"/>
  <c r="G67" i="31"/>
  <c r="B75" i="34"/>
  <c r="C60" i="27"/>
  <c r="G127" i="32"/>
  <c r="E57" i="14"/>
  <c r="D66" i="34"/>
  <c r="G61" i="32"/>
  <c r="F177" i="31"/>
  <c r="D64" i="27"/>
  <c r="G75" i="18"/>
  <c r="I59" i="18"/>
  <c r="G59" i="34"/>
  <c r="I58" i="34"/>
  <c r="G70" i="28"/>
  <c r="B73" i="29"/>
  <c r="F73" i="32"/>
  <c r="E58" i="34"/>
  <c r="B77" i="18"/>
  <c r="H56" i="29"/>
  <c r="G69" i="34"/>
  <c r="C63" i="26"/>
  <c r="G69" i="28"/>
  <c r="F68" i="29"/>
  <c r="C54" i="27"/>
  <c r="C61" i="28"/>
  <c r="C76" i="29"/>
  <c r="H63" i="28"/>
  <c r="G57" i="29"/>
  <c r="G54" i="29"/>
  <c r="E61" i="14"/>
  <c r="I69" i="28"/>
  <c r="H59" i="32"/>
  <c r="H75" i="29"/>
  <c r="C60" i="18"/>
  <c r="D62" i="29"/>
  <c r="I70" i="28"/>
  <c r="E65" i="34"/>
  <c r="B56" i="14"/>
  <c r="H58" i="27"/>
  <c r="C49" i="27"/>
  <c r="E67" i="34"/>
  <c r="C68" i="14"/>
  <c r="F64" i="28"/>
  <c r="G45" i="27"/>
  <c r="C57" i="28"/>
  <c r="G77" i="29"/>
  <c r="G76" i="28"/>
  <c r="E66" i="34"/>
  <c r="D67" i="14"/>
  <c r="C60" i="31"/>
  <c r="E68" i="26"/>
  <c r="H57" i="29"/>
  <c r="F80" i="31"/>
  <c r="B62" i="27"/>
  <c r="D70" i="29"/>
  <c r="C63" i="28"/>
  <c r="D147" i="31"/>
  <c r="C54" i="29"/>
  <c r="B69" i="14"/>
  <c r="G76" i="34"/>
  <c r="E60" i="34"/>
  <c r="B69" i="28"/>
  <c r="E55" i="14"/>
  <c r="B54" i="34"/>
  <c r="C56" i="27"/>
  <c r="H75" i="28"/>
  <c r="G64" i="27"/>
  <c r="G126" i="32"/>
  <c r="H58" i="14"/>
  <c r="H64" i="34"/>
  <c r="H50" i="26"/>
  <c r="C67" i="14"/>
  <c r="H147" i="31"/>
  <c r="C133" i="32"/>
  <c r="B117" i="32"/>
  <c r="G52" i="31"/>
  <c r="I63" i="27"/>
  <c r="F64" i="32"/>
  <c r="H47" i="14"/>
  <c r="B68" i="26"/>
  <c r="I68" i="27"/>
  <c r="F49" i="14"/>
  <c r="H61" i="27"/>
  <c r="I68" i="26"/>
  <c r="D61" i="26"/>
  <c r="F69" i="14"/>
  <c r="G31" i="31"/>
  <c r="B57" i="29"/>
  <c r="I61" i="26"/>
  <c r="I69" i="29"/>
  <c r="D59" i="29"/>
  <c r="D72" i="31"/>
  <c r="B72" i="31"/>
  <c r="G54" i="27"/>
  <c r="D77" i="34"/>
  <c r="C64" i="18"/>
  <c r="C62" i="28"/>
  <c r="B63" i="26"/>
  <c r="F74" i="32"/>
  <c r="C62" i="26"/>
  <c r="C73" i="34"/>
  <c r="G59" i="29"/>
  <c r="G147" i="31"/>
  <c r="B65" i="14"/>
  <c r="C55" i="34"/>
  <c r="I70" i="29"/>
  <c r="C58" i="34"/>
  <c r="C67" i="31"/>
  <c r="G61" i="34"/>
  <c r="G72" i="29"/>
  <c r="H60" i="34"/>
  <c r="B58" i="18"/>
  <c r="G51" i="27"/>
  <c r="B50" i="26"/>
  <c r="H73" i="29"/>
  <c r="G57" i="32"/>
  <c r="I64" i="34"/>
  <c r="H63" i="26"/>
  <c r="E67" i="26"/>
  <c r="B72" i="28"/>
  <c r="C177" i="31"/>
  <c r="H60" i="27"/>
  <c r="E55" i="27"/>
  <c r="C64" i="27"/>
  <c r="I62" i="29"/>
  <c r="B63" i="32"/>
  <c r="C76" i="28"/>
  <c r="D74" i="18"/>
  <c r="G70" i="31"/>
  <c r="H68" i="14"/>
  <c r="H57" i="27"/>
  <c r="D63" i="29"/>
  <c r="C53" i="32"/>
  <c r="F65" i="31"/>
  <c r="H151" i="32"/>
  <c r="H72" i="31"/>
  <c r="F55" i="29"/>
  <c r="D52" i="31"/>
  <c r="E57" i="26"/>
  <c r="F55" i="14"/>
  <c r="D69" i="28"/>
  <c r="B57" i="14"/>
  <c r="G54" i="34"/>
  <c r="H65" i="28"/>
  <c r="E162" i="27"/>
  <c r="C74" i="28"/>
  <c r="H31" i="31"/>
  <c r="E69" i="34"/>
  <c r="G75" i="34"/>
  <c r="H67" i="18"/>
  <c r="B59" i="18"/>
  <c r="I47" i="14"/>
  <c r="I67" i="34"/>
  <c r="D53" i="14"/>
  <c r="G64" i="14"/>
  <c r="H50" i="27"/>
  <c r="H68" i="28"/>
  <c r="E77" i="34"/>
  <c r="H59" i="31"/>
  <c r="H73" i="34"/>
  <c r="E74" i="29"/>
  <c r="D67" i="18"/>
  <c r="B161" i="32"/>
  <c r="C74" i="32"/>
  <c r="G72" i="18"/>
  <c r="B76" i="34"/>
  <c r="H72" i="34"/>
  <c r="I77" i="34"/>
  <c r="E48" i="26"/>
  <c r="D149" i="32"/>
  <c r="C77" i="29"/>
  <c r="B81" i="32"/>
  <c r="E66" i="29"/>
  <c r="G68" i="14"/>
  <c r="F45" i="14"/>
  <c r="C66" i="29"/>
  <c r="I64" i="29"/>
  <c r="C55" i="32"/>
  <c r="H72" i="18"/>
  <c r="H70" i="34"/>
  <c r="I64" i="28"/>
  <c r="G71" i="18"/>
  <c r="D63" i="26"/>
  <c r="H48" i="26"/>
  <c r="H57" i="18"/>
  <c r="B66" i="34"/>
  <c r="I72" i="34"/>
  <c r="G68" i="18"/>
  <c r="B68" i="31"/>
  <c r="D61" i="34"/>
  <c r="H49" i="14"/>
  <c r="E56" i="14"/>
  <c r="C59" i="31"/>
  <c r="D49" i="27"/>
  <c r="C69" i="14"/>
  <c r="H103" i="32"/>
  <c r="G117" i="32"/>
  <c r="H67" i="14"/>
  <c r="G177" i="31"/>
  <c r="H60" i="18"/>
  <c r="F57" i="26"/>
  <c r="E72" i="29"/>
  <c r="H52" i="14"/>
  <c r="I64" i="14"/>
  <c r="I74" i="28"/>
  <c r="I66" i="14"/>
  <c r="H64" i="32"/>
  <c r="C73" i="31"/>
  <c r="D163" i="26"/>
  <c r="E65" i="14"/>
  <c r="D74" i="29"/>
  <c r="F62" i="29"/>
  <c r="G57" i="14"/>
  <c r="D73" i="32"/>
  <c r="G81" i="32"/>
  <c r="D68" i="26"/>
  <c r="B49" i="14"/>
  <c r="D61" i="27"/>
  <c r="B68" i="27"/>
  <c r="G59" i="28"/>
  <c r="F71" i="29"/>
  <c r="I52" i="27"/>
  <c r="G50" i="26"/>
  <c r="F60" i="28"/>
  <c r="B60" i="26"/>
  <c r="B66" i="26"/>
  <c r="D107" i="31"/>
  <c r="B74" i="31"/>
  <c r="B68" i="34"/>
  <c r="B68" i="29"/>
  <c r="E54" i="34"/>
  <c r="H69" i="28"/>
  <c r="B51" i="27"/>
  <c r="C67" i="26"/>
  <c r="D45" i="26"/>
  <c r="G66" i="14"/>
  <c r="D58" i="29"/>
  <c r="G52" i="27"/>
  <c r="H70" i="29"/>
  <c r="I57" i="28"/>
  <c r="I69" i="14"/>
  <c r="B61" i="34"/>
  <c r="D194" i="18"/>
  <c r="B61" i="29"/>
  <c r="C70" i="29"/>
  <c r="E168" i="14"/>
  <c r="D61" i="18"/>
  <c r="D47" i="26"/>
  <c r="D51" i="27"/>
  <c r="I63" i="28"/>
  <c r="H62" i="27"/>
  <c r="H64" i="14"/>
  <c r="I61" i="34"/>
  <c r="G56" i="28"/>
  <c r="G50" i="14"/>
  <c r="I61" i="27"/>
  <c r="F127" i="32"/>
  <c r="E72" i="34"/>
  <c r="H57" i="26"/>
  <c r="E66" i="14"/>
  <c r="I58" i="18"/>
  <c r="G73" i="18"/>
  <c r="D61" i="32"/>
  <c r="F68" i="28"/>
  <c r="I59" i="34"/>
  <c r="D52" i="14"/>
  <c r="G58" i="18"/>
  <c r="D74" i="32"/>
  <c r="B68" i="18"/>
  <c r="F47" i="26"/>
  <c r="I62" i="14"/>
  <c r="B65" i="34"/>
  <c r="E68" i="14"/>
  <c r="D59" i="14"/>
  <c r="G48" i="14"/>
  <c r="C60" i="28"/>
  <c r="G162" i="32"/>
  <c r="B61" i="28"/>
  <c r="C48" i="27"/>
  <c r="G56" i="29"/>
  <c r="E51" i="26"/>
  <c r="H76" i="18"/>
  <c r="E57" i="27"/>
  <c r="B51" i="14"/>
  <c r="G69" i="31"/>
  <c r="G72" i="28"/>
  <c r="H63" i="27"/>
  <c r="F60" i="29"/>
  <c r="D67" i="29"/>
  <c r="B67" i="28"/>
  <c r="D68" i="28"/>
  <c r="H48" i="14"/>
  <c r="I50" i="26"/>
  <c r="B52" i="14"/>
  <c r="G60" i="34"/>
  <c r="D62" i="14"/>
  <c r="G58" i="14"/>
  <c r="D52" i="27"/>
  <c r="H74" i="32"/>
  <c r="F57" i="32"/>
  <c r="B62" i="34"/>
  <c r="C65" i="27"/>
  <c r="B55" i="26"/>
  <c r="C135" i="31"/>
  <c r="I63" i="34"/>
  <c r="C74" i="18"/>
  <c r="B55" i="31"/>
  <c r="G56" i="26"/>
  <c r="C70" i="34"/>
  <c r="H64" i="29"/>
  <c r="H161" i="32"/>
  <c r="G73" i="31"/>
  <c r="F56" i="27"/>
  <c r="D66" i="29"/>
  <c r="D75" i="29"/>
  <c r="H171" i="32"/>
  <c r="C62" i="27"/>
  <c r="B73" i="31"/>
  <c r="E64" i="27"/>
  <c r="H65" i="18"/>
  <c r="I75" i="28"/>
  <c r="D57" i="18"/>
  <c r="G55" i="29"/>
  <c r="F70" i="29"/>
  <c r="I57" i="34"/>
  <c r="I56" i="28"/>
  <c r="I69" i="18"/>
  <c r="D57" i="28"/>
  <c r="D68" i="18"/>
  <c r="H76" i="28"/>
  <c r="B177" i="31"/>
  <c r="C63" i="14"/>
  <c r="G54" i="26"/>
  <c r="D56" i="34"/>
  <c r="D67" i="28"/>
  <c r="E75" i="29"/>
  <c r="G74" i="31"/>
  <c r="F68" i="14"/>
  <c r="G168" i="14"/>
  <c r="I66" i="26"/>
  <c r="E58" i="27"/>
  <c r="G68" i="29"/>
  <c r="D171" i="32"/>
  <c r="H47" i="27"/>
  <c r="E62" i="29"/>
  <c r="F59" i="31"/>
  <c r="D67" i="27"/>
  <c r="G61" i="18"/>
  <c r="D152" i="32"/>
  <c r="G68" i="31"/>
  <c r="B133" i="32"/>
  <c r="G53" i="32"/>
  <c r="D60" i="28"/>
  <c r="E47" i="27"/>
  <c r="G70" i="34"/>
  <c r="C103" i="32"/>
  <c r="E55" i="26"/>
  <c r="F65" i="28"/>
  <c r="B67" i="14"/>
  <c r="I59" i="28"/>
  <c r="H64" i="18"/>
  <c r="H61" i="18"/>
  <c r="D59" i="28"/>
  <c r="F66" i="29"/>
  <c r="G47" i="26"/>
  <c r="B73" i="18"/>
  <c r="D65" i="29"/>
  <c r="B61" i="18"/>
  <c r="G66" i="18"/>
  <c r="F47" i="31"/>
  <c r="B59" i="32"/>
  <c r="G71" i="28"/>
  <c r="G57" i="18"/>
  <c r="H63" i="14"/>
  <c r="D71" i="28"/>
  <c r="D50" i="26"/>
  <c r="I76" i="34"/>
  <c r="C52" i="31"/>
  <c r="G61" i="29"/>
  <c r="G61" i="27"/>
  <c r="B59" i="29"/>
  <c r="C64" i="14"/>
  <c r="H152" i="32"/>
  <c r="C65" i="14"/>
  <c r="B64" i="18"/>
  <c r="H73" i="28"/>
  <c r="D177" i="31"/>
  <c r="B77" i="28"/>
  <c r="D46" i="14"/>
  <c r="B61" i="26"/>
  <c r="G60" i="26"/>
  <c r="C163" i="26"/>
  <c r="G67" i="26"/>
  <c r="C63" i="27"/>
  <c r="H59" i="18"/>
  <c r="H128" i="31"/>
  <c r="C57" i="29"/>
  <c r="E56" i="27"/>
  <c r="I61" i="28"/>
  <c r="D68" i="14"/>
  <c r="G64" i="29"/>
  <c r="F135" i="31"/>
  <c r="F52" i="26"/>
  <c r="C75" i="34"/>
  <c r="G78" i="28"/>
  <c r="G73" i="34"/>
  <c r="D47" i="14"/>
  <c r="F65" i="26"/>
  <c r="F76" i="29"/>
  <c r="G64" i="18"/>
  <c r="C55" i="31"/>
  <c r="B66" i="29"/>
  <c r="C63" i="29"/>
  <c r="I60" i="28"/>
  <c r="G65" i="29"/>
  <c r="I58" i="27"/>
  <c r="E63" i="14"/>
  <c r="I60" i="34"/>
  <c r="F67" i="29"/>
  <c r="F103" i="32"/>
  <c r="D65" i="18"/>
  <c r="G70" i="29"/>
  <c r="C70" i="31"/>
  <c r="E68" i="34"/>
  <c r="H46" i="14"/>
  <c r="I74" i="34"/>
  <c r="F69" i="31"/>
  <c r="B70" i="29"/>
  <c r="F73" i="29"/>
  <c r="D73" i="18"/>
  <c r="I55" i="14"/>
  <c r="G74" i="32"/>
  <c r="I67" i="14"/>
  <c r="F74" i="28"/>
  <c r="C70" i="27"/>
  <c r="B67" i="31"/>
  <c r="B65" i="28"/>
  <c r="B48" i="27"/>
  <c r="C77" i="34"/>
  <c r="G52" i="14"/>
  <c r="E63" i="27"/>
  <c r="B56" i="26"/>
  <c r="I54" i="26"/>
  <c r="I58" i="29"/>
  <c r="D69" i="29"/>
  <c r="H45" i="14"/>
  <c r="D57" i="32"/>
  <c r="E60" i="27"/>
  <c r="D62" i="34"/>
  <c r="I45" i="26"/>
  <c r="G90" i="31"/>
  <c r="I63" i="26"/>
  <c r="B69" i="34"/>
  <c r="C45" i="26"/>
  <c r="G45" i="26"/>
  <c r="C107" i="31"/>
  <c r="B75" i="18"/>
  <c r="I162" i="27"/>
  <c r="C50" i="14"/>
  <c r="C57" i="18"/>
  <c r="B68" i="14"/>
  <c r="H70" i="18"/>
  <c r="F72" i="31"/>
  <c r="E50" i="14"/>
  <c r="H52" i="27"/>
  <c r="G74" i="28"/>
  <c r="B63" i="27"/>
  <c r="B54" i="29"/>
  <c r="F75" i="28"/>
  <c r="E56" i="34"/>
  <c r="C66" i="28"/>
  <c r="H133" i="32"/>
  <c r="D54" i="34"/>
  <c r="B55" i="32"/>
  <c r="F68" i="31"/>
  <c r="I56" i="18"/>
  <c r="I66" i="27"/>
  <c r="H58" i="18"/>
  <c r="I71" i="29"/>
  <c r="H52" i="26"/>
  <c r="E58" i="29"/>
  <c r="B77" i="29"/>
  <c r="G65" i="28"/>
  <c r="I77" i="29"/>
  <c r="F50" i="14"/>
  <c r="F65" i="29"/>
  <c r="B49" i="27"/>
  <c r="B64" i="28"/>
  <c r="E56" i="26"/>
  <c r="D55" i="26"/>
  <c r="D60" i="27"/>
  <c r="H69" i="31"/>
  <c r="B63" i="31"/>
  <c r="G58" i="26"/>
  <c r="G65" i="18"/>
  <c r="F107" i="31"/>
  <c r="F171" i="32"/>
  <c r="G55" i="26"/>
  <c r="E68" i="29"/>
  <c r="C65" i="34"/>
  <c r="F63" i="28"/>
  <c r="B52" i="27"/>
  <c r="F56" i="14"/>
  <c r="E59" i="34"/>
  <c r="C65" i="29"/>
  <c r="C52" i="14"/>
  <c r="D76" i="18"/>
  <c r="G63" i="32"/>
  <c r="G55" i="27"/>
  <c r="B67" i="27"/>
  <c r="D64" i="28"/>
  <c r="B65" i="27"/>
  <c r="C69" i="28"/>
  <c r="C65" i="18"/>
  <c r="G72" i="34"/>
  <c r="H59" i="29"/>
  <c r="I62" i="34"/>
  <c r="E59" i="29"/>
  <c r="E45" i="26"/>
  <c r="C127" i="32"/>
  <c r="C55" i="26"/>
  <c r="I60" i="26"/>
  <c r="H56" i="18"/>
  <c r="G63" i="27"/>
  <c r="I51" i="26"/>
  <c r="G45" i="14"/>
  <c r="C66" i="27"/>
  <c r="E60" i="29"/>
  <c r="C90" i="31"/>
  <c r="H55" i="14"/>
  <c r="D68" i="27"/>
  <c r="I73" i="28"/>
  <c r="D64" i="32"/>
  <c r="C151" i="32"/>
  <c r="I61" i="18"/>
  <c r="E49" i="27"/>
  <c r="F55" i="27"/>
  <c r="B63" i="18"/>
  <c r="D50" i="14"/>
  <c r="H51" i="14"/>
  <c r="H52" i="31"/>
  <c r="H75" i="18"/>
  <c r="G107" i="31"/>
  <c r="I194" i="18"/>
  <c r="B65" i="29"/>
  <c r="B58" i="26"/>
  <c r="D133" i="32"/>
  <c r="H62" i="18"/>
  <c r="C73" i="28"/>
  <c r="H55" i="26"/>
  <c r="I63" i="29"/>
  <c r="B47" i="14"/>
  <c r="D65" i="26"/>
  <c r="G77" i="34"/>
  <c r="D74" i="34"/>
  <c r="D60" i="31"/>
  <c r="H67" i="31"/>
  <c r="C168" i="14"/>
  <c r="E49" i="14"/>
  <c r="D53" i="32"/>
  <c r="I47" i="26"/>
  <c r="D58" i="27"/>
  <c r="C74" i="31"/>
  <c r="H81" i="32"/>
  <c r="D70" i="27"/>
  <c r="C149" i="32"/>
  <c r="G64" i="28"/>
  <c r="C61" i="32"/>
  <c r="D69" i="14"/>
  <c r="F58" i="14"/>
  <c r="B62" i="28"/>
  <c r="D57" i="14"/>
  <c r="D78" i="28"/>
  <c r="F149" i="32"/>
  <c r="I75" i="18"/>
  <c r="G59" i="31"/>
  <c r="D63" i="32"/>
  <c r="I71" i="34"/>
  <c r="F152" i="32"/>
  <c r="D51" i="14"/>
  <c r="D62" i="26"/>
  <c r="H68" i="27"/>
  <c r="H61" i="29"/>
  <c r="I76" i="28"/>
  <c r="H55" i="31"/>
  <c r="I67" i="28"/>
  <c r="H63" i="29"/>
  <c r="I68" i="14"/>
  <c r="H64" i="26"/>
  <c r="B58" i="29"/>
  <c r="E55" i="34"/>
  <c r="B57" i="34"/>
  <c r="H60" i="26"/>
  <c r="B55" i="14"/>
  <c r="E61" i="34"/>
  <c r="B127" i="32"/>
  <c r="H71" i="32"/>
  <c r="I56" i="34"/>
  <c r="B57" i="18"/>
  <c r="F72" i="28"/>
  <c r="E58" i="26"/>
  <c r="F53" i="14"/>
  <c r="I66" i="18"/>
  <c r="D60" i="18"/>
  <c r="C47" i="26"/>
  <c r="D64" i="14"/>
  <c r="F54" i="29"/>
  <c r="I66" i="29"/>
  <c r="E63" i="26"/>
  <c r="C71" i="28"/>
  <c r="F47" i="14"/>
  <c r="B48" i="26"/>
  <c r="F55" i="31"/>
  <c r="C128" i="31"/>
  <c r="D67" i="31"/>
  <c r="B57" i="32"/>
  <c r="G65" i="34"/>
  <c r="C72" i="31"/>
  <c r="C62" i="29"/>
  <c r="I77" i="18"/>
  <c r="I68" i="29"/>
  <c r="H71" i="29"/>
  <c r="H77" i="28"/>
  <c r="I45" i="27"/>
  <c r="D51" i="26"/>
  <c r="C77" i="18"/>
  <c r="C62" i="14"/>
  <c r="B71" i="29"/>
  <c r="G194" i="18"/>
  <c r="F57" i="28"/>
  <c r="D55" i="27"/>
  <c r="G74" i="18"/>
  <c r="I56" i="14"/>
  <c r="F64" i="26"/>
  <c r="I73" i="34"/>
  <c r="G66" i="29"/>
  <c r="E69" i="14"/>
  <c r="I50" i="14"/>
  <c r="D66" i="14"/>
  <c r="C71" i="29"/>
  <c r="G55" i="34"/>
  <c r="C70" i="28"/>
  <c r="C61" i="34"/>
  <c r="E62" i="27"/>
  <c r="B64" i="26"/>
  <c r="G50" i="27"/>
  <c r="H66" i="18"/>
  <c r="F64" i="29"/>
  <c r="I64" i="27"/>
  <c r="B47" i="26"/>
  <c r="E47" i="26"/>
  <c r="D50" i="27"/>
  <c r="D54" i="26"/>
  <c r="H73" i="32"/>
  <c r="E64" i="34"/>
  <c r="C56" i="18"/>
  <c r="E47" i="14"/>
  <c r="H65" i="14"/>
  <c r="E67" i="29"/>
  <c r="H66" i="28"/>
  <c r="G55" i="31"/>
  <c r="G57" i="26"/>
  <c r="H74" i="34"/>
  <c r="B74" i="32"/>
  <c r="H78" i="28"/>
  <c r="H57" i="14"/>
  <c r="C73" i="32"/>
  <c r="E54" i="27"/>
  <c r="I49" i="26"/>
  <c r="E57" i="29"/>
  <c r="B62" i="29"/>
  <c r="I49" i="14"/>
  <c r="G56" i="32"/>
  <c r="I72" i="28"/>
  <c r="E77" i="29"/>
  <c r="H66" i="14"/>
  <c r="D64" i="34"/>
  <c r="F56" i="28"/>
  <c r="F58" i="31"/>
  <c r="H56" i="34"/>
  <c r="B54" i="26"/>
  <c r="I55" i="34"/>
  <c r="I65" i="28"/>
  <c r="F66" i="26"/>
  <c r="H58" i="29"/>
  <c r="C57" i="26"/>
  <c r="C57" i="32"/>
  <c r="B55" i="27"/>
  <c r="F90" i="31"/>
  <c r="F74" i="29"/>
  <c r="C68" i="27"/>
  <c r="C48" i="26"/>
  <c r="B70" i="27"/>
  <c r="H51" i="27"/>
  <c r="B57" i="26"/>
  <c r="I60" i="29"/>
  <c r="G67" i="14"/>
  <c r="H135" i="31"/>
  <c r="I70" i="27"/>
  <c r="H62" i="28"/>
  <c r="H65" i="26"/>
  <c r="I48" i="26"/>
  <c r="D75" i="28"/>
  <c r="I68" i="34"/>
  <c r="D68" i="29"/>
  <c r="C47" i="14"/>
  <c r="G65" i="14"/>
  <c r="B56" i="29"/>
  <c r="D66" i="27"/>
  <c r="D60" i="34"/>
  <c r="I55" i="28"/>
  <c r="C171" i="32"/>
  <c r="G46" i="14"/>
  <c r="H61" i="28"/>
  <c r="H80" i="31"/>
  <c r="I58" i="26"/>
  <c r="E45" i="27"/>
  <c r="C68" i="18"/>
  <c r="H71" i="28"/>
  <c r="H127" i="32"/>
  <c r="G59" i="32"/>
  <c r="H47" i="26"/>
  <c r="H117" i="32"/>
  <c r="I55" i="27"/>
  <c r="C56" i="29"/>
  <c r="F59" i="32"/>
  <c r="E73" i="34"/>
  <c r="G65" i="26"/>
  <c r="H68" i="34"/>
  <c r="D58" i="34"/>
  <c r="D62" i="18"/>
  <c r="D135" i="31"/>
  <c r="G63" i="14"/>
  <c r="B64" i="14"/>
  <c r="F78" i="28"/>
  <c r="I64" i="26"/>
  <c r="I56" i="29"/>
  <c r="B58" i="27"/>
  <c r="I54" i="29"/>
  <c r="G67" i="28"/>
  <c r="D49" i="26"/>
  <c r="F31" i="31"/>
  <c r="D168" i="14"/>
  <c r="B72" i="34"/>
  <c r="H63" i="34"/>
  <c r="B71" i="18"/>
  <c r="F62" i="26"/>
  <c r="E58" i="14"/>
  <c r="F151" i="32"/>
  <c r="D56" i="26"/>
  <c r="I74" i="18"/>
  <c r="B55" i="28"/>
  <c r="I67" i="27"/>
  <c r="B60" i="18"/>
  <c r="C54" i="34"/>
  <c r="G66" i="34"/>
  <c r="I54" i="34"/>
  <c r="B90" i="31"/>
  <c r="F60" i="27"/>
  <c r="B67" i="18"/>
  <c r="H61" i="26"/>
  <c r="I48" i="27"/>
  <c r="D60" i="29"/>
  <c r="F161" i="32"/>
  <c r="G161" i="32"/>
  <c r="B46" i="14"/>
  <c r="B50" i="14"/>
  <c r="F46" i="14"/>
  <c r="H58" i="28"/>
  <c r="D58" i="31"/>
  <c r="G60" i="18"/>
  <c r="H65" i="31"/>
  <c r="D103" i="32"/>
  <c r="E64" i="14"/>
  <c r="H62" i="14"/>
  <c r="I58" i="28"/>
  <c r="C67" i="28"/>
  <c r="C68" i="29"/>
  <c r="H45" i="27"/>
  <c r="G67" i="34"/>
  <c r="D71" i="34"/>
  <c r="D64" i="18"/>
  <c r="D59" i="31"/>
  <c r="D57" i="26"/>
  <c r="B58" i="31"/>
  <c r="H72" i="28"/>
  <c r="B69" i="29"/>
  <c r="H163" i="26"/>
  <c r="H71" i="34"/>
  <c r="B65" i="26"/>
  <c r="E76" i="34"/>
  <c r="I56" i="26"/>
  <c r="C72" i="29"/>
  <c r="D76" i="34"/>
  <c r="G62" i="28"/>
  <c r="G63" i="34"/>
  <c r="G58" i="31"/>
  <c r="C61" i="14"/>
  <c r="B60" i="31"/>
  <c r="H177" i="31"/>
  <c r="I56" i="27"/>
  <c r="F126" i="32"/>
  <c r="B70" i="31"/>
  <c r="C64" i="28"/>
  <c r="D58" i="18"/>
  <c r="C68" i="31"/>
  <c r="C162" i="32"/>
  <c r="E50" i="26"/>
  <c r="D71" i="32"/>
  <c r="C59" i="29"/>
  <c r="C66" i="14"/>
  <c r="C67" i="29"/>
  <c r="D49" i="14"/>
  <c r="C71" i="18"/>
  <c r="E70" i="26"/>
  <c r="G65" i="27"/>
  <c r="C66" i="34"/>
  <c r="C62" i="18"/>
  <c r="F117" i="32"/>
  <c r="D59" i="32"/>
  <c r="G74" i="34"/>
  <c r="I78" i="28"/>
  <c r="C68" i="28"/>
  <c r="G58" i="29"/>
  <c r="I57" i="26"/>
  <c r="D162" i="32"/>
  <c r="D62" i="28"/>
  <c r="B52" i="31"/>
  <c r="C59" i="18"/>
  <c r="E53" i="14"/>
  <c r="H54" i="26"/>
  <c r="C61" i="29"/>
  <c r="D63" i="34"/>
  <c r="D70" i="26"/>
  <c r="H55" i="18"/>
  <c r="E62" i="26"/>
  <c r="C51" i="14"/>
  <c r="D56" i="18"/>
  <c r="F59" i="14"/>
  <c r="H66" i="34"/>
  <c r="I74" i="29"/>
  <c r="I65" i="18"/>
  <c r="B68" i="28"/>
  <c r="C70" i="26"/>
  <c r="G55" i="18"/>
  <c r="I72" i="29"/>
  <c r="D69" i="34"/>
  <c r="G71" i="34"/>
  <c r="F58" i="29"/>
  <c r="C70" i="18"/>
  <c r="I72" i="18"/>
  <c r="C56" i="26"/>
  <c r="D72" i="18"/>
  <c r="H51" i="26"/>
  <c r="H68" i="31"/>
  <c r="H56" i="28"/>
  <c r="E52" i="14"/>
  <c r="B58" i="14"/>
  <c r="F70" i="31"/>
  <c r="D56" i="29"/>
  <c r="I47" i="27"/>
  <c r="E71" i="34"/>
  <c r="C59" i="34"/>
  <c r="B77" i="34"/>
  <c r="B66" i="27"/>
  <c r="D54" i="29"/>
  <c r="B76" i="18"/>
  <c r="H65" i="27"/>
  <c r="B60" i="29"/>
  <c r="B58" i="28"/>
  <c r="I55" i="29"/>
  <c r="H70" i="26"/>
  <c r="E61" i="26"/>
  <c r="D48" i="26"/>
  <c r="H54" i="34"/>
  <c r="C162" i="27"/>
  <c r="B126" i="32"/>
  <c r="B128" i="31"/>
  <c r="I61" i="14"/>
  <c r="D73" i="31"/>
  <c r="C51" i="26"/>
  <c r="H168" i="14"/>
  <c r="B74" i="34"/>
  <c r="B55" i="34"/>
  <c r="G55" i="28"/>
  <c r="E71" i="29"/>
  <c r="E48" i="14"/>
  <c r="C65" i="28"/>
  <c r="D48" i="27"/>
  <c r="F59" i="28"/>
  <c r="G75" i="28"/>
  <c r="D70" i="28"/>
  <c r="B103" i="32"/>
  <c r="D56" i="32"/>
  <c r="H59" i="14"/>
  <c r="E66" i="27"/>
  <c r="I67" i="18"/>
  <c r="D57" i="29"/>
  <c r="I168" i="14"/>
  <c r="C76" i="18"/>
  <c r="H126" i="32"/>
  <c r="I54" i="27"/>
  <c r="I62" i="18"/>
  <c r="D75" i="34"/>
  <c r="G56" i="14"/>
  <c r="E51" i="27"/>
  <c r="B76" i="28"/>
  <c r="C72" i="18"/>
  <c r="B69" i="18"/>
  <c r="B67" i="26"/>
  <c r="E64" i="26"/>
  <c r="G65" i="31"/>
  <c r="B63" i="28"/>
  <c r="H74" i="29"/>
  <c r="H194" i="18"/>
  <c r="F56" i="26"/>
  <c r="B67" i="29"/>
  <c r="H67" i="29"/>
  <c r="H64" i="27"/>
  <c r="G171" i="32"/>
  <c r="E67" i="14"/>
  <c r="F54" i="26"/>
  <c r="H77" i="18"/>
  <c r="D67" i="34"/>
  <c r="B56" i="27"/>
  <c r="E45" i="14"/>
  <c r="I76" i="18"/>
  <c r="B70" i="26"/>
  <c r="C77" i="28"/>
  <c r="E63" i="29"/>
  <c r="D65" i="34"/>
  <c r="H65" i="29"/>
  <c r="B80" i="31"/>
  <c r="E59" i="14"/>
  <c r="H74" i="28"/>
  <c r="E62" i="14"/>
  <c r="H69" i="29"/>
  <c r="H62" i="26"/>
  <c r="E60" i="26"/>
  <c r="C64" i="34"/>
  <c r="C74" i="29"/>
  <c r="E70" i="29"/>
  <c r="F73" i="31"/>
  <c r="I60" i="27"/>
  <c r="B66" i="18"/>
  <c r="F61" i="29"/>
  <c r="I55" i="18"/>
  <c r="C147" i="31"/>
  <c r="C60" i="29"/>
  <c r="C117" i="32"/>
  <c r="D74" i="28"/>
  <c r="H58" i="26"/>
  <c r="H55" i="29"/>
  <c r="B56" i="18"/>
  <c r="D68" i="31"/>
  <c r="G69" i="29"/>
  <c r="D54" i="27"/>
  <c r="B152" i="32"/>
  <c r="G58" i="27"/>
  <c r="H73" i="18"/>
  <c r="I55" i="26"/>
  <c r="H74" i="18"/>
  <c r="C58" i="28"/>
  <c r="I64" i="18"/>
  <c r="H56" i="26"/>
  <c r="G51" i="14"/>
  <c r="C55" i="14"/>
  <c r="G76" i="18"/>
  <c r="H73" i="31"/>
  <c r="F59" i="29"/>
  <c r="I45" i="14"/>
  <c r="G64" i="26"/>
  <c r="F56" i="29"/>
  <c r="C56" i="28"/>
  <c r="F53" i="32"/>
  <c r="B149" i="32"/>
  <c r="B151" i="32"/>
  <c r="H71" i="18"/>
  <c r="B59" i="31"/>
  <c r="D63" i="28"/>
  <c r="D74" i="31"/>
  <c r="H62" i="34"/>
  <c r="H69" i="14"/>
  <c r="D73" i="34"/>
  <c r="I51" i="14"/>
  <c r="B47" i="31"/>
  <c r="D56" i="27"/>
  <c r="G70" i="27"/>
  <c r="F65" i="14"/>
  <c r="G71" i="32"/>
  <c r="D64" i="29"/>
  <c r="I57" i="14"/>
  <c r="H58" i="31"/>
  <c r="G67" i="18"/>
  <c r="G61" i="28"/>
  <c r="C55" i="28"/>
  <c r="G49" i="14"/>
  <c r="G60" i="31"/>
  <c r="E51" i="14"/>
  <c r="I60" i="18"/>
  <c r="G63" i="29"/>
  <c r="D76" i="29"/>
  <c r="G67" i="27"/>
  <c r="I73" i="29"/>
  <c r="D76" i="28"/>
  <c r="G151" i="32"/>
  <c r="F168" i="14"/>
  <c r="B67" i="34"/>
  <c r="D68" i="34"/>
  <c r="D70" i="31"/>
  <c r="C67" i="18"/>
  <c r="F58" i="28"/>
  <c r="F50" i="26"/>
  <c r="G62" i="14"/>
  <c r="C46" i="14"/>
  <c r="H67" i="34"/>
  <c r="H59" i="28"/>
  <c r="D126" i="32"/>
  <c r="H50" i="14"/>
  <c r="G68" i="27"/>
  <c r="B62" i="26"/>
  <c r="F57" i="29"/>
  <c r="E65" i="29"/>
  <c r="C75" i="28"/>
  <c r="G66" i="27"/>
  <c r="C66" i="18"/>
  <c r="B64" i="32"/>
  <c r="G63" i="26"/>
  <c r="G66" i="26"/>
  <c r="F63" i="32"/>
  <c r="D77" i="28"/>
  <c r="C58" i="31"/>
  <c r="C58" i="27"/>
  <c r="F163" i="26"/>
  <c r="E48" i="27"/>
  <c r="C69" i="31"/>
  <c r="C52" i="27"/>
  <c r="F66" i="28"/>
  <c r="F58" i="26"/>
  <c r="D58" i="14"/>
  <c r="H55" i="28"/>
  <c r="E70" i="27"/>
  <c r="F77" i="28"/>
  <c r="B50" i="27"/>
  <c r="I61" i="29"/>
  <c r="F55" i="32"/>
  <c r="F63" i="29"/>
  <c r="G47" i="31"/>
  <c r="B162" i="27"/>
  <c r="I52" i="26"/>
  <c r="B76" i="29"/>
  <c r="G63" i="28"/>
  <c r="H57" i="34"/>
  <c r="B73" i="34"/>
  <c r="F61" i="26"/>
  <c r="C67" i="34"/>
  <c r="C45" i="27"/>
  <c r="H63" i="31"/>
  <c r="I68" i="28"/>
  <c r="I69" i="34"/>
  <c r="C55" i="27"/>
  <c r="G57" i="34"/>
  <c r="I59" i="29"/>
  <c r="B72" i="18"/>
  <c r="D75" i="18"/>
  <c r="H61" i="34"/>
  <c r="H65" i="34"/>
  <c r="I67" i="26"/>
  <c r="H45" i="26"/>
  <c r="B74" i="18"/>
  <c r="D128" i="31"/>
  <c r="C67" i="27"/>
  <c r="G149" i="32"/>
  <c r="G64" i="34"/>
  <c r="G70" i="26"/>
  <c r="D77" i="29"/>
  <c r="D55" i="14"/>
  <c r="G57" i="28"/>
  <c r="C75" i="18"/>
  <c r="G63" i="31"/>
  <c r="F61" i="32"/>
  <c r="B69" i="31"/>
  <c r="H67" i="28"/>
  <c r="C58" i="26"/>
  <c r="G49" i="26"/>
  <c r="H60" i="28"/>
  <c r="G57" i="27"/>
  <c r="I46" i="14"/>
  <c r="B66" i="14"/>
  <c r="B168" i="14"/>
  <c r="B147" i="31"/>
  <c r="B59" i="28"/>
  <c r="C72" i="28"/>
  <c r="F162" i="32"/>
  <c r="F67" i="31"/>
  <c r="C76" i="34"/>
  <c r="D55" i="28"/>
  <c r="H53" i="32"/>
  <c r="I67" i="29"/>
  <c r="C53" i="14"/>
  <c r="C49" i="26"/>
  <c r="D59" i="18"/>
  <c r="B60" i="27"/>
  <c r="H70" i="27"/>
  <c r="I76" i="29"/>
  <c r="G73" i="32"/>
  <c r="B71" i="28"/>
  <c r="B70" i="28"/>
  <c r="C48" i="14"/>
  <c r="C49" i="14"/>
  <c r="F67" i="28"/>
  <c r="G67" i="29"/>
  <c r="I65" i="26"/>
  <c r="B65" i="18"/>
  <c r="E75" i="34"/>
  <c r="C56" i="14"/>
  <c r="I63" i="14"/>
  <c r="H76" i="29"/>
  <c r="G68" i="28"/>
  <c r="G49" i="27"/>
  <c r="H61" i="32"/>
  <c r="I57" i="29"/>
  <c r="G48" i="26"/>
  <c r="B53" i="32"/>
  <c r="G59" i="18"/>
  <c r="F48" i="26"/>
  <c r="C64" i="29"/>
  <c r="E69" i="29"/>
  <c r="F133" i="32"/>
  <c r="E62" i="34"/>
  <c r="I52" i="14"/>
  <c r="H68" i="18"/>
  <c r="F56" i="32"/>
  <c r="B52" i="26"/>
  <c r="D70" i="18"/>
  <c r="F61" i="14"/>
  <c r="B63" i="14"/>
  <c r="B73" i="28"/>
  <c r="H107" i="31"/>
  <c r="H49" i="26"/>
  <c r="H77" i="34"/>
  <c r="C71" i="34"/>
  <c r="I71" i="18"/>
  <c r="G128" i="31"/>
  <c r="D70" i="34"/>
  <c r="E70" i="34"/>
  <c r="H54" i="27"/>
  <c r="E52" i="27"/>
  <c r="F67" i="14"/>
  <c r="D62" i="27"/>
  <c r="H55" i="27"/>
  <c r="B74" i="29"/>
  <c r="G163" i="26"/>
  <c r="D47" i="27"/>
  <c r="G60" i="28"/>
  <c r="E57" i="34"/>
  <c r="G58" i="34"/>
  <c r="H66" i="27"/>
  <c r="B75" i="28"/>
  <c r="D56" i="28"/>
  <c r="B61" i="14"/>
  <c r="C61" i="18"/>
  <c r="D55" i="18"/>
  <c r="B64" i="29"/>
  <c r="H57" i="32"/>
  <c r="H68" i="29"/>
  <c r="B31" i="31"/>
  <c r="G60" i="27"/>
  <c r="I65" i="27"/>
  <c r="I63" i="18"/>
  <c r="I66" i="28"/>
  <c r="B56" i="32"/>
  <c r="H56" i="14"/>
  <c r="C69" i="34"/>
  <c r="D47" i="31"/>
  <c r="F71" i="28"/>
  <c r="E66" i="26"/>
  <c r="I70" i="26"/>
  <c r="H56" i="32"/>
  <c r="G103" i="32"/>
  <c r="B58" i="34"/>
  <c r="D66" i="18"/>
  <c r="F64" i="14"/>
  <c r="G55" i="32"/>
  <c r="B70" i="34"/>
  <c r="I71" i="28"/>
  <c r="I77" i="28"/>
  <c r="C126" i="32"/>
  <c r="B71" i="34"/>
  <c r="H66" i="29"/>
  <c r="F63" i="31"/>
  <c r="G77" i="28"/>
  <c r="C81" i="32"/>
  <c r="D61" i="29"/>
  <c r="E76" i="29"/>
  <c r="F63" i="26"/>
  <c r="C51" i="27"/>
  <c r="H56" i="27"/>
  <c r="E65" i="26"/>
  <c r="G66" i="28"/>
  <c r="H75" i="34"/>
  <c r="C55" i="18"/>
  <c r="B162" i="32"/>
  <c r="C47" i="31"/>
  <c r="C57" i="34"/>
  <c r="I65" i="14"/>
  <c r="G62" i="18"/>
  <c r="C65" i="26"/>
  <c r="C58" i="29"/>
  <c r="D66" i="28"/>
  <c r="B71" i="32"/>
  <c r="H72" i="29"/>
  <c r="F64" i="18"/>
  <c r="E56" i="18"/>
  <c r="F70" i="34"/>
  <c r="Q66" i="34" l="1"/>
  <c r="Q67" i="28"/>
  <c r="R66" i="34" s="1"/>
  <c r="P64" i="18"/>
  <c r="Q64" i="18"/>
  <c r="R64" i="18" s="1"/>
  <c r="X61" i="32" s="1"/>
  <c r="Q77" i="34"/>
  <c r="P78" i="28"/>
  <c r="Q56" i="28"/>
  <c r="P56" i="28"/>
  <c r="Q68" i="28"/>
  <c r="P68" i="28"/>
  <c r="Q65" i="28"/>
  <c r="P65" i="28"/>
  <c r="Q71" i="18"/>
  <c r="Z71" i="18"/>
  <c r="AB71" i="18" s="1"/>
  <c r="Z103" i="32" s="1"/>
  <c r="Z66" i="18"/>
  <c r="AB66" i="18" s="1"/>
  <c r="Z63" i="32" s="1"/>
  <c r="Q66" i="18"/>
  <c r="R66" i="18" s="1"/>
  <c r="X63" i="32" s="1"/>
  <c r="Z69" i="18"/>
  <c r="AB69" i="18" s="1"/>
  <c r="Z127" i="32" s="1"/>
  <c r="Q69" i="18"/>
  <c r="R69" i="18" s="1"/>
  <c r="X127" i="32" s="1"/>
  <c r="Z77" i="18"/>
  <c r="AB77" i="18" s="1"/>
  <c r="Z74" i="32" s="1"/>
  <c r="Q77" i="18"/>
  <c r="R77" i="18" s="1"/>
  <c r="X74" i="32" s="1"/>
  <c r="Z61" i="18"/>
  <c r="AB61" i="18" s="1"/>
  <c r="Z149" i="32" s="1"/>
  <c r="Q61" i="18"/>
  <c r="R61" i="18" s="1"/>
  <c r="X149" i="32" s="1"/>
  <c r="Q59" i="18"/>
  <c r="R59" i="18" s="1"/>
  <c r="X56" i="32" s="1"/>
  <c r="Z59" i="18"/>
  <c r="AB59" i="18" s="1"/>
  <c r="Z56" i="32" s="1"/>
  <c r="Z56" i="18"/>
  <c r="AB56" i="18" s="1"/>
  <c r="Q56" i="18"/>
  <c r="R56" i="18" s="1"/>
  <c r="X53" i="32" s="1"/>
  <c r="Q63" i="18"/>
  <c r="Z63" i="18"/>
  <c r="AB63" i="18" s="1"/>
  <c r="Z55" i="32" s="1"/>
  <c r="Z64" i="18"/>
  <c r="Z70" i="18"/>
  <c r="AB70" i="18" s="1"/>
  <c r="Z161" i="32" s="1"/>
  <c r="Q70" i="18"/>
  <c r="R70" i="18" s="1"/>
  <c r="X161" i="32" s="1"/>
  <c r="Z73" i="18"/>
  <c r="AB73" i="18" s="1"/>
  <c r="Z162" i="32" s="1"/>
  <c r="Q73" i="18"/>
  <c r="R73" i="18" s="1"/>
  <c r="X162" i="32" s="1"/>
  <c r="Z194" i="18"/>
  <c r="AB194" i="18" s="1"/>
  <c r="Z185" i="32" s="1"/>
  <c r="Z60" i="18"/>
  <c r="AB60" i="18" s="1"/>
  <c r="Z57" i="32" s="1"/>
  <c r="Q60" i="18"/>
  <c r="R60" i="18" s="1"/>
  <c r="X57" i="32" s="1"/>
  <c r="Z68" i="18"/>
  <c r="AB68" i="18" s="1"/>
  <c r="Z151" i="32" s="1"/>
  <c r="Q68" i="18"/>
  <c r="Q55" i="18"/>
  <c r="Z55" i="18"/>
  <c r="AB55" i="18" s="1"/>
  <c r="Z126" i="32" s="1"/>
  <c r="Q74" i="18"/>
  <c r="Z74" i="18"/>
  <c r="AB74" i="18" s="1"/>
  <c r="Z71" i="32" s="1"/>
  <c r="Z62" i="18"/>
  <c r="AB62" i="18" s="1"/>
  <c r="Z59" i="32" s="1"/>
  <c r="Q62" i="18"/>
  <c r="R62" i="18" s="1"/>
  <c r="X59" i="32" s="1"/>
  <c r="Q72" i="18"/>
  <c r="Z72" i="18"/>
  <c r="AB72" i="18" s="1"/>
  <c r="Z117" i="32" s="1"/>
  <c r="Q67" i="18"/>
  <c r="R67" i="18" s="1"/>
  <c r="X64" i="32" s="1"/>
  <c r="Z67" i="18"/>
  <c r="AB67" i="18" s="1"/>
  <c r="Z64" i="32" s="1"/>
  <c r="Z57" i="18"/>
  <c r="AB57" i="18" s="1"/>
  <c r="Z133" i="32" s="1"/>
  <c r="Q57" i="18"/>
  <c r="R57" i="18" s="1"/>
  <c r="X133" i="32" s="1"/>
  <c r="Q75" i="18"/>
  <c r="R75" i="18" s="1"/>
  <c r="X152" i="32" s="1"/>
  <c r="Z75" i="18"/>
  <c r="AB75" i="18" s="1"/>
  <c r="Z152" i="32" s="1"/>
  <c r="Z76" i="18"/>
  <c r="Q76" i="18"/>
  <c r="R76" i="18" s="1"/>
  <c r="X73" i="32" s="1"/>
  <c r="Z65" i="18"/>
  <c r="AB65" i="18" s="1"/>
  <c r="Z81" i="32" s="1"/>
  <c r="Q65" i="18"/>
  <c r="R65" i="18" s="1"/>
  <c r="X81" i="32" s="1"/>
  <c r="Q170" i="18"/>
  <c r="R170" i="18" s="1"/>
  <c r="X25" i="32" s="1"/>
  <c r="Z58" i="18"/>
  <c r="AB58" i="18" s="1"/>
  <c r="Z171" i="32" s="1"/>
  <c r="Q58" i="18"/>
  <c r="R58" i="18" s="1"/>
  <c r="X171" i="32" s="1"/>
  <c r="P70" i="34"/>
  <c r="J64" i="18"/>
  <c r="W61" i="32" s="1"/>
  <c r="Q71" i="28"/>
  <c r="R71" i="28" s="1"/>
  <c r="Q161" i="32" s="1"/>
  <c r="V161" i="32" s="1"/>
  <c r="AE161" i="32" s="1"/>
  <c r="Q72" i="28"/>
  <c r="R71" i="34" s="1"/>
  <c r="Q70" i="28"/>
  <c r="R69" i="34" s="1"/>
  <c r="R68" i="18"/>
  <c r="X151" i="32" s="1"/>
  <c r="K45" i="27"/>
  <c r="M45" i="27" s="1"/>
  <c r="Q67" i="34"/>
  <c r="Q56" i="34"/>
  <c r="Q59" i="28"/>
  <c r="R58" i="34" s="1"/>
  <c r="Q58" i="28"/>
  <c r="R58" i="28" s="1"/>
  <c r="Q133" i="32" s="1"/>
  <c r="Q66" i="28"/>
  <c r="R65" i="34" s="1"/>
  <c r="Q62" i="28"/>
  <c r="R62" i="28" s="1"/>
  <c r="AL61" i="34" s="1"/>
  <c r="Q78" i="28"/>
  <c r="Q194" i="18"/>
  <c r="R194" i="18" s="1"/>
  <c r="X185" i="32" s="1"/>
  <c r="R68" i="34"/>
  <c r="R71" i="18"/>
  <c r="X103" i="32" s="1"/>
  <c r="Q60" i="28"/>
  <c r="Q55" i="34"/>
  <c r="Q64" i="34"/>
  <c r="S64" i="18"/>
  <c r="Y61" i="32" s="1"/>
  <c r="Q76" i="28"/>
  <c r="R75" i="34" s="1"/>
  <c r="N70" i="34"/>
  <c r="M70" i="34"/>
  <c r="O70" i="34"/>
  <c r="N64" i="34"/>
  <c r="P64" i="34"/>
  <c r="P77" i="34"/>
  <c r="N67" i="34"/>
  <c r="M56" i="34"/>
  <c r="N75" i="34"/>
  <c r="O73" i="34"/>
  <c r="N76" i="34"/>
  <c r="P67" i="34"/>
  <c r="M75" i="34"/>
  <c r="M69" i="34"/>
  <c r="M67" i="34"/>
  <c r="O56" i="34"/>
  <c r="O75" i="34"/>
  <c r="O59" i="34"/>
  <c r="O63" i="34"/>
  <c r="M57" i="34"/>
  <c r="M74" i="34"/>
  <c r="M73" i="34"/>
  <c r="N56" i="34"/>
  <c r="P69" i="34"/>
  <c r="N73" i="34"/>
  <c r="M71" i="34"/>
  <c r="M66" i="34"/>
  <c r="P59" i="34"/>
  <c r="P73" i="34"/>
  <c r="P62" i="34"/>
  <c r="O71" i="34"/>
  <c r="P74" i="34"/>
  <c r="P72" i="34"/>
  <c r="N74" i="34"/>
  <c r="O74" i="34"/>
  <c r="O72" i="34"/>
  <c r="O60" i="34"/>
  <c r="N72" i="34"/>
  <c r="P71" i="34"/>
  <c r="K51" i="27"/>
  <c r="M51" i="27" s="1"/>
  <c r="S58" i="31" s="1"/>
  <c r="J66" i="18"/>
  <c r="Q61" i="28"/>
  <c r="Q60" i="34"/>
  <c r="Q73" i="34"/>
  <c r="Q74" i="28"/>
  <c r="J75" i="18"/>
  <c r="S60" i="18"/>
  <c r="Y57" i="32" s="1"/>
  <c r="J65" i="18"/>
  <c r="J68" i="18"/>
  <c r="J74" i="18"/>
  <c r="J56" i="18"/>
  <c r="J62" i="18"/>
  <c r="J71" i="18"/>
  <c r="J67" i="18"/>
  <c r="S73" i="18"/>
  <c r="Y162" i="32" s="1"/>
  <c r="S66" i="18"/>
  <c r="Y63" i="32" s="1"/>
  <c r="P60" i="34"/>
  <c r="J63" i="18"/>
  <c r="J194" i="18"/>
  <c r="W185" i="32" s="1"/>
  <c r="S194" i="18"/>
  <c r="Y185" i="32" s="1"/>
  <c r="R57" i="28"/>
  <c r="Q185" i="32" s="1"/>
  <c r="V185" i="32" s="1"/>
  <c r="AE185" i="32" s="1"/>
  <c r="R56" i="34"/>
  <c r="N65" i="34"/>
  <c r="O65" i="34"/>
  <c r="P65" i="34"/>
  <c r="M65" i="34"/>
  <c r="M68" i="34"/>
  <c r="M54" i="34"/>
  <c r="O54" i="34"/>
  <c r="N54" i="34"/>
  <c r="O69" i="34"/>
  <c r="K50" i="27"/>
  <c r="M50" i="27" s="1"/>
  <c r="S90" i="31" s="1"/>
  <c r="K46" i="27"/>
  <c r="M46" i="27" s="1"/>
  <c r="S118" i="31" s="1"/>
  <c r="K48" i="27"/>
  <c r="M48" i="27" s="1"/>
  <c r="S55" i="31" s="1"/>
  <c r="K52" i="27"/>
  <c r="M52" i="27" s="1"/>
  <c r="S177" i="31" s="1"/>
  <c r="S63" i="18"/>
  <c r="Y55" i="32" s="1"/>
  <c r="P68" i="34"/>
  <c r="O62" i="34"/>
  <c r="M62" i="34"/>
  <c r="P54" i="34"/>
  <c r="S76" i="18"/>
  <c r="Y73" i="32" s="1"/>
  <c r="J76" i="18"/>
  <c r="S55" i="18"/>
  <c r="O58" i="34"/>
  <c r="M58" i="34"/>
  <c r="P58" i="34"/>
  <c r="N58" i="34"/>
  <c r="J70" i="18"/>
  <c r="Q55" i="28"/>
  <c r="J73" i="18"/>
  <c r="AB64" i="18"/>
  <c r="Z61" i="32" s="1"/>
  <c r="M72" i="34"/>
  <c r="N71" i="34"/>
  <c r="S67" i="18"/>
  <c r="Y64" i="32" s="1"/>
  <c r="R74" i="18"/>
  <c r="X71" i="32" s="1"/>
  <c r="N68" i="34"/>
  <c r="P57" i="34"/>
  <c r="N57" i="34"/>
  <c r="O57" i="34"/>
  <c r="P63" i="34"/>
  <c r="M63" i="34"/>
  <c r="N63" i="34"/>
  <c r="N59" i="34"/>
  <c r="R63" i="28"/>
  <c r="R62" i="34"/>
  <c r="K47" i="27"/>
  <c r="M47" i="27" s="1"/>
  <c r="S107" i="31" s="1"/>
  <c r="P56" i="34"/>
  <c r="Q62" i="34"/>
  <c r="K49" i="27"/>
  <c r="M49" i="27" s="1"/>
  <c r="S73" i="31" s="1"/>
  <c r="O68" i="34"/>
  <c r="S59" i="18"/>
  <c r="Y56" i="32" s="1"/>
  <c r="J59" i="18"/>
  <c r="S72" i="18"/>
  <c r="Y117" i="32" s="1"/>
  <c r="J72" i="18"/>
  <c r="O61" i="34"/>
  <c r="N61" i="34"/>
  <c r="P61" i="34"/>
  <c r="M61" i="34"/>
  <c r="R72" i="34"/>
  <c r="R73" i="28"/>
  <c r="S71" i="18"/>
  <c r="Y103" i="32" s="1"/>
  <c r="O66" i="34"/>
  <c r="N66" i="34"/>
  <c r="N55" i="34"/>
  <c r="O55" i="34"/>
  <c r="P55" i="34"/>
  <c r="M55" i="34"/>
  <c r="Q76" i="34"/>
  <c r="AB57" i="34"/>
  <c r="AB58" i="28"/>
  <c r="M59" i="34"/>
  <c r="N69" i="34"/>
  <c r="Z56" i="28"/>
  <c r="S62" i="18"/>
  <c r="Y59" i="32" s="1"/>
  <c r="Z68" i="28"/>
  <c r="S56" i="18"/>
  <c r="Y53" i="32" s="1"/>
  <c r="Q72" i="34"/>
  <c r="P66" i="34"/>
  <c r="Q151" i="32"/>
  <c r="V151" i="32" s="1"/>
  <c r="AE151" i="32" s="1"/>
  <c r="AL68" i="34"/>
  <c r="AL69" i="28"/>
  <c r="O67" i="34"/>
  <c r="Q57" i="34"/>
  <c r="R68" i="28"/>
  <c r="Q64" i="32" s="1"/>
  <c r="R67" i="34"/>
  <c r="J55" i="18"/>
  <c r="S70" i="18"/>
  <c r="Y161" i="32" s="1"/>
  <c r="O77" i="34"/>
  <c r="Q68" i="34"/>
  <c r="O76" i="34"/>
  <c r="M76" i="34"/>
  <c r="P76" i="34"/>
  <c r="S69" i="18"/>
  <c r="Y127" i="32" s="1"/>
  <c r="J69" i="18"/>
  <c r="S61" i="18"/>
  <c r="Q63" i="34"/>
  <c r="Q64" i="28"/>
  <c r="O64" i="34"/>
  <c r="S74" i="18"/>
  <c r="Y71" i="32" s="1"/>
  <c r="J57" i="18"/>
  <c r="S77" i="18"/>
  <c r="Y74" i="32" s="1"/>
  <c r="S68" i="18"/>
  <c r="Y151" i="32" s="1"/>
  <c r="AB76" i="18"/>
  <c r="Z73" i="32" s="1"/>
  <c r="R52" i="18"/>
  <c r="J77" i="18"/>
  <c r="S57" i="18"/>
  <c r="Y133" i="32" s="1"/>
  <c r="Q74" i="34"/>
  <c r="Q75" i="28"/>
  <c r="R72" i="18"/>
  <c r="X117" i="32" s="1"/>
  <c r="S65" i="18"/>
  <c r="Y81" i="32" s="1"/>
  <c r="M64" i="34"/>
  <c r="S58" i="18"/>
  <c r="J60" i="18"/>
  <c r="S75" i="18"/>
  <c r="Y152" i="32" s="1"/>
  <c r="R77" i="34" l="1"/>
  <c r="R56" i="28"/>
  <c r="Q53" i="32" s="1"/>
  <c r="R65" i="28"/>
  <c r="AL64" i="34" s="1"/>
  <c r="R55" i="34"/>
  <c r="R64" i="34"/>
  <c r="R78" i="28"/>
  <c r="AL77" i="34" s="1"/>
  <c r="AC185" i="32"/>
  <c r="AG185" i="32" s="1"/>
  <c r="AD185" i="32"/>
  <c r="AL62" i="28"/>
  <c r="R59" i="28"/>
  <c r="AL59" i="28" s="1"/>
  <c r="Q149" i="32"/>
  <c r="V149" i="32" s="1"/>
  <c r="AE149" i="32" s="1"/>
  <c r="R61" i="34"/>
  <c r="R76" i="28"/>
  <c r="AL76" i="28" s="1"/>
  <c r="AC61" i="32"/>
  <c r="R55" i="18"/>
  <c r="X126" i="32" s="1"/>
  <c r="R72" i="28"/>
  <c r="AL72" i="28" s="1"/>
  <c r="R67" i="28"/>
  <c r="Q63" i="32" s="1"/>
  <c r="V63" i="32" s="1"/>
  <c r="AE63" i="32" s="1"/>
  <c r="R70" i="28"/>
  <c r="Q127" i="32" s="1"/>
  <c r="V127" i="32" s="1"/>
  <c r="R66" i="28"/>
  <c r="Q81" i="32" s="1"/>
  <c r="V81" i="32" s="1"/>
  <c r="AE81" i="32" s="1"/>
  <c r="AL71" i="28"/>
  <c r="AL70" i="34"/>
  <c r="R70" i="34"/>
  <c r="R57" i="34"/>
  <c r="R59" i="34"/>
  <c r="R60" i="28"/>
  <c r="Y171" i="32"/>
  <c r="AC171" i="32" s="1"/>
  <c r="AL58" i="18"/>
  <c r="AD151" i="32"/>
  <c r="AB67" i="34"/>
  <c r="AB68" i="28"/>
  <c r="R76" i="34"/>
  <c r="R77" i="28"/>
  <c r="W73" i="31"/>
  <c r="V73" i="31"/>
  <c r="V107" i="31"/>
  <c r="W107" i="31"/>
  <c r="Y126" i="32"/>
  <c r="W177" i="31"/>
  <c r="V177" i="31"/>
  <c r="AL57" i="28"/>
  <c r="AL56" i="34"/>
  <c r="S52" i="31"/>
  <c r="AL67" i="18"/>
  <c r="W64" i="32"/>
  <c r="AC64" i="32" s="1"/>
  <c r="AL74" i="18"/>
  <c r="W71" i="32"/>
  <c r="AC71" i="32" s="1"/>
  <c r="W152" i="32"/>
  <c r="AC152" i="32" s="1"/>
  <c r="AL75" i="18"/>
  <c r="R60" i="34"/>
  <c r="R61" i="28"/>
  <c r="X49" i="32"/>
  <c r="AC49" i="32" s="1"/>
  <c r="AG49" i="32" s="1"/>
  <c r="AL52" i="18"/>
  <c r="AL77" i="18"/>
  <c r="W74" i="32"/>
  <c r="AC74" i="32" s="1"/>
  <c r="AL57" i="18"/>
  <c r="W133" i="32"/>
  <c r="AC133" i="32" s="1"/>
  <c r="R63" i="34"/>
  <c r="R64" i="28"/>
  <c r="Y149" i="32"/>
  <c r="AC149" i="32" s="1"/>
  <c r="AL61" i="18"/>
  <c r="S133" i="32"/>
  <c r="V133" i="32" s="1"/>
  <c r="AE133" i="32" s="1"/>
  <c r="AL57" i="34"/>
  <c r="AL58" i="28"/>
  <c r="AL72" i="34"/>
  <c r="AL73" i="28"/>
  <c r="Q117" i="32"/>
  <c r="V117" i="32" s="1"/>
  <c r="AE117" i="32" s="1"/>
  <c r="W56" i="32"/>
  <c r="AC56" i="32" s="1"/>
  <c r="AL59" i="18"/>
  <c r="AL73" i="18"/>
  <c r="W162" i="32"/>
  <c r="AC162" i="32" s="1"/>
  <c r="W118" i="31"/>
  <c r="V118" i="31"/>
  <c r="W103" i="32"/>
  <c r="AC103" i="32" s="1"/>
  <c r="AL71" i="18"/>
  <c r="AL68" i="18"/>
  <c r="W151" i="32"/>
  <c r="AC151" i="32" s="1"/>
  <c r="AG151" i="32" s="1"/>
  <c r="R74" i="28"/>
  <c r="R73" i="34"/>
  <c r="W63" i="32"/>
  <c r="AC63" i="32" s="1"/>
  <c r="AL66" i="18"/>
  <c r="Z53" i="32"/>
  <c r="R75" i="28"/>
  <c r="R74" i="34"/>
  <c r="W127" i="32"/>
  <c r="AC127" i="32" s="1"/>
  <c r="AL69" i="18"/>
  <c r="AB55" i="34"/>
  <c r="AB56" i="28"/>
  <c r="Q59" i="32"/>
  <c r="V59" i="32" s="1"/>
  <c r="AE59" i="32" s="1"/>
  <c r="AL62" i="34"/>
  <c r="AL63" i="28"/>
  <c r="R54" i="34"/>
  <c r="R55" i="28"/>
  <c r="AL194" i="18"/>
  <c r="AL62" i="18"/>
  <c r="W59" i="32"/>
  <c r="AC59" i="32" s="1"/>
  <c r="W81" i="32"/>
  <c r="AC81" i="32" s="1"/>
  <c r="AL65" i="18"/>
  <c r="V58" i="31"/>
  <c r="W58" i="31"/>
  <c r="AL60" i="18"/>
  <c r="W57" i="32"/>
  <c r="AC57" i="32" s="1"/>
  <c r="W126" i="32"/>
  <c r="AL72" i="18"/>
  <c r="W117" i="32"/>
  <c r="AC117" i="32" s="1"/>
  <c r="AL70" i="18"/>
  <c r="W161" i="32"/>
  <c r="AC161" i="32" s="1"/>
  <c r="AG161" i="32" s="1"/>
  <c r="AL76" i="18"/>
  <c r="W73" i="32"/>
  <c r="AC73" i="32" s="1"/>
  <c r="W55" i="31"/>
  <c r="V55" i="31"/>
  <c r="W90" i="31"/>
  <c r="V90" i="31"/>
  <c r="W55" i="32"/>
  <c r="AD161" i="32"/>
  <c r="W53" i="32"/>
  <c r="AL56" i="18"/>
  <c r="AL64" i="18"/>
  <c r="Q61" i="32" l="1"/>
  <c r="V61" i="32" s="1"/>
  <c r="AE61" i="32" s="1"/>
  <c r="AL65" i="28"/>
  <c r="Q74" i="32"/>
  <c r="V74" i="32" s="1"/>
  <c r="AE74" i="32" s="1"/>
  <c r="AG149" i="32"/>
  <c r="AL78" i="28"/>
  <c r="AG81" i="32"/>
  <c r="AL75" i="34"/>
  <c r="AL66" i="34"/>
  <c r="Q152" i="32"/>
  <c r="V152" i="32" s="1"/>
  <c r="AE152" i="32" s="1"/>
  <c r="AG63" i="32"/>
  <c r="AG127" i="32"/>
  <c r="AL58" i="34"/>
  <c r="AG117" i="32"/>
  <c r="Q171" i="32"/>
  <c r="V171" i="32" s="1"/>
  <c r="AE171" i="32" s="1"/>
  <c r="AG59" i="32"/>
  <c r="AG133" i="32"/>
  <c r="AD127" i="32"/>
  <c r="AE127" i="32"/>
  <c r="AF185" i="32"/>
  <c r="AC126" i="32"/>
  <c r="Q103" i="32"/>
  <c r="V103" i="32" s="1"/>
  <c r="AE103" i="32" s="1"/>
  <c r="AD149" i="32"/>
  <c r="AC53" i="32"/>
  <c r="AL67" i="28"/>
  <c r="AL55" i="18"/>
  <c r="AD81" i="32"/>
  <c r="AL71" i="34"/>
  <c r="AL69" i="34"/>
  <c r="AL70" i="28"/>
  <c r="Q56" i="32"/>
  <c r="V56" i="32" s="1"/>
  <c r="AE56" i="32" s="1"/>
  <c r="AL60" i="28"/>
  <c r="AL59" i="34"/>
  <c r="AF161" i="32"/>
  <c r="AF59" i="32"/>
  <c r="Q126" i="32"/>
  <c r="V126" i="32" s="1"/>
  <c r="AE126" i="32" s="1"/>
  <c r="AL54" i="34"/>
  <c r="AL55" i="28"/>
  <c r="AD59" i="32"/>
  <c r="AF133" i="32"/>
  <c r="AL76" i="34"/>
  <c r="AL77" i="28"/>
  <c r="Q73" i="32"/>
  <c r="V73" i="32" s="1"/>
  <c r="AE73" i="32" s="1"/>
  <c r="S53" i="32"/>
  <c r="V53" i="32" s="1"/>
  <c r="AE53" i="32" s="1"/>
  <c r="AL55" i="34"/>
  <c r="AL56" i="28"/>
  <c r="AF127" i="32"/>
  <c r="AD63" i="32"/>
  <c r="Q162" i="32"/>
  <c r="V162" i="32" s="1"/>
  <c r="AE162" i="32" s="1"/>
  <c r="AL73" i="34"/>
  <c r="AL74" i="28"/>
  <c r="AD117" i="32"/>
  <c r="AF149" i="32"/>
  <c r="AF49" i="32"/>
  <c r="AF117" i="32"/>
  <c r="AF151" i="32"/>
  <c r="AD133" i="32"/>
  <c r="Q55" i="32"/>
  <c r="V55" i="32" s="1"/>
  <c r="AE55" i="32" s="1"/>
  <c r="AL63" i="34"/>
  <c r="AL64" i="28"/>
  <c r="AL60" i="34"/>
  <c r="Q57" i="32"/>
  <c r="V57" i="32" s="1"/>
  <c r="AE57" i="32" s="1"/>
  <c r="AL61" i="28"/>
  <c r="V52" i="31"/>
  <c r="W52" i="31"/>
  <c r="AL68" i="28"/>
  <c r="AL67" i="34"/>
  <c r="S64" i="32"/>
  <c r="V64" i="32" s="1"/>
  <c r="AE64" i="32" s="1"/>
  <c r="AF81" i="32"/>
  <c r="AL75" i="28"/>
  <c r="AL74" i="34"/>
  <c r="Q71" i="32"/>
  <c r="V71" i="32" s="1"/>
  <c r="AE71" i="32" s="1"/>
  <c r="AF63" i="32"/>
  <c r="AG61" i="32" l="1"/>
  <c r="AF61" i="32"/>
  <c r="AD61" i="32"/>
  <c r="AF74" i="32"/>
  <c r="AD74" i="32"/>
  <c r="AG74" i="32"/>
  <c r="AF152" i="32"/>
  <c r="AD152" i="32"/>
  <c r="AG152" i="32"/>
  <c r="AD171" i="32"/>
  <c r="AG53" i="32"/>
  <c r="AG171" i="32"/>
  <c r="AF171" i="32"/>
  <c r="AG126" i="32"/>
  <c r="AG64" i="32"/>
  <c r="AG73" i="32"/>
  <c r="AG103" i="32"/>
  <c r="AG71" i="32"/>
  <c r="AG57" i="32"/>
  <c r="AG162" i="32"/>
  <c r="AG56" i="32"/>
  <c r="AF103" i="32"/>
  <c r="AD103" i="32"/>
  <c r="AF64" i="32"/>
  <c r="AF56" i="32"/>
  <c r="AF53" i="32"/>
  <c r="AD56" i="32"/>
  <c r="AD162" i="32"/>
  <c r="AD53" i="32"/>
  <c r="AD71" i="32"/>
  <c r="AD55" i="32"/>
  <c r="AF57" i="32"/>
  <c r="AD73" i="32"/>
  <c r="AD126" i="32"/>
  <c r="AF71" i="32"/>
  <c r="AD64" i="32"/>
  <c r="AD57" i="32"/>
  <c r="AF73" i="32"/>
  <c r="AF162" i="32"/>
  <c r="AF126" i="32"/>
  <c r="R17" i="18" l="1"/>
  <c r="AL17" i="18" s="1"/>
  <c r="R35" i="18"/>
  <c r="X32" i="32" s="1"/>
  <c r="AC32" i="32" s="1"/>
  <c r="AG32" i="32" s="1"/>
  <c r="R63" i="18"/>
  <c r="R31" i="18"/>
  <c r="AL63" i="18" l="1"/>
  <c r="X55" i="32"/>
  <c r="AC55" i="32" s="1"/>
  <c r="AG55" i="32" s="1"/>
  <c r="X28" i="32"/>
  <c r="AC28" i="32" s="1"/>
  <c r="AG28" i="32" s="1"/>
  <c r="AL31" i="18"/>
  <c r="AL35" i="18"/>
  <c r="AF32" i="32"/>
  <c r="X33" i="32"/>
  <c r="AC33" i="32" s="1"/>
  <c r="AG33" i="32" s="1"/>
  <c r="AF55" i="32" l="1"/>
  <c r="AF28" i="32"/>
  <c r="AF33" i="32" l="1"/>
  <c r="S200" i="28"/>
  <c r="M88" i="27"/>
  <c r="S14" i="31"/>
  <c r="V14" i="31" s="1"/>
  <c r="W14" i="31" l="1"/>
  <c r="W175" i="32"/>
  <c r="Y85" i="32"/>
  <c r="E158" i="18"/>
  <c r="Z158" i="18" s="1"/>
  <c r="AB158" i="18" s="1"/>
  <c r="Z58" i="32" s="1"/>
  <c r="E164" i="18"/>
  <c r="Z164" i="18" s="1"/>
  <c r="AB164" i="18" s="1"/>
  <c r="Z21" i="32" s="1"/>
  <c r="E83" i="18"/>
  <c r="Z83" i="18" s="1"/>
  <c r="E177" i="28"/>
  <c r="R177" i="28" s="1"/>
  <c r="E86" i="18"/>
  <c r="Q86" i="18" s="1"/>
  <c r="R86" i="18" s="1"/>
  <c r="X163" i="32" s="1"/>
  <c r="E176" i="18"/>
  <c r="Z176" i="18" s="1"/>
  <c r="AB176" i="18" s="1"/>
  <c r="Z26" i="32" s="1"/>
  <c r="F170" i="27"/>
  <c r="E95" i="18"/>
  <c r="F116" i="27"/>
  <c r="B94" i="14"/>
  <c r="E178" i="18"/>
  <c r="Z178" i="18" s="1"/>
  <c r="AB178" i="18" s="1"/>
  <c r="E170" i="18"/>
  <c r="Z170" i="18" s="1"/>
  <c r="AB170" i="18" s="1"/>
  <c r="Z25" i="32" s="1"/>
  <c r="F123" i="18"/>
  <c r="F173" i="18"/>
  <c r="E157" i="18"/>
  <c r="Z157" i="18" s="1"/>
  <c r="AB157" i="18" s="1"/>
  <c r="Z174" i="32" s="1"/>
  <c r="F105" i="18"/>
  <c r="F119" i="18"/>
  <c r="E99" i="18"/>
  <c r="Z99" i="18" s="1"/>
  <c r="AB99" i="18" s="1"/>
  <c r="F129" i="27"/>
  <c r="E182" i="18"/>
  <c r="Z182" i="18" s="1"/>
  <c r="AB182" i="18" s="1"/>
  <c r="Z12" i="32" s="1"/>
  <c r="E82" i="18"/>
  <c r="Z82" i="18" s="1"/>
  <c r="AB82" i="18" s="1"/>
  <c r="Z154" i="32" s="1"/>
  <c r="E189" i="18"/>
  <c r="Z189" i="18" s="1"/>
  <c r="AB189" i="18" s="1"/>
  <c r="Z180" i="32" s="1"/>
  <c r="F75" i="27"/>
  <c r="F81" i="27"/>
  <c r="E169" i="18"/>
  <c r="Z169" i="18" s="1"/>
  <c r="AB169" i="18" s="1"/>
  <c r="Z164" i="32" s="1"/>
  <c r="E127" i="18"/>
  <c r="Z127" i="18" s="1"/>
  <c r="AB127" i="18" s="1"/>
  <c r="Z124" i="32" s="1"/>
  <c r="F179" i="18"/>
  <c r="F130" i="18"/>
  <c r="E103" i="18"/>
  <c r="E121" i="18"/>
  <c r="Q121" i="18" s="1"/>
  <c r="R121" i="18" s="1"/>
  <c r="X119" i="32" s="1"/>
  <c r="F123" i="27"/>
  <c r="F135" i="18"/>
  <c r="F163" i="27"/>
  <c r="F126" i="27"/>
  <c r="F184" i="27"/>
  <c r="F114" i="27"/>
  <c r="F164" i="27"/>
  <c r="F195" i="18"/>
  <c r="F145" i="18"/>
  <c r="E175" i="18"/>
  <c r="Q176" i="18" s="1"/>
  <c r="R176" i="18" s="1"/>
  <c r="X26" i="32" s="1"/>
  <c r="E190" i="18"/>
  <c r="E185" i="18"/>
  <c r="Z185" i="18" s="1"/>
  <c r="AB185" i="18" s="1"/>
  <c r="Z176" i="32" s="1"/>
  <c r="E133" i="18"/>
  <c r="Q133" i="18" s="1"/>
  <c r="R133" i="18" s="1"/>
  <c r="X130" i="32" s="1"/>
  <c r="E197" i="18"/>
  <c r="Z197" i="18" s="1"/>
  <c r="AB197" i="18" s="1"/>
  <c r="Z193" i="32" s="1"/>
  <c r="F153" i="27"/>
  <c r="F106" i="18"/>
  <c r="F138" i="18"/>
  <c r="F120" i="27"/>
  <c r="F178" i="18"/>
  <c r="E192" i="18"/>
  <c r="E125" i="28"/>
  <c r="Q124" i="34" s="1"/>
  <c r="F147" i="18"/>
  <c r="E193" i="28"/>
  <c r="Q189" i="34" s="1"/>
  <c r="E146" i="18"/>
  <c r="Z146" i="18" s="1"/>
  <c r="AB146" i="18" s="1"/>
  <c r="Z29" i="32" s="1"/>
  <c r="F109" i="27"/>
  <c r="F89" i="18"/>
  <c r="F166" i="27"/>
  <c r="E102" i="18"/>
  <c r="Z102" i="18" s="1"/>
  <c r="AB102" i="18" s="1"/>
  <c r="Z100" i="32" s="1"/>
  <c r="E196" i="18"/>
  <c r="Q196" i="18" s="1"/>
  <c r="R196" i="18" s="1"/>
  <c r="X188" i="32" s="1"/>
  <c r="E111" i="18"/>
  <c r="Z111" i="18" s="1"/>
  <c r="AB111" i="18" s="1"/>
  <c r="Z109" i="32" s="1"/>
  <c r="E172" i="18"/>
  <c r="Q175" i="18" s="1"/>
  <c r="R175" i="18" s="1"/>
  <c r="X30" i="32" s="1"/>
  <c r="E125" i="18"/>
  <c r="Z125" i="18" s="1"/>
  <c r="AB125" i="18" s="1"/>
  <c r="Z122" i="32" s="1"/>
  <c r="F178" i="27"/>
  <c r="E112" i="18"/>
  <c r="Q112" i="18" s="1"/>
  <c r="R112" i="18" s="1"/>
  <c r="X110" i="32" s="1"/>
  <c r="F169" i="27"/>
  <c r="E188" i="18"/>
  <c r="Q188" i="18" s="1"/>
  <c r="E195" i="18"/>
  <c r="Q195" i="18" s="1"/>
  <c r="R195" i="18" s="1"/>
  <c r="X186" i="32" s="1"/>
  <c r="E80" i="18"/>
  <c r="Q80" i="18" s="1"/>
  <c r="R80" i="18" s="1"/>
  <c r="X77" i="32" s="1"/>
  <c r="E147" i="18"/>
  <c r="Q147" i="18" s="1"/>
  <c r="R147" i="18" s="1"/>
  <c r="X189" i="32" s="1"/>
  <c r="F128" i="27"/>
  <c r="E123" i="18"/>
  <c r="Q123" i="18" s="1"/>
  <c r="R123" i="18" s="1"/>
  <c r="X181" i="32" s="1"/>
  <c r="F139" i="27"/>
  <c r="E156" i="18"/>
  <c r="Z156" i="18" s="1"/>
  <c r="AB156" i="18" s="1"/>
  <c r="Z138" i="32" s="1"/>
  <c r="F98" i="27"/>
  <c r="F166" i="18"/>
  <c r="F110" i="27"/>
  <c r="F146" i="18"/>
  <c r="F115" i="27"/>
  <c r="E180" i="18"/>
  <c r="F103" i="27"/>
  <c r="E178" i="28"/>
  <c r="Q175" i="34" s="1"/>
  <c r="E148" i="28"/>
  <c r="Q148" i="28" s="1"/>
  <c r="E147" i="28"/>
  <c r="Q145" i="34" s="1"/>
  <c r="F165" i="18"/>
  <c r="F177" i="34"/>
  <c r="F135" i="27"/>
  <c r="F72" i="27"/>
  <c r="E142" i="28"/>
  <c r="Q140" i="34" s="1"/>
  <c r="E198" i="18"/>
  <c r="Z198" i="18" s="1"/>
  <c r="AB198" i="18" s="1"/>
  <c r="Z196" i="32" s="1"/>
  <c r="F96" i="18"/>
  <c r="F111" i="27"/>
  <c r="F172" i="27"/>
  <c r="F101" i="18"/>
  <c r="F132" i="18"/>
  <c r="E179" i="18"/>
  <c r="Z179" i="18" s="1"/>
  <c r="AB179" i="18" s="1"/>
  <c r="Z194" i="32" s="1"/>
  <c r="F136" i="34"/>
  <c r="F192" i="34"/>
  <c r="F139" i="34"/>
  <c r="F182" i="34"/>
  <c r="E107" i="18"/>
  <c r="Q107" i="18" s="1"/>
  <c r="R107" i="18" s="1"/>
  <c r="X9" i="32" s="1"/>
  <c r="F127" i="18"/>
  <c r="E136" i="18"/>
  <c r="Q136" i="18" s="1"/>
  <c r="R136" i="18" s="1"/>
  <c r="X160" i="32" s="1"/>
  <c r="F150" i="18"/>
  <c r="F187" i="34"/>
  <c r="E110" i="18"/>
  <c r="Z110" i="18" s="1"/>
  <c r="AB110" i="18" s="1"/>
  <c r="Z99" i="32" s="1"/>
  <c r="E121" i="28"/>
  <c r="Q120" i="34" s="1"/>
  <c r="F94" i="18"/>
  <c r="E140" i="18"/>
  <c r="Q140" i="18" s="1"/>
  <c r="R140" i="18" s="1"/>
  <c r="X121" i="32" s="1"/>
  <c r="E152" i="18"/>
  <c r="Q152" i="18" s="1"/>
  <c r="R152" i="18" s="1"/>
  <c r="X148" i="32" s="1"/>
  <c r="E83" i="28"/>
  <c r="Q82" i="34" s="1"/>
  <c r="E81" i="18"/>
  <c r="Z81" i="18" s="1"/>
  <c r="AB81" i="18" s="1"/>
  <c r="Z66" i="32" s="1"/>
  <c r="E144" i="18"/>
  <c r="Z144" i="18" s="1"/>
  <c r="AB144" i="18" s="1"/>
  <c r="Z141" i="32" s="1"/>
  <c r="F191" i="18"/>
  <c r="F107" i="18"/>
  <c r="F188" i="18"/>
  <c r="E84" i="18"/>
  <c r="Q84" i="18" s="1"/>
  <c r="R84" i="18" s="1"/>
  <c r="X91" i="32" s="1"/>
  <c r="F143" i="27"/>
  <c r="F174" i="27"/>
  <c r="F138" i="34"/>
  <c r="F149" i="27"/>
  <c r="F85" i="27"/>
  <c r="F93" i="18"/>
  <c r="E182" i="28"/>
  <c r="Q182" i="28" s="1"/>
  <c r="F96" i="27"/>
  <c r="F90" i="18"/>
  <c r="F183" i="27"/>
  <c r="E171" i="18"/>
  <c r="Q172" i="18" s="1"/>
  <c r="R172" i="18" s="1"/>
  <c r="X51" i="32" s="1"/>
  <c r="F147" i="27"/>
  <c r="F91" i="18"/>
  <c r="F171" i="27"/>
  <c r="F133" i="18"/>
  <c r="F139" i="18"/>
  <c r="F184" i="18"/>
  <c r="E141" i="18"/>
  <c r="Q141" i="18" s="1"/>
  <c r="R141" i="18" s="1"/>
  <c r="X69" i="32" s="1"/>
  <c r="F79" i="18"/>
  <c r="E185" i="28"/>
  <c r="Q185" i="28" s="1"/>
  <c r="R185" i="28" s="1"/>
  <c r="F104" i="27"/>
  <c r="E98" i="28"/>
  <c r="Q97" i="34" s="1"/>
  <c r="F197" i="18"/>
  <c r="F126" i="34"/>
  <c r="F127" i="34"/>
  <c r="F91" i="34"/>
  <c r="E157" i="28"/>
  <c r="F78" i="27"/>
  <c r="F89" i="34"/>
  <c r="F102" i="27"/>
  <c r="E174" i="28"/>
  <c r="Q172" i="34" s="1"/>
  <c r="F193" i="18"/>
  <c r="F90" i="27"/>
  <c r="F134" i="18"/>
  <c r="F156" i="18"/>
  <c r="F129" i="18"/>
  <c r="E139" i="18"/>
  <c r="Q139" i="18" s="1"/>
  <c r="R139" i="18" s="1"/>
  <c r="X136" i="32" s="1"/>
  <c r="E159" i="18"/>
  <c r="Z159" i="18" s="1"/>
  <c r="AB159" i="18" s="1"/>
  <c r="Z95" i="32" s="1"/>
  <c r="F185" i="18"/>
  <c r="F134" i="27"/>
  <c r="F151" i="18"/>
  <c r="F182" i="18"/>
  <c r="F84" i="27"/>
  <c r="F108" i="27"/>
  <c r="F170" i="34"/>
  <c r="F138" i="27"/>
  <c r="F100" i="34"/>
  <c r="F161" i="34"/>
  <c r="F107" i="34"/>
  <c r="F105" i="27"/>
  <c r="F93" i="34"/>
  <c r="F155" i="34"/>
  <c r="F176" i="27"/>
  <c r="E131" i="28"/>
  <c r="F190" i="34"/>
  <c r="F59" i="27"/>
  <c r="E107" i="28"/>
  <c r="F118" i="27"/>
  <c r="F152" i="34"/>
  <c r="F149" i="18"/>
  <c r="F110" i="34"/>
  <c r="F146" i="34"/>
  <c r="F83" i="34"/>
  <c r="F87" i="34"/>
  <c r="F178" i="34"/>
  <c r="E124" i="28"/>
  <c r="Q123" i="34" s="1"/>
  <c r="F102" i="34"/>
  <c r="F176" i="34"/>
  <c r="F184" i="34"/>
  <c r="F144" i="27"/>
  <c r="F157" i="34"/>
  <c r="F147" i="34"/>
  <c r="E108" i="18"/>
  <c r="P108" i="18" s="1"/>
  <c r="F142" i="27"/>
  <c r="E164" i="28"/>
  <c r="Q162" i="34" s="1"/>
  <c r="F88" i="34"/>
  <c r="F123" i="34"/>
  <c r="F137" i="27"/>
  <c r="F190" i="18"/>
  <c r="E158" i="28"/>
  <c r="F152" i="18"/>
  <c r="E86" i="28"/>
  <c r="F175" i="27"/>
  <c r="F153" i="18"/>
  <c r="F157" i="18"/>
  <c r="F85" i="34"/>
  <c r="F162" i="34"/>
  <c r="F127" i="27"/>
  <c r="F125" i="27"/>
  <c r="F169" i="34"/>
  <c r="F154" i="34"/>
  <c r="E151" i="18"/>
  <c r="Q151" i="18" s="1"/>
  <c r="R151" i="18" s="1"/>
  <c r="X147" i="32" s="1"/>
  <c r="E183" i="18"/>
  <c r="Q183" i="18" s="1"/>
  <c r="R183" i="18" s="1"/>
  <c r="X178" i="32" s="1"/>
  <c r="E196" i="28"/>
  <c r="Q196" i="28" s="1"/>
  <c r="E168" i="18"/>
  <c r="Q168" i="18" s="1"/>
  <c r="R168" i="18" s="1"/>
  <c r="X34" i="32" s="1"/>
  <c r="F160" i="27"/>
  <c r="F146" i="27"/>
  <c r="E128" i="18"/>
  <c r="Q128" i="18" s="1"/>
  <c r="R128" i="18" s="1"/>
  <c r="X78" i="32" s="1"/>
  <c r="E138" i="18"/>
  <c r="Q138" i="18" s="1"/>
  <c r="R138" i="18" s="1"/>
  <c r="X135" i="32" s="1"/>
  <c r="E93" i="18"/>
  <c r="F112" i="27"/>
  <c r="F141" i="18"/>
  <c r="F106" i="27"/>
  <c r="E173" i="28"/>
  <c r="Q171" i="34" s="1"/>
  <c r="F94" i="27"/>
  <c r="E148" i="18"/>
  <c r="Z148" i="18" s="1"/>
  <c r="AB148" i="18" s="1"/>
  <c r="Z144" i="32" s="1"/>
  <c r="F144" i="18"/>
  <c r="F155" i="27"/>
  <c r="F125" i="18"/>
  <c r="F164" i="18"/>
  <c r="E106" i="18"/>
  <c r="Z106" i="18" s="1"/>
  <c r="AB106" i="18" s="1"/>
  <c r="Z104" i="32" s="1"/>
  <c r="E135" i="28"/>
  <c r="Q133" i="34" s="1"/>
  <c r="F84" i="18"/>
  <c r="E176" i="28"/>
  <c r="Q174" i="34" s="1"/>
  <c r="F98" i="18"/>
  <c r="F171" i="18"/>
  <c r="F132" i="34"/>
  <c r="F86" i="27"/>
  <c r="F101" i="34"/>
  <c r="F172" i="34"/>
  <c r="F163" i="34"/>
  <c r="F142" i="34"/>
  <c r="F121" i="34"/>
  <c r="F144" i="34"/>
  <c r="F94" i="34"/>
  <c r="F171" i="34"/>
  <c r="F112" i="34"/>
  <c r="F86" i="34"/>
  <c r="F95" i="34"/>
  <c r="F150" i="27"/>
  <c r="F113" i="34"/>
  <c r="F185" i="34"/>
  <c r="E94" i="28"/>
  <c r="F180" i="34"/>
  <c r="F165" i="27"/>
  <c r="E114" i="18"/>
  <c r="F156" i="34"/>
  <c r="F148" i="34"/>
  <c r="F189" i="34"/>
  <c r="E168" i="28"/>
  <c r="E96" i="28"/>
  <c r="F145" i="34"/>
  <c r="F166" i="34"/>
  <c r="F69" i="27"/>
  <c r="F165" i="34"/>
  <c r="F187" i="18"/>
  <c r="F186" i="34"/>
  <c r="F194" i="34"/>
  <c r="E79" i="18"/>
  <c r="F173" i="27"/>
  <c r="F175" i="18"/>
  <c r="E173" i="18"/>
  <c r="E129" i="18"/>
  <c r="Z129" i="18" s="1"/>
  <c r="AB129" i="18" s="1"/>
  <c r="Z113" i="32" s="1"/>
  <c r="F87" i="27"/>
  <c r="F186" i="18"/>
  <c r="F117" i="34"/>
  <c r="F134" i="34"/>
  <c r="F84" i="34"/>
  <c r="F119" i="34"/>
  <c r="F120" i="34"/>
  <c r="F140" i="34"/>
  <c r="F154" i="18"/>
  <c r="F73" i="27"/>
  <c r="F107" i="27"/>
  <c r="F97" i="18"/>
  <c r="F117" i="18"/>
  <c r="E116" i="28"/>
  <c r="F99" i="34"/>
  <c r="F104" i="34"/>
  <c r="F90" i="34"/>
  <c r="F167" i="34"/>
  <c r="E139" i="28"/>
  <c r="F131" i="34"/>
  <c r="F151" i="34"/>
  <c r="F128" i="34"/>
  <c r="F125" i="34"/>
  <c r="F159" i="27"/>
  <c r="F173" i="34"/>
  <c r="F76" i="27"/>
  <c r="F89" i="27"/>
  <c r="F105" i="34"/>
  <c r="F181" i="34"/>
  <c r="F98" i="34"/>
  <c r="F175" i="34"/>
  <c r="E116" i="18"/>
  <c r="Z116" i="18" s="1"/>
  <c r="AB116" i="18" s="1"/>
  <c r="Z114" i="32" s="1"/>
  <c r="E166" i="18"/>
  <c r="Z166" i="18" s="1"/>
  <c r="AB166" i="18" s="1"/>
  <c r="Z40" i="32" s="1"/>
  <c r="F82" i="34"/>
  <c r="F153" i="34"/>
  <c r="F179" i="34"/>
  <c r="F137" i="34"/>
  <c r="E111" i="28"/>
  <c r="F85" i="18"/>
  <c r="F160" i="34"/>
  <c r="F143" i="34"/>
  <c r="F80" i="34"/>
  <c r="E92" i="18"/>
  <c r="F133" i="34"/>
  <c r="F109" i="34"/>
  <c r="F159" i="34"/>
  <c r="F121" i="27"/>
  <c r="F183" i="34"/>
  <c r="F111" i="34"/>
  <c r="F115" i="34"/>
  <c r="F130" i="34"/>
  <c r="E118" i="28"/>
  <c r="Q117" i="34" s="1"/>
  <c r="F162" i="18"/>
  <c r="F177" i="27"/>
  <c r="E149" i="18"/>
  <c r="Q149" i="18" s="1"/>
  <c r="R149" i="18" s="1"/>
  <c r="X54" i="32" s="1"/>
  <c r="F122" i="34"/>
  <c r="F191" i="34"/>
  <c r="F108" i="34"/>
  <c r="F77" i="27"/>
  <c r="F141" i="34"/>
  <c r="F164" i="34"/>
  <c r="F193" i="34"/>
  <c r="E184" i="18"/>
  <c r="Q184" i="18" s="1"/>
  <c r="E150" i="28"/>
  <c r="Q150" i="28" s="1"/>
  <c r="R148" i="34" s="1"/>
  <c r="E85" i="18"/>
  <c r="Q85" i="18" s="1"/>
  <c r="R85" i="18" s="1"/>
  <c r="X68" i="32" s="1"/>
  <c r="F110" i="18"/>
  <c r="F82" i="27"/>
  <c r="F154" i="27"/>
  <c r="E160" i="28"/>
  <c r="F150" i="34"/>
  <c r="B53" i="27"/>
  <c r="F109" i="18"/>
  <c r="E89" i="28"/>
  <c r="F81" i="34"/>
  <c r="F99" i="18"/>
  <c r="E115" i="18"/>
  <c r="Z115" i="18" s="1"/>
  <c r="AB115" i="18" s="1"/>
  <c r="Z159" i="32" s="1"/>
  <c r="F168" i="18"/>
  <c r="F101" i="27"/>
  <c r="E160" i="18"/>
  <c r="Z160" i="18" s="1"/>
  <c r="AB160" i="18" s="1"/>
  <c r="Z155" i="32" s="1"/>
  <c r="E105" i="28"/>
  <c r="F106" i="34"/>
  <c r="F79" i="34"/>
  <c r="F111" i="18"/>
  <c r="E129" i="28"/>
  <c r="Q127" i="34" s="1"/>
  <c r="E162" i="18"/>
  <c r="Q162" i="18" s="1"/>
  <c r="R162" i="18" s="1"/>
  <c r="X157" i="32" s="1"/>
  <c r="E110" i="28"/>
  <c r="Q109" i="34" s="1"/>
  <c r="E141" i="28"/>
  <c r="Q139" i="34" s="1"/>
  <c r="F180" i="18"/>
  <c r="F174" i="34"/>
  <c r="F83" i="18"/>
  <c r="E146" i="28"/>
  <c r="F149" i="34"/>
  <c r="E188" i="28"/>
  <c r="E85" i="28"/>
  <c r="Q84" i="34" s="1"/>
  <c r="F112" i="18"/>
  <c r="F117" i="27"/>
  <c r="F135" i="34"/>
  <c r="F132" i="27"/>
  <c r="F133" i="27"/>
  <c r="E113" i="28"/>
  <c r="E153" i="28"/>
  <c r="Q151" i="34" s="1"/>
  <c r="F136" i="27"/>
  <c r="F126" i="18"/>
  <c r="F78" i="34"/>
  <c r="F145" i="27"/>
  <c r="F92" i="34"/>
  <c r="F108" i="18"/>
  <c r="F177" i="18"/>
  <c r="F104" i="18"/>
  <c r="E180" i="28"/>
  <c r="Q177" i="34" s="1"/>
  <c r="B89" i="26"/>
  <c r="E108" i="28"/>
  <c r="Q108" i="28" s="1"/>
  <c r="E100" i="28"/>
  <c r="Q99" i="34" s="1"/>
  <c r="E122" i="28"/>
  <c r="Q121" i="34" s="1"/>
  <c r="F140" i="27"/>
  <c r="F115" i="18"/>
  <c r="F114" i="18"/>
  <c r="F137" i="18"/>
  <c r="E114" i="28"/>
  <c r="F96" i="34"/>
  <c r="F118" i="34"/>
  <c r="E132" i="28"/>
  <c r="Q130" i="34" s="1"/>
  <c r="F79" i="27"/>
  <c r="E191" i="18"/>
  <c r="Z191" i="18" s="1"/>
  <c r="AB191" i="18" s="1"/>
  <c r="Z182" i="32" s="1"/>
  <c r="E187" i="28"/>
  <c r="Q187" i="28" s="1"/>
  <c r="F116" i="18"/>
  <c r="F103" i="34"/>
  <c r="F142" i="28"/>
  <c r="F183" i="18"/>
  <c r="F159" i="18"/>
  <c r="E122" i="18"/>
  <c r="Q122" i="18" s="1"/>
  <c r="R122" i="18" s="1"/>
  <c r="X108" i="32" s="1"/>
  <c r="F114" i="34"/>
  <c r="F158" i="34"/>
  <c r="F168" i="34"/>
  <c r="F122" i="27"/>
  <c r="F158" i="18"/>
  <c r="E130" i="28"/>
  <c r="Q128" i="34" s="1"/>
  <c r="E143" i="28"/>
  <c r="Q141" i="34" s="1"/>
  <c r="F129" i="34"/>
  <c r="E150" i="18"/>
  <c r="Q150" i="18" s="1"/>
  <c r="R150" i="18" s="1"/>
  <c r="X146" i="32" s="1"/>
  <c r="E127" i="28"/>
  <c r="F167" i="27"/>
  <c r="F86" i="18"/>
  <c r="E90" i="18"/>
  <c r="F83" i="27"/>
  <c r="E87" i="18"/>
  <c r="Q87" i="18" s="1"/>
  <c r="R87" i="18" s="1"/>
  <c r="X84" i="32" s="1"/>
  <c r="F141" i="27"/>
  <c r="E134" i="18"/>
  <c r="Q134" i="18" s="1"/>
  <c r="R134" i="18" s="1"/>
  <c r="X47" i="32" s="1"/>
  <c r="E96" i="18"/>
  <c r="P96" i="18" s="1"/>
  <c r="E167" i="18"/>
  <c r="Z167" i="18" s="1"/>
  <c r="AB167" i="18" s="1"/>
  <c r="Z105" i="32" s="1"/>
  <c r="E132" i="18"/>
  <c r="E195" i="28"/>
  <c r="Q191" i="34" s="1"/>
  <c r="E120" i="28"/>
  <c r="E99" i="28"/>
  <c r="Q99" i="28" s="1"/>
  <c r="F140" i="18"/>
  <c r="F102" i="18"/>
  <c r="E131" i="18"/>
  <c r="Q131" i="18" s="1"/>
  <c r="R131" i="18" s="1"/>
  <c r="X128" i="32" s="1"/>
  <c r="E115" i="28"/>
  <c r="Q114" i="34" s="1"/>
  <c r="E105" i="18"/>
  <c r="Z105" i="18" s="1"/>
  <c r="AB105" i="18" s="1"/>
  <c r="Z97" i="32" s="1"/>
  <c r="E133" i="28"/>
  <c r="Q133" i="28" s="1"/>
  <c r="E104" i="18"/>
  <c r="Q104" i="18" s="1"/>
  <c r="R104" i="18" s="1"/>
  <c r="X86" i="32" s="1"/>
  <c r="F116" i="34"/>
  <c r="E106" i="28"/>
  <c r="E165" i="28"/>
  <c r="Q163" i="34" s="1"/>
  <c r="F192" i="18"/>
  <c r="E175" i="28"/>
  <c r="Q175" i="28" s="1"/>
  <c r="F87" i="18"/>
  <c r="F131" i="27"/>
  <c r="F167" i="18"/>
  <c r="F100" i="27"/>
  <c r="E177" i="18"/>
  <c r="Z177" i="18" s="1"/>
  <c r="AB177" i="18" s="1"/>
  <c r="Z170" i="32" s="1"/>
  <c r="E159" i="28"/>
  <c r="E184" i="28"/>
  <c r="F88" i="18"/>
  <c r="E88" i="18"/>
  <c r="Q88" i="18" s="1"/>
  <c r="R88" i="18" s="1"/>
  <c r="X85" i="32" s="1"/>
  <c r="E134" i="28"/>
  <c r="F78" i="18"/>
  <c r="F188" i="34"/>
  <c r="F172" i="18"/>
  <c r="F169" i="18"/>
  <c r="F148" i="27"/>
  <c r="E154" i="18"/>
  <c r="F101" i="28"/>
  <c r="E174" i="18"/>
  <c r="F121" i="18"/>
  <c r="E135" i="18"/>
  <c r="F119" i="27"/>
  <c r="F158" i="27"/>
  <c r="F97" i="34"/>
  <c r="F124" i="34"/>
  <c r="F122" i="18"/>
  <c r="F97" i="27"/>
  <c r="E181" i="18"/>
  <c r="Q181" i="18" s="1"/>
  <c r="R181" i="18" s="1"/>
  <c r="X195" i="32" s="1"/>
  <c r="E79" i="28"/>
  <c r="Q79" i="28" s="1"/>
  <c r="E100" i="18"/>
  <c r="Q100" i="18" s="1"/>
  <c r="R100" i="18" s="1"/>
  <c r="X80" i="32" s="1"/>
  <c r="F131" i="18"/>
  <c r="E163" i="28"/>
  <c r="Q161" i="34" s="1"/>
  <c r="E155" i="18"/>
  <c r="Q155" i="18" s="1"/>
  <c r="R155" i="18" s="1"/>
  <c r="X190" i="32" s="1"/>
  <c r="E192" i="28"/>
  <c r="F196" i="18"/>
  <c r="E137" i="18"/>
  <c r="E101" i="28"/>
  <c r="Q100" i="34" s="1"/>
  <c r="E143" i="18"/>
  <c r="Q143" i="18" s="1"/>
  <c r="R143" i="18" s="1"/>
  <c r="X140" i="32" s="1"/>
  <c r="E179" i="28"/>
  <c r="Q176" i="34" s="1"/>
  <c r="F124" i="27"/>
  <c r="E166" i="28"/>
  <c r="Q166" i="28" s="1"/>
  <c r="F161" i="18"/>
  <c r="F113" i="27"/>
  <c r="E117" i="28"/>
  <c r="Q117" i="28" s="1"/>
  <c r="F130" i="27"/>
  <c r="E163" i="18"/>
  <c r="Q163" i="18" s="1"/>
  <c r="R163" i="18" s="1"/>
  <c r="X158" i="32" s="1"/>
  <c r="E81" i="28"/>
  <c r="Q81" i="28" s="1"/>
  <c r="E183" i="28"/>
  <c r="E93" i="28"/>
  <c r="E95" i="28"/>
  <c r="Q94" i="34" s="1"/>
  <c r="E97" i="28"/>
  <c r="Q96" i="34" s="1"/>
  <c r="F142" i="18"/>
  <c r="F176" i="18"/>
  <c r="F53" i="27"/>
  <c r="E169" i="28"/>
  <c r="Q169" i="28" s="1"/>
  <c r="E186" i="28"/>
  <c r="Q186" i="28" s="1"/>
  <c r="E102" i="28"/>
  <c r="Z102" i="28" s="1"/>
  <c r="AB101" i="34" s="1"/>
  <c r="F148" i="18"/>
  <c r="E144" i="28"/>
  <c r="F99" i="27"/>
  <c r="E89" i="18"/>
  <c r="Z89" i="18" s="1"/>
  <c r="AB89" i="18" s="1"/>
  <c r="E152" i="28"/>
  <c r="Q150" i="34" s="1"/>
  <c r="E88" i="28"/>
  <c r="E145" i="28"/>
  <c r="E170" i="28"/>
  <c r="Q168" i="34" s="1"/>
  <c r="F80" i="18"/>
  <c r="F182" i="27"/>
  <c r="F163" i="18"/>
  <c r="E140" i="28"/>
  <c r="Q138" i="34" s="1"/>
  <c r="E189" i="28"/>
  <c r="F143" i="18"/>
  <c r="E109" i="18"/>
  <c r="Q109" i="18" s="1"/>
  <c r="R109" i="18" s="1"/>
  <c r="X20" i="32" s="1"/>
  <c r="F128" i="18"/>
  <c r="E94" i="18"/>
  <c r="F120" i="18"/>
  <c r="E97" i="18"/>
  <c r="Z97" i="18" s="1"/>
  <c r="AB97" i="18" s="1"/>
  <c r="Z94" i="32" s="1"/>
  <c r="E162" i="28"/>
  <c r="Q160" i="34" s="1"/>
  <c r="E104" i="28"/>
  <c r="E112" i="28"/>
  <c r="Q112" i="28" s="1"/>
  <c r="E161" i="18"/>
  <c r="Q161" i="18" s="1"/>
  <c r="R161" i="18" s="1"/>
  <c r="X156" i="32" s="1"/>
  <c r="E126" i="18"/>
  <c r="P126" i="18" s="1"/>
  <c r="E113" i="18"/>
  <c r="F95" i="27"/>
  <c r="E103" i="28"/>
  <c r="Q103" i="28" s="1"/>
  <c r="E92" i="28"/>
  <c r="E136" i="28"/>
  <c r="Q136" i="28" s="1"/>
  <c r="E117" i="18"/>
  <c r="F157" i="27"/>
  <c r="F80" i="27"/>
  <c r="E128" i="28"/>
  <c r="E124" i="18"/>
  <c r="F160" i="18"/>
  <c r="E142" i="18"/>
  <c r="Z142" i="18" s="1"/>
  <c r="AB142" i="18" s="1"/>
  <c r="Z139" i="32" s="1"/>
  <c r="E130" i="18"/>
  <c r="Q130" i="18" s="1"/>
  <c r="R130" i="18" s="1"/>
  <c r="X107" i="32" s="1"/>
  <c r="E82" i="28"/>
  <c r="Q82" i="28" s="1"/>
  <c r="E187" i="18"/>
  <c r="E119" i="18"/>
  <c r="Q119" i="18" s="1"/>
  <c r="R119" i="18" s="1"/>
  <c r="X67" i="32" s="1"/>
  <c r="E151" i="28"/>
  <c r="Q149" i="34" s="1"/>
  <c r="E137" i="28"/>
  <c r="E119" i="28"/>
  <c r="Z119" i="28" s="1"/>
  <c r="E181" i="28"/>
  <c r="E191" i="28"/>
  <c r="Q187" i="34" s="1"/>
  <c r="E123" i="28"/>
  <c r="F152" i="27"/>
  <c r="F185" i="27"/>
  <c r="F118" i="18"/>
  <c r="E154" i="28"/>
  <c r="E167" i="28"/>
  <c r="Q165" i="34" s="1"/>
  <c r="F103" i="18"/>
  <c r="E118" i="18"/>
  <c r="Q118" i="18" s="1"/>
  <c r="R118" i="18" s="1"/>
  <c r="X62" i="32" s="1"/>
  <c r="E109" i="28"/>
  <c r="Q108" i="34" s="1"/>
  <c r="G82" i="18"/>
  <c r="B140" i="28"/>
  <c r="E171" i="14"/>
  <c r="I132" i="28"/>
  <c r="I153" i="26"/>
  <c r="H136" i="26"/>
  <c r="H99" i="14"/>
  <c r="H186" i="18"/>
  <c r="H86" i="34"/>
  <c r="C81" i="26"/>
  <c r="F93" i="27"/>
  <c r="F21" i="32"/>
  <c r="C97" i="34"/>
  <c r="D150" i="28"/>
  <c r="C139" i="32"/>
  <c r="H105" i="28"/>
  <c r="C185" i="27"/>
  <c r="F180" i="29"/>
  <c r="E87" i="34"/>
  <c r="B172" i="14"/>
  <c r="H80" i="18"/>
  <c r="B103" i="34"/>
  <c r="E168" i="32"/>
  <c r="B171" i="26"/>
  <c r="F131" i="26"/>
  <c r="C95" i="32"/>
  <c r="B185" i="26"/>
  <c r="C183" i="27"/>
  <c r="E156" i="26"/>
  <c r="G178" i="31"/>
  <c r="E179" i="31"/>
  <c r="F14" i="31"/>
  <c r="C131" i="26"/>
  <c r="H111" i="29"/>
  <c r="D120" i="18"/>
  <c r="G157" i="14"/>
  <c r="B190" i="34"/>
  <c r="D188" i="29"/>
  <c r="I188" i="34"/>
  <c r="G86" i="18"/>
  <c r="B92" i="32"/>
  <c r="G98" i="28"/>
  <c r="E92" i="31"/>
  <c r="E139" i="31"/>
  <c r="G140" i="32"/>
  <c r="B73" i="27"/>
  <c r="H158" i="26"/>
  <c r="B98" i="18"/>
  <c r="H110" i="27"/>
  <c r="E90" i="32"/>
  <c r="D102" i="28"/>
  <c r="H109" i="28"/>
  <c r="H183" i="31"/>
  <c r="E86" i="14"/>
  <c r="B185" i="18"/>
  <c r="D175" i="18"/>
  <c r="E166" i="26"/>
  <c r="B101" i="27"/>
  <c r="I142" i="18"/>
  <c r="H163" i="31"/>
  <c r="B138" i="29"/>
  <c r="G188" i="29"/>
  <c r="D135" i="27"/>
  <c r="E84" i="31"/>
  <c r="H193" i="29"/>
  <c r="E167" i="26"/>
  <c r="B148" i="34"/>
  <c r="G176" i="18"/>
  <c r="G118" i="28"/>
  <c r="H84" i="29"/>
  <c r="C121" i="14"/>
  <c r="I152" i="18"/>
  <c r="C104" i="29"/>
  <c r="G96" i="29"/>
  <c r="B81" i="26"/>
  <c r="E151" i="29"/>
  <c r="E115" i="27"/>
  <c r="H185" i="31"/>
  <c r="C197" i="18"/>
  <c r="H89" i="26"/>
  <c r="H183" i="28"/>
  <c r="I103" i="14"/>
  <c r="D139" i="27"/>
  <c r="C148" i="14"/>
  <c r="B177" i="18"/>
  <c r="D105" i="27"/>
  <c r="D139" i="29"/>
  <c r="D33" i="31"/>
  <c r="F124" i="29"/>
  <c r="B172" i="29"/>
  <c r="E90" i="26"/>
  <c r="C30" i="32"/>
  <c r="D116" i="32"/>
  <c r="D181" i="28"/>
  <c r="G126" i="27"/>
  <c r="B140" i="29"/>
  <c r="C94" i="14"/>
  <c r="F122" i="32"/>
  <c r="B77" i="26"/>
  <c r="B149" i="28"/>
  <c r="H117" i="29"/>
  <c r="B146" i="34"/>
  <c r="D116" i="27"/>
  <c r="E183" i="14"/>
  <c r="G175" i="32"/>
  <c r="I125" i="14"/>
  <c r="B175" i="31"/>
  <c r="H36" i="32"/>
  <c r="H154" i="34"/>
  <c r="G166" i="31"/>
  <c r="I89" i="14"/>
  <c r="B69" i="32"/>
  <c r="D159" i="31"/>
  <c r="C92" i="26"/>
  <c r="D45" i="32"/>
  <c r="H130" i="26"/>
  <c r="F95" i="32"/>
  <c r="G175" i="28"/>
  <c r="D87" i="31"/>
  <c r="C76" i="32"/>
  <c r="G153" i="27"/>
  <c r="B106" i="26"/>
  <c r="C180" i="18"/>
  <c r="E181" i="32"/>
  <c r="H168" i="26"/>
  <c r="E149" i="31"/>
  <c r="G148" i="32"/>
  <c r="B189" i="14"/>
  <c r="G165" i="27"/>
  <c r="G104" i="32"/>
  <c r="I182" i="29"/>
  <c r="B97" i="27"/>
  <c r="C133" i="29"/>
  <c r="I105" i="14"/>
  <c r="I84" i="28"/>
  <c r="C165" i="28"/>
  <c r="F94" i="31"/>
  <c r="C53" i="27"/>
  <c r="F162" i="29"/>
  <c r="B137" i="27"/>
  <c r="I111" i="18"/>
  <c r="D163" i="14"/>
  <c r="H114" i="26"/>
  <c r="I108" i="18"/>
  <c r="D179" i="26"/>
  <c r="B28" i="31"/>
  <c r="I79" i="28"/>
  <c r="F6" i="31"/>
  <c r="C191" i="18"/>
  <c r="H113" i="27"/>
  <c r="I94" i="14"/>
  <c r="B33" i="31"/>
  <c r="E134" i="27"/>
  <c r="G139" i="14"/>
  <c r="F104" i="29"/>
  <c r="E106" i="14"/>
  <c r="F162" i="31"/>
  <c r="B19" i="31"/>
  <c r="C79" i="26"/>
  <c r="E121" i="14"/>
  <c r="F98" i="26"/>
  <c r="B139" i="28"/>
  <c r="G21" i="32"/>
  <c r="G71" i="14"/>
  <c r="F88" i="28"/>
  <c r="B189" i="29"/>
  <c r="H130" i="32"/>
  <c r="I196" i="28"/>
  <c r="G93" i="31"/>
  <c r="G92" i="31"/>
  <c r="E81" i="14"/>
  <c r="H129" i="14"/>
  <c r="G106" i="29"/>
  <c r="G151" i="28"/>
  <c r="F150" i="32"/>
  <c r="D114" i="31"/>
  <c r="B173" i="29"/>
  <c r="B122" i="27"/>
  <c r="D140" i="14"/>
  <c r="H50" i="31"/>
  <c r="G148" i="31"/>
  <c r="H132" i="27"/>
  <c r="C102" i="34"/>
  <c r="E145" i="34"/>
  <c r="C92" i="31"/>
  <c r="H89" i="27"/>
  <c r="H81" i="18"/>
  <c r="G152" i="31"/>
  <c r="I172" i="28"/>
  <c r="D54" i="32"/>
  <c r="H187" i="34"/>
  <c r="G139" i="32"/>
  <c r="G135" i="18"/>
  <c r="E121" i="34"/>
  <c r="H125" i="31"/>
  <c r="H104" i="29"/>
  <c r="F85" i="28"/>
  <c r="G40" i="32"/>
  <c r="I146" i="18"/>
  <c r="D105" i="14"/>
  <c r="H188" i="14"/>
  <c r="E133" i="26"/>
  <c r="E104" i="32"/>
  <c r="B168" i="27"/>
  <c r="C187" i="18"/>
  <c r="H190" i="29"/>
  <c r="H121" i="26"/>
  <c r="C169" i="27"/>
  <c r="D122" i="18"/>
  <c r="I127" i="26"/>
  <c r="C178" i="32"/>
  <c r="D91" i="27"/>
  <c r="I157" i="29"/>
  <c r="G114" i="28"/>
  <c r="H144" i="29"/>
  <c r="I100" i="27"/>
  <c r="H116" i="29"/>
  <c r="F164" i="32"/>
  <c r="G191" i="18"/>
  <c r="C87" i="14"/>
  <c r="B57" i="31"/>
  <c r="D131" i="18"/>
  <c r="H77" i="32"/>
  <c r="H180" i="18"/>
  <c r="D183" i="32"/>
  <c r="C169" i="31"/>
  <c r="D153" i="31"/>
  <c r="D174" i="34"/>
  <c r="H119" i="27"/>
  <c r="E119" i="32"/>
  <c r="B100" i="34"/>
  <c r="B136" i="18"/>
  <c r="C149" i="29"/>
  <c r="F185" i="29"/>
  <c r="C159" i="18"/>
  <c r="G136" i="26"/>
  <c r="C110" i="32"/>
  <c r="D136" i="32"/>
  <c r="D155" i="27"/>
  <c r="F14" i="32"/>
  <c r="H131" i="34"/>
  <c r="I172" i="18"/>
  <c r="H124" i="14"/>
  <c r="F77" i="14"/>
  <c r="H178" i="29"/>
  <c r="C148" i="27"/>
  <c r="E114" i="31"/>
  <c r="I159" i="29"/>
  <c r="E101" i="29"/>
  <c r="H180" i="32"/>
  <c r="C29" i="32"/>
  <c r="I144" i="27"/>
  <c r="D155" i="14"/>
  <c r="C90" i="29"/>
  <c r="B183" i="18"/>
  <c r="G150" i="32"/>
  <c r="C177" i="28"/>
  <c r="C167" i="31"/>
  <c r="G89" i="34"/>
  <c r="D140" i="32"/>
  <c r="B126" i="18"/>
  <c r="H102" i="31"/>
  <c r="D167" i="34"/>
  <c r="G78" i="34"/>
  <c r="G9" i="32"/>
  <c r="B90" i="34"/>
  <c r="I176" i="26"/>
  <c r="B98" i="29"/>
  <c r="H92" i="34"/>
  <c r="E106" i="27"/>
  <c r="E59" i="27"/>
  <c r="B106" i="32"/>
  <c r="G125" i="27"/>
  <c r="H108" i="32"/>
  <c r="H164" i="34"/>
  <c r="H92" i="18"/>
  <c r="F145" i="28"/>
  <c r="B164" i="27"/>
  <c r="C91" i="29"/>
  <c r="G184" i="34"/>
  <c r="I143" i="29"/>
  <c r="C174" i="31"/>
  <c r="F152" i="28"/>
  <c r="G108" i="18"/>
  <c r="E81" i="29"/>
  <c r="E155" i="27"/>
  <c r="I139" i="26"/>
  <c r="B176" i="14"/>
  <c r="I83" i="14"/>
  <c r="H115" i="14"/>
  <c r="F174" i="28"/>
  <c r="F97" i="14"/>
  <c r="G70" i="14"/>
  <c r="F82" i="26"/>
  <c r="H92" i="14"/>
  <c r="B41" i="31"/>
  <c r="E141" i="31"/>
  <c r="C125" i="26"/>
  <c r="C123" i="27"/>
  <c r="C114" i="32"/>
  <c r="B115" i="29"/>
  <c r="I82" i="18"/>
  <c r="F83" i="29"/>
  <c r="D198" i="28"/>
  <c r="C158" i="32"/>
  <c r="F131" i="31"/>
  <c r="D117" i="14"/>
  <c r="C127" i="29"/>
  <c r="C127" i="34"/>
  <c r="F143" i="28"/>
  <c r="H98" i="27"/>
  <c r="F19" i="31"/>
  <c r="E189" i="14"/>
  <c r="B84" i="18"/>
  <c r="B134" i="34"/>
  <c r="C192" i="29"/>
  <c r="H78" i="26"/>
  <c r="D135" i="26"/>
  <c r="H129" i="27"/>
  <c r="I89" i="28"/>
  <c r="H148" i="32"/>
  <c r="D99" i="27"/>
  <c r="E184" i="29"/>
  <c r="B192" i="28"/>
  <c r="F122" i="14"/>
  <c r="E104" i="14"/>
  <c r="H119" i="18"/>
  <c r="B139" i="34"/>
  <c r="G156" i="28"/>
  <c r="D187" i="18"/>
  <c r="D156" i="28"/>
  <c r="D170" i="34"/>
  <c r="B123" i="32"/>
  <c r="C111" i="27"/>
  <c r="H113" i="29"/>
  <c r="E70" i="14"/>
  <c r="H143" i="27"/>
  <c r="H124" i="31"/>
  <c r="E125" i="14"/>
  <c r="D111" i="29"/>
  <c r="F119" i="26"/>
  <c r="C177" i="26"/>
  <c r="E174" i="27"/>
  <c r="G89" i="26"/>
  <c r="H93" i="27"/>
  <c r="F20" i="32"/>
  <c r="G193" i="29"/>
  <c r="E91" i="34"/>
  <c r="E163" i="32"/>
  <c r="I82" i="29"/>
  <c r="F171" i="26"/>
  <c r="H146" i="34"/>
  <c r="B167" i="31"/>
  <c r="F104" i="28"/>
  <c r="G110" i="34"/>
  <c r="F100" i="29"/>
  <c r="G118" i="27"/>
  <c r="H125" i="29"/>
  <c r="B148" i="28"/>
  <c r="G198" i="28"/>
  <c r="H96" i="34"/>
  <c r="B122" i="32"/>
  <c r="H92" i="32"/>
  <c r="D184" i="27"/>
  <c r="F119" i="31"/>
  <c r="B147" i="28"/>
  <c r="E140" i="26"/>
  <c r="C137" i="34"/>
  <c r="E175" i="26"/>
  <c r="C181" i="28"/>
  <c r="B79" i="34"/>
  <c r="E174" i="31"/>
  <c r="D110" i="29"/>
  <c r="H101" i="18"/>
  <c r="B155" i="34"/>
  <c r="I193" i="28"/>
  <c r="G146" i="18"/>
  <c r="I92" i="14"/>
  <c r="G163" i="14"/>
  <c r="G168" i="27"/>
  <c r="G126" i="34"/>
  <c r="F106" i="26"/>
  <c r="H117" i="27"/>
  <c r="I122" i="26"/>
  <c r="C156" i="18"/>
  <c r="H90" i="29"/>
  <c r="H144" i="32"/>
  <c r="D191" i="34"/>
  <c r="G102" i="18"/>
  <c r="G93" i="32"/>
  <c r="E113" i="14"/>
  <c r="F92" i="29"/>
  <c r="G162" i="26"/>
  <c r="C88" i="28"/>
  <c r="H82" i="26"/>
  <c r="E80" i="14"/>
  <c r="E115" i="29"/>
  <c r="E83" i="26"/>
  <c r="G133" i="18"/>
  <c r="E28" i="31"/>
  <c r="B167" i="26"/>
  <c r="I137" i="18"/>
  <c r="E85" i="26"/>
  <c r="I90" i="34"/>
  <c r="D148" i="27"/>
  <c r="B96" i="31"/>
  <c r="C145" i="27"/>
  <c r="I158" i="26"/>
  <c r="B138" i="28"/>
  <c r="B193" i="29"/>
  <c r="I179" i="14"/>
  <c r="I190" i="34"/>
  <c r="H142" i="34"/>
  <c r="D120" i="34"/>
  <c r="E145" i="29"/>
  <c r="H20" i="31"/>
  <c r="C84" i="14"/>
  <c r="F160" i="26"/>
  <c r="H121" i="18"/>
  <c r="D98" i="34"/>
  <c r="E85" i="14"/>
  <c r="C96" i="26"/>
  <c r="F93" i="32"/>
  <c r="C77" i="27"/>
  <c r="F188" i="14"/>
  <c r="D112" i="34"/>
  <c r="C99" i="32"/>
  <c r="C190" i="34"/>
  <c r="G151" i="34"/>
  <c r="E79" i="26"/>
  <c r="B87" i="29"/>
  <c r="E114" i="14"/>
  <c r="G75" i="32"/>
  <c r="G56" i="31"/>
  <c r="D177" i="26"/>
  <c r="D106" i="28"/>
  <c r="G75" i="27"/>
  <c r="E79" i="27"/>
  <c r="I74" i="14"/>
  <c r="I187" i="28"/>
  <c r="G150" i="26"/>
  <c r="B164" i="31"/>
  <c r="C101" i="31"/>
  <c r="B172" i="34"/>
  <c r="G191" i="29"/>
  <c r="H168" i="27"/>
  <c r="B174" i="32"/>
  <c r="C157" i="27"/>
  <c r="E83" i="27"/>
  <c r="C171" i="31"/>
  <c r="H98" i="18"/>
  <c r="H83" i="14"/>
  <c r="C91" i="26"/>
  <c r="D104" i="34"/>
  <c r="F54" i="32"/>
  <c r="B125" i="28"/>
  <c r="H94" i="27"/>
  <c r="E174" i="32"/>
  <c r="E12" i="32"/>
  <c r="F86" i="32"/>
  <c r="C154" i="34"/>
  <c r="C161" i="14"/>
  <c r="F184" i="28"/>
  <c r="B80" i="14"/>
  <c r="H143" i="28"/>
  <c r="C150" i="18"/>
  <c r="B132" i="14"/>
  <c r="B99" i="27"/>
  <c r="G120" i="18"/>
  <c r="F24" i="31"/>
  <c r="C92" i="28"/>
  <c r="C72" i="26"/>
  <c r="D78" i="34"/>
  <c r="G131" i="26"/>
  <c r="F136" i="29"/>
  <c r="E137" i="29"/>
  <c r="B81" i="34"/>
  <c r="E174" i="29"/>
  <c r="C86" i="34"/>
  <c r="C146" i="18"/>
  <c r="H166" i="28"/>
  <c r="C148" i="18"/>
  <c r="I188" i="18"/>
  <c r="B142" i="27"/>
  <c r="B79" i="31"/>
  <c r="E88" i="14"/>
  <c r="E112" i="27"/>
  <c r="G113" i="32"/>
  <c r="H97" i="27"/>
  <c r="F103" i="31"/>
  <c r="C168" i="32"/>
  <c r="E83" i="34"/>
  <c r="H89" i="18"/>
  <c r="B179" i="32"/>
  <c r="D81" i="34"/>
  <c r="D158" i="28"/>
  <c r="B54" i="14"/>
  <c r="E92" i="29"/>
  <c r="G160" i="29"/>
  <c r="I179" i="28"/>
  <c r="B108" i="28"/>
  <c r="G190" i="29"/>
  <c r="E131" i="32"/>
  <c r="C156" i="31"/>
  <c r="H152" i="29"/>
  <c r="E72" i="27"/>
  <c r="D128" i="26"/>
  <c r="B183" i="34"/>
  <c r="G77" i="31"/>
  <c r="D176" i="29"/>
  <c r="D169" i="31"/>
  <c r="I142" i="34"/>
  <c r="H108" i="14"/>
  <c r="F108" i="32"/>
  <c r="I163" i="27"/>
  <c r="C137" i="29"/>
  <c r="E103" i="31"/>
  <c r="H85" i="31"/>
  <c r="F93" i="26"/>
  <c r="D148" i="32"/>
  <c r="D126" i="14"/>
  <c r="E81" i="27"/>
  <c r="F141" i="26"/>
  <c r="C106" i="28"/>
  <c r="H91" i="34"/>
  <c r="I93" i="18"/>
  <c r="H146" i="28"/>
  <c r="D86" i="28"/>
  <c r="D171" i="14"/>
  <c r="B24" i="31"/>
  <c r="D159" i="32"/>
  <c r="C132" i="27"/>
  <c r="F124" i="31"/>
  <c r="C103" i="18"/>
  <c r="I149" i="29"/>
  <c r="B107" i="29"/>
  <c r="E162" i="31"/>
  <c r="C159" i="34"/>
  <c r="C19" i="31"/>
  <c r="D127" i="18"/>
  <c r="D175" i="28"/>
  <c r="D79" i="14"/>
  <c r="B154" i="31"/>
  <c r="I117" i="27"/>
  <c r="D152" i="26"/>
  <c r="E83" i="29"/>
  <c r="B116" i="29"/>
  <c r="G139" i="31"/>
  <c r="B114" i="18"/>
  <c r="D134" i="28"/>
  <c r="F92" i="26"/>
  <c r="C125" i="32"/>
  <c r="B104" i="34"/>
  <c r="D131" i="34"/>
  <c r="B96" i="27"/>
  <c r="G101" i="32"/>
  <c r="C84" i="18"/>
  <c r="D106" i="32"/>
  <c r="E161" i="27"/>
  <c r="F154" i="32"/>
  <c r="F107" i="28"/>
  <c r="D130" i="32"/>
  <c r="G161" i="31"/>
  <c r="H115" i="26"/>
  <c r="B166" i="26"/>
  <c r="H115" i="34"/>
  <c r="B109" i="18"/>
  <c r="D82" i="27"/>
  <c r="B112" i="28"/>
  <c r="H80" i="29"/>
  <c r="C82" i="26"/>
  <c r="F103" i="28"/>
  <c r="B193" i="34"/>
  <c r="C78" i="32"/>
  <c r="C172" i="31"/>
  <c r="B136" i="29"/>
  <c r="I176" i="34"/>
  <c r="D120" i="29"/>
  <c r="F76" i="26"/>
  <c r="B122" i="28"/>
  <c r="B162" i="26"/>
  <c r="D88" i="18"/>
  <c r="D166" i="29"/>
  <c r="D12" i="32"/>
  <c r="G165" i="18"/>
  <c r="H163" i="29"/>
  <c r="E133" i="34"/>
  <c r="I111" i="26"/>
  <c r="E182" i="29"/>
  <c r="C184" i="29"/>
  <c r="D159" i="28"/>
  <c r="G149" i="18"/>
  <c r="I82" i="14"/>
  <c r="I115" i="26"/>
  <c r="F131" i="32"/>
  <c r="H161" i="31"/>
  <c r="B177" i="34"/>
  <c r="B179" i="34"/>
  <c r="G184" i="29"/>
  <c r="I131" i="29"/>
  <c r="I168" i="27"/>
  <c r="H106" i="28"/>
  <c r="H9" i="32"/>
  <c r="H154" i="14"/>
  <c r="H113" i="34"/>
  <c r="G169" i="26"/>
  <c r="I99" i="26"/>
  <c r="D125" i="32"/>
  <c r="C136" i="27"/>
  <c r="I171" i="18"/>
  <c r="H83" i="34"/>
  <c r="H181" i="34"/>
  <c r="H138" i="27"/>
  <c r="B178" i="32"/>
  <c r="D160" i="26"/>
  <c r="D102" i="27"/>
  <c r="H164" i="32"/>
  <c r="F115" i="31"/>
  <c r="D105" i="18"/>
  <c r="F117" i="31"/>
  <c r="D84" i="28"/>
  <c r="G103" i="18"/>
  <c r="E116" i="27"/>
  <c r="D56" i="31"/>
  <c r="C194" i="29"/>
  <c r="G156" i="31"/>
  <c r="G119" i="27"/>
  <c r="H116" i="27"/>
  <c r="G164" i="34"/>
  <c r="F174" i="29"/>
  <c r="B170" i="29"/>
  <c r="D166" i="28"/>
  <c r="B186" i="28"/>
  <c r="D119" i="32"/>
  <c r="C102" i="29"/>
  <c r="D143" i="34"/>
  <c r="F130" i="14"/>
  <c r="C135" i="29"/>
  <c r="D82" i="26"/>
  <c r="C84" i="26"/>
  <c r="C148" i="28"/>
  <c r="C129" i="34"/>
  <c r="F187" i="29"/>
  <c r="B128" i="34"/>
  <c r="E185" i="27"/>
  <c r="H97" i="32"/>
  <c r="C118" i="32"/>
  <c r="G30" i="32"/>
  <c r="F149" i="26"/>
  <c r="D116" i="26"/>
  <c r="H122" i="32"/>
  <c r="D81" i="31"/>
  <c r="E112" i="29"/>
  <c r="C165" i="31"/>
  <c r="D76" i="26"/>
  <c r="D72" i="26"/>
  <c r="G161" i="29"/>
  <c r="G167" i="26"/>
  <c r="E150" i="34"/>
  <c r="C101" i="28"/>
  <c r="D146" i="18"/>
  <c r="C116" i="34"/>
  <c r="G99" i="27"/>
  <c r="C149" i="27"/>
  <c r="I174" i="18"/>
  <c r="H147" i="34"/>
  <c r="I184" i="26"/>
  <c r="C139" i="28"/>
  <c r="C129" i="31"/>
  <c r="F147" i="14"/>
  <c r="F174" i="18"/>
  <c r="F146" i="26"/>
  <c r="G101" i="26"/>
  <c r="F107" i="26"/>
  <c r="F188" i="29"/>
  <c r="H79" i="29"/>
  <c r="D175" i="32"/>
  <c r="D115" i="34"/>
  <c r="B105" i="14"/>
  <c r="H135" i="26"/>
  <c r="D102" i="31"/>
  <c r="C154" i="32"/>
  <c r="G181" i="34"/>
  <c r="B89" i="27"/>
  <c r="G86" i="14"/>
  <c r="H127" i="28"/>
  <c r="D134" i="34"/>
  <c r="G173" i="14"/>
  <c r="I183" i="28"/>
  <c r="E169" i="31"/>
  <c r="I94" i="34"/>
  <c r="F92" i="31"/>
  <c r="D130" i="29"/>
  <c r="H160" i="31"/>
  <c r="G73" i="27"/>
  <c r="G140" i="34"/>
  <c r="E62" i="32"/>
  <c r="I114" i="27"/>
  <c r="B144" i="29"/>
  <c r="G141" i="31"/>
  <c r="E101" i="26"/>
  <c r="D125" i="31"/>
  <c r="B150" i="34"/>
  <c r="H127" i="29"/>
  <c r="G124" i="29"/>
  <c r="C29" i="31"/>
  <c r="I153" i="18"/>
  <c r="C187" i="28"/>
  <c r="E193" i="29"/>
  <c r="I97" i="18"/>
  <c r="G65" i="32"/>
  <c r="G180" i="14"/>
  <c r="D119" i="18"/>
  <c r="D83" i="14"/>
  <c r="F94" i="32"/>
  <c r="E131" i="26"/>
  <c r="H136" i="27"/>
  <c r="H155" i="27"/>
  <c r="H111" i="27"/>
  <c r="D141" i="32"/>
  <c r="I85" i="27"/>
  <c r="H93" i="14"/>
  <c r="B156" i="26"/>
  <c r="B120" i="18"/>
  <c r="F127" i="26"/>
  <c r="F143" i="26"/>
  <c r="I136" i="34"/>
  <c r="G102" i="28"/>
  <c r="I151" i="26"/>
  <c r="E180" i="29"/>
  <c r="D190" i="18"/>
  <c r="F160" i="31"/>
  <c r="B160" i="28"/>
  <c r="D195" i="18"/>
  <c r="C84" i="29"/>
  <c r="F62" i="31"/>
  <c r="C95" i="27"/>
  <c r="H152" i="26"/>
  <c r="C161" i="29"/>
  <c r="G160" i="34"/>
  <c r="C94" i="34"/>
  <c r="E78" i="34"/>
  <c r="B123" i="27"/>
  <c r="G93" i="28"/>
  <c r="C194" i="28"/>
  <c r="H98" i="29"/>
  <c r="F69" i="32"/>
  <c r="G80" i="29"/>
  <c r="C176" i="18"/>
  <c r="H132" i="28"/>
  <c r="F99" i="31"/>
  <c r="C173" i="34"/>
  <c r="G168" i="28"/>
  <c r="D107" i="32"/>
  <c r="H150" i="27"/>
  <c r="H99" i="28"/>
  <c r="B104" i="32"/>
  <c r="F101" i="29"/>
  <c r="H128" i="29"/>
  <c r="B183" i="31"/>
  <c r="D148" i="14"/>
  <c r="G110" i="29"/>
  <c r="B114" i="29"/>
  <c r="C107" i="34"/>
  <c r="G109" i="27"/>
  <c r="C164" i="18"/>
  <c r="E85" i="29"/>
  <c r="I180" i="14"/>
  <c r="I184" i="18"/>
  <c r="B145" i="27"/>
  <c r="I78" i="18"/>
  <c r="D123" i="28"/>
  <c r="D187" i="28"/>
  <c r="D183" i="14"/>
  <c r="G96" i="18"/>
  <c r="G139" i="26"/>
  <c r="E40" i="32"/>
  <c r="I161" i="29"/>
  <c r="G178" i="32"/>
  <c r="H131" i="32"/>
  <c r="D110" i="32"/>
  <c r="G87" i="27"/>
  <c r="D121" i="18"/>
  <c r="I137" i="34"/>
  <c r="B141" i="32"/>
  <c r="C166" i="27"/>
  <c r="B112" i="26"/>
  <c r="E86" i="31"/>
  <c r="D107" i="18"/>
  <c r="C170" i="32"/>
  <c r="H173" i="28"/>
  <c r="E134" i="34"/>
  <c r="H158" i="29"/>
  <c r="B92" i="34"/>
  <c r="H114" i="29"/>
  <c r="B145" i="28"/>
  <c r="C173" i="28"/>
  <c r="C107" i="14"/>
  <c r="F70" i="14"/>
  <c r="H156" i="29"/>
  <c r="C114" i="34"/>
  <c r="C118" i="26"/>
  <c r="I175" i="28"/>
  <c r="H123" i="28"/>
  <c r="I119" i="28"/>
  <c r="C161" i="27"/>
  <c r="H180" i="14"/>
  <c r="H123" i="26"/>
  <c r="E116" i="31"/>
  <c r="I85" i="28"/>
  <c r="E167" i="27"/>
  <c r="B97" i="29"/>
  <c r="F111" i="14"/>
  <c r="G164" i="32"/>
  <c r="D144" i="27"/>
  <c r="F84" i="26"/>
  <c r="I154" i="29"/>
  <c r="C134" i="29"/>
  <c r="D123" i="34"/>
  <c r="G181" i="14"/>
  <c r="D110" i="14"/>
  <c r="D87" i="32"/>
  <c r="C95" i="28"/>
  <c r="D120" i="27"/>
  <c r="C90" i="14"/>
  <c r="G107" i="18"/>
  <c r="H141" i="27"/>
  <c r="D155" i="26"/>
  <c r="F161" i="27"/>
  <c r="I167" i="14"/>
  <c r="C94" i="28"/>
  <c r="B159" i="26"/>
  <c r="I147" i="14"/>
  <c r="D129" i="32"/>
  <c r="F89" i="28"/>
  <c r="G84" i="32"/>
  <c r="C130" i="28"/>
  <c r="H171" i="34"/>
  <c r="D132" i="26"/>
  <c r="B111" i="14"/>
  <c r="G103" i="28"/>
  <c r="C53" i="26"/>
  <c r="G99" i="26"/>
  <c r="D138" i="32"/>
  <c r="D182" i="28"/>
  <c r="B99" i="14"/>
  <c r="I112" i="27"/>
  <c r="G108" i="34"/>
  <c r="B165" i="31"/>
  <c r="E160" i="14"/>
  <c r="I157" i="14"/>
  <c r="C124" i="34"/>
  <c r="D146" i="27"/>
  <c r="D20" i="32"/>
  <c r="F173" i="29"/>
  <c r="D180" i="18"/>
  <c r="I81" i="18"/>
  <c r="D99" i="14"/>
  <c r="H10" i="31"/>
  <c r="F88" i="14"/>
  <c r="C171" i="26"/>
  <c r="I123" i="28"/>
  <c r="I118" i="34"/>
  <c r="G158" i="26"/>
  <c r="C98" i="34"/>
  <c r="E89" i="34"/>
  <c r="G159" i="31"/>
  <c r="C143" i="29"/>
  <c r="E165" i="31"/>
  <c r="H34" i="32"/>
  <c r="E124" i="31"/>
  <c r="F191" i="28"/>
  <c r="B155" i="14"/>
  <c r="H149" i="27"/>
  <c r="H188" i="28"/>
  <c r="C103" i="27"/>
  <c r="I106" i="27"/>
  <c r="C18" i="31"/>
  <c r="E186" i="14"/>
  <c r="C78" i="31"/>
  <c r="D137" i="18"/>
  <c r="B94" i="18"/>
  <c r="H158" i="18"/>
  <c r="I84" i="34"/>
  <c r="H119" i="14"/>
  <c r="D99" i="18"/>
  <c r="G78" i="29"/>
  <c r="H99" i="29"/>
  <c r="C141" i="27"/>
  <c r="C184" i="31"/>
  <c r="C187" i="14"/>
  <c r="H123" i="14"/>
  <c r="D192" i="34"/>
  <c r="F177" i="28"/>
  <c r="D172" i="14"/>
  <c r="B181" i="31"/>
  <c r="F152" i="31"/>
  <c r="H114" i="27"/>
  <c r="H140" i="27"/>
  <c r="E139" i="27"/>
  <c r="F71" i="14"/>
  <c r="C118" i="28"/>
  <c r="D129" i="14"/>
  <c r="B157" i="32"/>
  <c r="C129" i="32"/>
  <c r="G148" i="27"/>
  <c r="C155" i="32"/>
  <c r="G145" i="27"/>
  <c r="I114" i="26"/>
  <c r="G88" i="26"/>
  <c r="H76" i="32"/>
  <c r="D94" i="27"/>
  <c r="I79" i="34"/>
  <c r="D105" i="29"/>
  <c r="G157" i="32"/>
  <c r="D149" i="34"/>
  <c r="H171" i="31"/>
  <c r="G124" i="27"/>
  <c r="B167" i="34"/>
  <c r="C179" i="26"/>
  <c r="I117" i="34"/>
  <c r="D146" i="29"/>
  <c r="C190" i="18"/>
  <c r="C190" i="29"/>
  <c r="I114" i="34"/>
  <c r="F88" i="32"/>
  <c r="H100" i="18"/>
  <c r="H121" i="27"/>
  <c r="B119" i="26"/>
  <c r="D112" i="27"/>
  <c r="C124" i="28"/>
  <c r="B93" i="26"/>
  <c r="B110" i="14"/>
  <c r="F176" i="26"/>
  <c r="E44" i="31"/>
  <c r="C162" i="26"/>
  <c r="D183" i="29"/>
  <c r="G92" i="26"/>
  <c r="C106" i="27"/>
  <c r="G172" i="34"/>
  <c r="F150" i="14"/>
  <c r="D71" i="14"/>
  <c r="I101" i="34"/>
  <c r="C188" i="18"/>
  <c r="H85" i="26"/>
  <c r="H80" i="27"/>
  <c r="B108" i="26"/>
  <c r="G51" i="32"/>
  <c r="D171" i="28"/>
  <c r="H134" i="28"/>
  <c r="D128" i="32"/>
  <c r="C24" i="31"/>
  <c r="F146" i="31"/>
  <c r="F89" i="32"/>
  <c r="D189" i="34"/>
  <c r="H146" i="14"/>
  <c r="B187" i="28"/>
  <c r="G10" i="31"/>
  <c r="D50" i="31"/>
  <c r="F143" i="31"/>
  <c r="B106" i="27"/>
  <c r="C73" i="27"/>
  <c r="C64" i="31"/>
  <c r="D157" i="29"/>
  <c r="B141" i="27"/>
  <c r="E116" i="32"/>
  <c r="B116" i="32"/>
  <c r="F183" i="28"/>
  <c r="C128" i="18"/>
  <c r="G181" i="18"/>
  <c r="C136" i="26"/>
  <c r="C169" i="29"/>
  <c r="E125" i="26"/>
  <c r="I91" i="18"/>
  <c r="D122" i="34"/>
  <c r="B197" i="28"/>
  <c r="I81" i="14"/>
  <c r="D92" i="27"/>
  <c r="E105" i="26"/>
  <c r="B148" i="29"/>
  <c r="B124" i="31"/>
  <c r="I98" i="34"/>
  <c r="C86" i="31"/>
  <c r="C180" i="34"/>
  <c r="H129" i="28"/>
  <c r="C117" i="31"/>
  <c r="I134" i="28"/>
  <c r="I88" i="29"/>
  <c r="E143" i="34"/>
  <c r="H85" i="27"/>
  <c r="G109" i="32"/>
  <c r="B125" i="26"/>
  <c r="F65" i="32"/>
  <c r="C26" i="32"/>
  <c r="C151" i="28"/>
  <c r="G101" i="18"/>
  <c r="B153" i="28"/>
  <c r="H160" i="27"/>
  <c r="C185" i="29"/>
  <c r="B115" i="18"/>
  <c r="G165" i="29"/>
  <c r="I145" i="18"/>
  <c r="D156" i="31"/>
  <c r="I195" i="28"/>
  <c r="E102" i="34"/>
  <c r="I81" i="27"/>
  <c r="D131" i="14"/>
  <c r="D172" i="29"/>
  <c r="I168" i="26"/>
  <c r="D124" i="28"/>
  <c r="H173" i="26"/>
  <c r="D166" i="32"/>
  <c r="G169" i="28"/>
  <c r="H165" i="18"/>
  <c r="G138" i="31"/>
  <c r="D78" i="31"/>
  <c r="B150" i="27"/>
  <c r="G36" i="32"/>
  <c r="C130" i="26"/>
  <c r="I78" i="29"/>
  <c r="C169" i="34"/>
  <c r="C186" i="28"/>
  <c r="C137" i="14"/>
  <c r="H184" i="26"/>
  <c r="C153" i="34"/>
  <c r="D170" i="32"/>
  <c r="H83" i="18"/>
  <c r="G170" i="14"/>
  <c r="D135" i="32"/>
  <c r="G189" i="29"/>
  <c r="G149" i="31"/>
  <c r="B91" i="31"/>
  <c r="H143" i="32"/>
  <c r="H142" i="28"/>
  <c r="D96" i="27"/>
  <c r="D140" i="26"/>
  <c r="B179" i="26"/>
  <c r="F171" i="28"/>
  <c r="C105" i="26"/>
  <c r="C93" i="29"/>
  <c r="D90" i="29"/>
  <c r="H18" i="31"/>
  <c r="B126" i="28"/>
  <c r="B161" i="31"/>
  <c r="I159" i="26"/>
  <c r="F81" i="29"/>
  <c r="B140" i="32"/>
  <c r="I173" i="27"/>
  <c r="E119" i="14"/>
  <c r="F137" i="26"/>
  <c r="C193" i="18"/>
  <c r="I185" i="27"/>
  <c r="D125" i="29"/>
  <c r="D122" i="28"/>
  <c r="F184" i="29"/>
  <c r="D137" i="34"/>
  <c r="G75" i="26"/>
  <c r="C88" i="26"/>
  <c r="H155" i="31"/>
  <c r="I191" i="34"/>
  <c r="D193" i="34"/>
  <c r="F114" i="29"/>
  <c r="B147" i="27"/>
  <c r="I189" i="14"/>
  <c r="D98" i="27"/>
  <c r="C138" i="14"/>
  <c r="I163" i="14"/>
  <c r="C152" i="28"/>
  <c r="H103" i="27"/>
  <c r="B154" i="32"/>
  <c r="H90" i="34"/>
  <c r="F126" i="26"/>
  <c r="G175" i="31"/>
  <c r="I131" i="28"/>
  <c r="C117" i="34"/>
  <c r="B174" i="28"/>
  <c r="B154" i="26"/>
  <c r="I181" i="34"/>
  <c r="H133" i="34"/>
  <c r="E181" i="26"/>
  <c r="C181" i="14"/>
  <c r="D78" i="18"/>
  <c r="G48" i="31"/>
  <c r="E194" i="29"/>
  <c r="C87" i="27"/>
  <c r="H158" i="34"/>
  <c r="G134" i="18"/>
  <c r="G139" i="29"/>
  <c r="H161" i="18"/>
  <c r="I153" i="28"/>
  <c r="E136" i="26"/>
  <c r="G183" i="26"/>
  <c r="H159" i="18"/>
  <c r="C122" i="29"/>
  <c r="I108" i="26"/>
  <c r="I77" i="14"/>
  <c r="G123" i="32"/>
  <c r="H121" i="31"/>
  <c r="E166" i="14"/>
  <c r="C100" i="26"/>
  <c r="H99" i="27"/>
  <c r="B110" i="32"/>
  <c r="G142" i="28"/>
  <c r="I95" i="28"/>
  <c r="C114" i="31"/>
  <c r="D76" i="32"/>
  <c r="B126" i="14"/>
  <c r="F183" i="14"/>
  <c r="I182" i="28"/>
  <c r="G131" i="31"/>
  <c r="E87" i="31"/>
  <c r="H91" i="27"/>
  <c r="F173" i="28"/>
  <c r="D160" i="29"/>
  <c r="B93" i="34"/>
  <c r="H173" i="27"/>
  <c r="B108" i="29"/>
  <c r="E164" i="29"/>
  <c r="H106" i="27"/>
  <c r="G188" i="18"/>
  <c r="F144" i="31"/>
  <c r="H156" i="18"/>
  <c r="B163" i="27"/>
  <c r="D189" i="18"/>
  <c r="B77" i="14"/>
  <c r="E170" i="26"/>
  <c r="H86" i="27"/>
  <c r="D192" i="18"/>
  <c r="H84" i="27"/>
  <c r="B93" i="27"/>
  <c r="C113" i="27"/>
  <c r="I99" i="18"/>
  <c r="C111" i="28"/>
  <c r="B151" i="26"/>
  <c r="D108" i="32"/>
  <c r="C141" i="32"/>
  <c r="I194" i="28"/>
  <c r="H96" i="26"/>
  <c r="H53" i="26"/>
  <c r="H138" i="14"/>
  <c r="D115" i="28"/>
  <c r="F107" i="14"/>
  <c r="H85" i="32"/>
  <c r="H98" i="26"/>
  <c r="B153" i="18"/>
  <c r="G182" i="34"/>
  <c r="B105" i="18"/>
  <c r="B81" i="28"/>
  <c r="B162" i="28"/>
  <c r="C85" i="32"/>
  <c r="H105" i="14"/>
  <c r="G122" i="27"/>
  <c r="G94" i="18"/>
  <c r="B152" i="28"/>
  <c r="C117" i="26"/>
  <c r="I175" i="14"/>
  <c r="F73" i="14"/>
  <c r="G86" i="34"/>
  <c r="F99" i="28"/>
  <c r="H108" i="31"/>
  <c r="I90" i="28"/>
  <c r="B79" i="26"/>
  <c r="G181" i="32"/>
  <c r="C123" i="32"/>
  <c r="B91" i="18"/>
  <c r="I80" i="26"/>
  <c r="E175" i="14"/>
  <c r="E115" i="14"/>
  <c r="C108" i="27"/>
  <c r="E35" i="32"/>
  <c r="B182" i="27"/>
  <c r="G53" i="31"/>
  <c r="G131" i="27"/>
  <c r="H85" i="18"/>
  <c r="B82" i="26"/>
  <c r="F126" i="31"/>
  <c r="C182" i="28"/>
  <c r="E153" i="34"/>
  <c r="H169" i="29"/>
  <c r="G134" i="29"/>
  <c r="B144" i="26"/>
  <c r="B139" i="18"/>
  <c r="G115" i="34"/>
  <c r="H152" i="18"/>
  <c r="D120" i="31"/>
  <c r="H189" i="34"/>
  <c r="F121" i="31"/>
  <c r="F179" i="26"/>
  <c r="H84" i="32"/>
  <c r="I181" i="26"/>
  <c r="H150" i="34"/>
  <c r="H163" i="27"/>
  <c r="C113" i="32"/>
  <c r="B175" i="18"/>
  <c r="I121" i="29"/>
  <c r="B154" i="28"/>
  <c r="F167" i="28"/>
  <c r="G82" i="34"/>
  <c r="H111" i="31"/>
  <c r="C156" i="29"/>
  <c r="E108" i="14"/>
  <c r="D86" i="29"/>
  <c r="C178" i="29"/>
  <c r="H147" i="29"/>
  <c r="D129" i="29"/>
  <c r="I139" i="34"/>
  <c r="B102" i="27"/>
  <c r="F153" i="31"/>
  <c r="D168" i="34"/>
  <c r="E183" i="27"/>
  <c r="H136" i="18"/>
  <c r="B123" i="29"/>
  <c r="C183" i="28"/>
  <c r="B144" i="18"/>
  <c r="G153" i="18"/>
  <c r="E96" i="27"/>
  <c r="D142" i="27"/>
  <c r="D89" i="14"/>
  <c r="B76" i="27"/>
  <c r="H95" i="27"/>
  <c r="B149" i="31"/>
  <c r="B124" i="34"/>
  <c r="G171" i="18"/>
  <c r="B118" i="32"/>
  <c r="I172" i="26"/>
  <c r="E138" i="29"/>
  <c r="G181" i="28"/>
  <c r="G131" i="29"/>
  <c r="F173" i="14"/>
  <c r="F151" i="29"/>
  <c r="E172" i="31"/>
  <c r="C102" i="18"/>
  <c r="I94" i="26"/>
  <c r="B85" i="28"/>
  <c r="H177" i="27"/>
  <c r="I148" i="34"/>
  <c r="D154" i="18"/>
  <c r="D133" i="18"/>
  <c r="I143" i="27"/>
  <c r="C144" i="18"/>
  <c r="G84" i="31"/>
  <c r="E77" i="31"/>
  <c r="B146" i="29"/>
  <c r="I189" i="28"/>
  <c r="B96" i="14"/>
  <c r="G110" i="28"/>
  <c r="B121" i="34"/>
  <c r="H176" i="28"/>
  <c r="C180" i="28"/>
  <c r="G141" i="34"/>
  <c r="D18" i="31"/>
  <c r="B139" i="14"/>
  <c r="E175" i="29"/>
  <c r="D107" i="34"/>
  <c r="B143" i="31"/>
  <c r="E100" i="29"/>
  <c r="H137" i="27"/>
  <c r="G185" i="14"/>
  <c r="I117" i="14"/>
  <c r="G154" i="28"/>
  <c r="I119" i="26"/>
  <c r="G95" i="27"/>
  <c r="D180" i="29"/>
  <c r="B85" i="26"/>
  <c r="G96" i="31"/>
  <c r="H170" i="29"/>
  <c r="C81" i="14"/>
  <c r="B76" i="26"/>
  <c r="D95" i="29"/>
  <c r="G148" i="28"/>
  <c r="G169" i="29"/>
  <c r="G79" i="31"/>
  <c r="E108" i="29"/>
  <c r="H119" i="34"/>
  <c r="H87" i="29"/>
  <c r="B116" i="14"/>
  <c r="E160" i="26"/>
  <c r="H99" i="31"/>
  <c r="D132" i="34"/>
  <c r="H112" i="29"/>
  <c r="F144" i="29"/>
  <c r="C174" i="27"/>
  <c r="H135" i="18"/>
  <c r="F96" i="26"/>
  <c r="B158" i="28"/>
  <c r="H114" i="18"/>
  <c r="H134" i="29"/>
  <c r="I98" i="27"/>
  <c r="G151" i="29"/>
  <c r="E82" i="34"/>
  <c r="G149" i="14"/>
  <c r="G168" i="34"/>
  <c r="F138" i="14"/>
  <c r="C79" i="28"/>
  <c r="G166" i="28"/>
  <c r="D160" i="28"/>
  <c r="E87" i="29"/>
  <c r="I75" i="26"/>
  <c r="G91" i="26"/>
  <c r="D116" i="29"/>
  <c r="H140" i="29"/>
  <c r="E145" i="26"/>
  <c r="F183" i="31"/>
  <c r="B77" i="32"/>
  <c r="G176" i="28"/>
  <c r="E138" i="31"/>
  <c r="G134" i="27"/>
  <c r="C174" i="29"/>
  <c r="G114" i="18"/>
  <c r="C170" i="28"/>
  <c r="I165" i="28"/>
  <c r="B99" i="32"/>
  <c r="F132" i="14"/>
  <c r="E64" i="31"/>
  <c r="F108" i="29"/>
  <c r="F85" i="31"/>
  <c r="C104" i="14"/>
  <c r="C115" i="14"/>
  <c r="I155" i="29"/>
  <c r="H135" i="27"/>
  <c r="G79" i="26"/>
  <c r="D64" i="31"/>
  <c r="E170" i="27"/>
  <c r="B78" i="14"/>
  <c r="G110" i="27"/>
  <c r="G78" i="14"/>
  <c r="B146" i="27"/>
  <c r="B120" i="14"/>
  <c r="F170" i="26"/>
  <c r="G124" i="18"/>
  <c r="H163" i="28"/>
  <c r="B80" i="32"/>
  <c r="D109" i="26"/>
  <c r="E145" i="14"/>
  <c r="E155" i="34"/>
  <c r="C128" i="28"/>
  <c r="D142" i="18"/>
  <c r="I147" i="34"/>
  <c r="C124" i="27"/>
  <c r="I145" i="28"/>
  <c r="E114" i="34"/>
  <c r="C182" i="32"/>
  <c r="C176" i="28"/>
  <c r="C126" i="27"/>
  <c r="C83" i="27"/>
  <c r="C131" i="28"/>
  <c r="H97" i="29"/>
  <c r="I176" i="18"/>
  <c r="C135" i="32"/>
  <c r="E189" i="29"/>
  <c r="D108" i="28"/>
  <c r="D139" i="34"/>
  <c r="H106" i="26"/>
  <c r="E142" i="26"/>
  <c r="B131" i="32"/>
  <c r="H128" i="18"/>
  <c r="H181" i="18"/>
  <c r="G132" i="28"/>
  <c r="B167" i="14"/>
  <c r="G158" i="27"/>
  <c r="B187" i="34"/>
  <c r="H105" i="32"/>
  <c r="H94" i="26"/>
  <c r="C189" i="18"/>
  <c r="F122" i="31"/>
  <c r="D83" i="27"/>
  <c r="E156" i="31"/>
  <c r="F130" i="26"/>
  <c r="E107" i="32"/>
  <c r="B91" i="29"/>
  <c r="D10" i="31"/>
  <c r="D170" i="18"/>
  <c r="C167" i="28"/>
  <c r="H81" i="14"/>
  <c r="G169" i="18"/>
  <c r="D167" i="18"/>
  <c r="C121" i="34"/>
  <c r="B113" i="18"/>
  <c r="C164" i="32"/>
  <c r="D143" i="29"/>
  <c r="E125" i="34"/>
  <c r="D172" i="31"/>
  <c r="E29" i="31"/>
  <c r="D126" i="18"/>
  <c r="D82" i="28"/>
  <c r="C143" i="32"/>
  <c r="G176" i="31"/>
  <c r="D103" i="29"/>
  <c r="F105" i="31"/>
  <c r="G78" i="26"/>
  <c r="D134" i="31"/>
  <c r="D163" i="18"/>
  <c r="E103" i="26"/>
  <c r="B153" i="29"/>
  <c r="I184" i="29"/>
  <c r="H86" i="28"/>
  <c r="F153" i="14"/>
  <c r="E112" i="26"/>
  <c r="H140" i="18"/>
  <c r="B183" i="29"/>
  <c r="H73" i="14"/>
  <c r="E144" i="27"/>
  <c r="I192" i="28"/>
  <c r="F85" i="14"/>
  <c r="B107" i="32"/>
  <c r="B116" i="27"/>
  <c r="B154" i="27"/>
  <c r="C40" i="32"/>
  <c r="I122" i="28"/>
  <c r="I123" i="26"/>
  <c r="C193" i="28"/>
  <c r="D174" i="27"/>
  <c r="B119" i="28"/>
  <c r="G141" i="14"/>
  <c r="I96" i="29"/>
  <c r="F112" i="28"/>
  <c r="I100" i="26"/>
  <c r="E111" i="14"/>
  <c r="I84" i="14"/>
  <c r="I104" i="28"/>
  <c r="H175" i="26"/>
  <c r="D191" i="29"/>
  <c r="C138" i="34"/>
  <c r="E124" i="26"/>
  <c r="D107" i="29"/>
  <c r="C119" i="32"/>
  <c r="F139" i="32"/>
  <c r="G149" i="27"/>
  <c r="I122" i="29"/>
  <c r="G174" i="28"/>
  <c r="D100" i="26"/>
  <c r="C87" i="18"/>
  <c r="H150" i="18"/>
  <c r="G179" i="32"/>
  <c r="E110" i="34"/>
  <c r="H160" i="29"/>
  <c r="C124" i="14"/>
  <c r="H183" i="29"/>
  <c r="H118" i="26"/>
  <c r="C114" i="26"/>
  <c r="F130" i="32"/>
  <c r="F185" i="31"/>
  <c r="F91" i="31"/>
  <c r="B161" i="28"/>
  <c r="H177" i="26"/>
  <c r="H175" i="27"/>
  <c r="C125" i="34"/>
  <c r="D162" i="29"/>
  <c r="F105" i="29"/>
  <c r="F102" i="14"/>
  <c r="D151" i="18"/>
  <c r="C87" i="32"/>
  <c r="B185" i="31"/>
  <c r="C98" i="14"/>
  <c r="D176" i="26"/>
  <c r="C175" i="34"/>
  <c r="C146" i="14"/>
  <c r="H94" i="29"/>
  <c r="B172" i="32"/>
  <c r="E22" i="31"/>
  <c r="G182" i="32"/>
  <c r="E85" i="31"/>
  <c r="G122" i="28"/>
  <c r="D186" i="18"/>
  <c r="H159" i="28"/>
  <c r="D104" i="32"/>
  <c r="E138" i="27"/>
  <c r="D160" i="34"/>
  <c r="D188" i="18"/>
  <c r="D110" i="27"/>
  <c r="E189" i="34"/>
  <c r="D185" i="14"/>
  <c r="H140" i="31"/>
  <c r="I78" i="14"/>
  <c r="C82" i="34"/>
  <c r="G82" i="28"/>
  <c r="H111" i="14"/>
  <c r="C135" i="14"/>
  <c r="F46" i="31"/>
  <c r="E99" i="31"/>
  <c r="E158" i="14"/>
  <c r="H100" i="26"/>
  <c r="C128" i="32"/>
  <c r="D190" i="29"/>
  <c r="G105" i="31"/>
  <c r="D114" i="26"/>
  <c r="B178" i="26"/>
  <c r="G103" i="14"/>
  <c r="H161" i="34"/>
  <c r="G87" i="26"/>
  <c r="H99" i="32"/>
  <c r="C171" i="18"/>
  <c r="F66" i="31"/>
  <c r="F103" i="29"/>
  <c r="D59" i="27"/>
  <c r="G158" i="32"/>
  <c r="G105" i="18"/>
  <c r="C144" i="28"/>
  <c r="C146" i="34"/>
  <c r="F75" i="26"/>
  <c r="F128" i="26"/>
  <c r="E176" i="29"/>
  <c r="C132" i="18"/>
  <c r="I172" i="27"/>
  <c r="E104" i="34"/>
  <c r="C184" i="18"/>
  <c r="D146" i="14"/>
  <c r="I83" i="34"/>
  <c r="C112" i="14"/>
  <c r="B125" i="18"/>
  <c r="C140" i="31"/>
  <c r="B174" i="26"/>
  <c r="E27" i="31"/>
  <c r="H98" i="31"/>
  <c r="C118" i="34"/>
  <c r="H176" i="18"/>
  <c r="E120" i="34"/>
  <c r="I99" i="27"/>
  <c r="D96" i="14"/>
  <c r="D175" i="27"/>
  <c r="G114" i="34"/>
  <c r="I95" i="27"/>
  <c r="B87" i="28"/>
  <c r="H132" i="26"/>
  <c r="H155" i="14"/>
  <c r="B140" i="27"/>
  <c r="I109" i="27"/>
  <c r="D129" i="27"/>
  <c r="G158" i="14"/>
  <c r="C111" i="29"/>
  <c r="B134" i="18"/>
  <c r="C99" i="29"/>
  <c r="D69" i="27"/>
  <c r="E95" i="29"/>
  <c r="F128" i="29"/>
  <c r="B90" i="28"/>
  <c r="G79" i="18"/>
  <c r="D130" i="27"/>
  <c r="C192" i="18"/>
  <c r="H53" i="31"/>
  <c r="E122" i="32"/>
  <c r="B127" i="14"/>
  <c r="C89" i="26"/>
  <c r="H127" i="27"/>
  <c r="G90" i="27"/>
  <c r="E100" i="32"/>
  <c r="D91" i="28"/>
  <c r="B99" i="29"/>
  <c r="G106" i="26"/>
  <c r="D53" i="27"/>
  <c r="B29" i="32"/>
  <c r="I165" i="14"/>
  <c r="C178" i="26"/>
  <c r="H179" i="29"/>
  <c r="B85" i="29"/>
  <c r="C112" i="34"/>
  <c r="D68" i="32"/>
  <c r="C85" i="29"/>
  <c r="G152" i="26"/>
  <c r="C126" i="18"/>
  <c r="D197" i="18"/>
  <c r="B125" i="32"/>
  <c r="E77" i="26"/>
  <c r="F42" i="31"/>
  <c r="I95" i="18"/>
  <c r="D173" i="29"/>
  <c r="H140" i="34"/>
  <c r="G134" i="28"/>
  <c r="I140" i="34"/>
  <c r="F175" i="14"/>
  <c r="D91" i="31"/>
  <c r="I143" i="34"/>
  <c r="G143" i="28"/>
  <c r="B34" i="32"/>
  <c r="I93" i="14"/>
  <c r="D167" i="26"/>
  <c r="D165" i="18"/>
  <c r="D147" i="27"/>
  <c r="F109" i="28"/>
  <c r="F94" i="26"/>
  <c r="B181" i="14"/>
  <c r="B193" i="18"/>
  <c r="C179" i="14"/>
  <c r="I148" i="27"/>
  <c r="E141" i="26"/>
  <c r="F88" i="29"/>
  <c r="D179" i="31"/>
  <c r="E69" i="27"/>
  <c r="G80" i="14"/>
  <c r="G133" i="29"/>
  <c r="D41" i="31"/>
  <c r="B87" i="18"/>
  <c r="I102" i="34"/>
  <c r="E149" i="34"/>
  <c r="F156" i="14"/>
  <c r="B100" i="26"/>
  <c r="E84" i="14"/>
  <c r="D51" i="32"/>
  <c r="I174" i="28"/>
  <c r="D162" i="18"/>
  <c r="I106" i="34"/>
  <c r="B82" i="31"/>
  <c r="C165" i="34"/>
  <c r="F164" i="31"/>
  <c r="F166" i="26"/>
  <c r="E98" i="14"/>
  <c r="I173" i="14"/>
  <c r="H187" i="29"/>
  <c r="I122" i="34"/>
  <c r="I97" i="27"/>
  <c r="I89" i="34"/>
  <c r="H21" i="32"/>
  <c r="H170" i="28"/>
  <c r="G126" i="26"/>
  <c r="H94" i="34"/>
  <c r="H98" i="34"/>
  <c r="C134" i="14"/>
  <c r="I146" i="14"/>
  <c r="D182" i="27"/>
  <c r="H119" i="32"/>
  <c r="D164" i="34"/>
  <c r="G80" i="28"/>
  <c r="F135" i="28"/>
  <c r="F128" i="14"/>
  <c r="C170" i="27"/>
  <c r="H165" i="29"/>
  <c r="E155" i="32"/>
  <c r="D81" i="29"/>
  <c r="D103" i="27"/>
  <c r="E154" i="31"/>
  <c r="D92" i="28"/>
  <c r="B99" i="34"/>
  <c r="E102" i="26"/>
  <c r="H177" i="14"/>
  <c r="B113" i="26"/>
  <c r="B179" i="29"/>
  <c r="I123" i="18"/>
  <c r="G134" i="26"/>
  <c r="C114" i="28"/>
  <c r="D154" i="31"/>
  <c r="G173" i="27"/>
  <c r="D90" i="34"/>
  <c r="C142" i="26"/>
  <c r="D174" i="14"/>
  <c r="D179" i="14"/>
  <c r="B109" i="14"/>
  <c r="H114" i="14"/>
  <c r="C91" i="31"/>
  <c r="E100" i="34"/>
  <c r="G123" i="34"/>
  <c r="D93" i="18"/>
  <c r="I102" i="28"/>
  <c r="H108" i="28"/>
  <c r="H130" i="28"/>
  <c r="B64" i="31"/>
  <c r="B71" i="14"/>
  <c r="C173" i="26"/>
  <c r="G119" i="32"/>
  <c r="F163" i="32"/>
  <c r="H162" i="28"/>
  <c r="G146" i="26"/>
  <c r="H173" i="31"/>
  <c r="C189" i="28"/>
  <c r="F178" i="26"/>
  <c r="E58" i="32"/>
  <c r="E135" i="32"/>
  <c r="D173" i="27"/>
  <c r="E15" i="31"/>
  <c r="E154" i="14"/>
  <c r="E38" i="31"/>
  <c r="B53" i="31"/>
  <c r="B8" i="31"/>
  <c r="C140" i="18"/>
  <c r="B135" i="34"/>
  <c r="G177" i="28"/>
  <c r="G114" i="32"/>
  <c r="I112" i="18"/>
  <c r="E158" i="34"/>
  <c r="H185" i="14"/>
  <c r="C190" i="14"/>
  <c r="G66" i="32"/>
  <c r="I124" i="27"/>
  <c r="E155" i="31"/>
  <c r="D183" i="31"/>
  <c r="F150" i="28"/>
  <c r="I174" i="27"/>
  <c r="G58" i="32"/>
  <c r="E117" i="14"/>
  <c r="B155" i="27"/>
  <c r="H175" i="14"/>
  <c r="G128" i="27"/>
  <c r="I128" i="18"/>
  <c r="H137" i="29"/>
  <c r="D24" i="31"/>
  <c r="H88" i="14"/>
  <c r="G89" i="18"/>
  <c r="C179" i="34"/>
  <c r="C98" i="27"/>
  <c r="B133" i="26"/>
  <c r="F108" i="26"/>
  <c r="F113" i="14"/>
  <c r="B117" i="28"/>
  <c r="B193" i="28"/>
  <c r="D81" i="18"/>
  <c r="H162" i="31"/>
  <c r="B150" i="28"/>
  <c r="E138" i="14"/>
  <c r="E190" i="29"/>
  <c r="E153" i="31"/>
  <c r="G153" i="26"/>
  <c r="I188" i="28"/>
  <c r="B112" i="31"/>
  <c r="C105" i="29"/>
  <c r="H153" i="26"/>
  <c r="C99" i="31"/>
  <c r="B158" i="14"/>
  <c r="D101" i="27"/>
  <c r="C186" i="29"/>
  <c r="E139" i="26"/>
  <c r="E142" i="29"/>
  <c r="F115" i="26"/>
  <c r="C101" i="27"/>
  <c r="E177" i="32"/>
  <c r="D173" i="28"/>
  <c r="I181" i="14"/>
  <c r="H75" i="32"/>
  <c r="D115" i="29"/>
  <c r="I75" i="27"/>
  <c r="G141" i="29"/>
  <c r="B125" i="14"/>
  <c r="D90" i="14"/>
  <c r="G78" i="18"/>
  <c r="D101" i="14"/>
  <c r="F94" i="29"/>
  <c r="I113" i="18"/>
  <c r="I88" i="26"/>
  <c r="E136" i="29"/>
  <c r="F159" i="26"/>
  <c r="I137" i="28"/>
  <c r="B132" i="26"/>
  <c r="B148" i="14"/>
  <c r="G39" i="31"/>
  <c r="D162" i="26"/>
  <c r="I153" i="29"/>
  <c r="G113" i="18"/>
  <c r="G148" i="14"/>
  <c r="D92" i="26"/>
  <c r="E129" i="27"/>
  <c r="F87" i="29"/>
  <c r="H8" i="31"/>
  <c r="D167" i="27"/>
  <c r="E82" i="31"/>
  <c r="E66" i="32"/>
  <c r="I127" i="18"/>
  <c r="D9" i="32"/>
  <c r="G151" i="18"/>
  <c r="G171" i="14"/>
  <c r="C104" i="34"/>
  <c r="G42" i="31"/>
  <c r="G106" i="28"/>
  <c r="E92" i="27"/>
  <c r="G163" i="28"/>
  <c r="C188" i="29"/>
  <c r="C141" i="18"/>
  <c r="C95" i="29"/>
  <c r="D170" i="31"/>
  <c r="H154" i="32"/>
  <c r="I122" i="27"/>
  <c r="B150" i="32"/>
  <c r="D160" i="14"/>
  <c r="E134" i="29"/>
  <c r="I106" i="28"/>
  <c r="C112" i="29"/>
  <c r="G114" i="26"/>
  <c r="D151" i="29"/>
  <c r="H110" i="26"/>
  <c r="B129" i="28"/>
  <c r="B117" i="34"/>
  <c r="H148" i="27"/>
  <c r="I103" i="27"/>
  <c r="I109" i="14"/>
  <c r="E77" i="32"/>
  <c r="I198" i="18"/>
  <c r="B62" i="31"/>
  <c r="I120" i="28"/>
  <c r="H183" i="14"/>
  <c r="I142" i="26"/>
  <c r="E117" i="29"/>
  <c r="E172" i="26"/>
  <c r="F185" i="14"/>
  <c r="H88" i="32"/>
  <c r="F156" i="26"/>
  <c r="F120" i="26"/>
  <c r="H174" i="34"/>
  <c r="D104" i="29"/>
  <c r="C163" i="14"/>
  <c r="B140" i="14"/>
  <c r="H27" i="31"/>
  <c r="H175" i="34"/>
  <c r="D169" i="34"/>
  <c r="F127" i="28"/>
  <c r="I115" i="34"/>
  <c r="H167" i="31"/>
  <c r="B180" i="18"/>
  <c r="B120" i="34"/>
  <c r="H114" i="31"/>
  <c r="C155" i="14"/>
  <c r="D125" i="14"/>
  <c r="D156" i="32"/>
  <c r="G89" i="14"/>
  <c r="H83" i="31"/>
  <c r="G130" i="18"/>
  <c r="B160" i="31"/>
  <c r="H84" i="28"/>
  <c r="B18" i="31"/>
  <c r="C105" i="18"/>
  <c r="H140" i="26"/>
  <c r="I169" i="34"/>
  <c r="E164" i="32"/>
  <c r="H114" i="32"/>
  <c r="H149" i="31"/>
  <c r="H133" i="28"/>
  <c r="I164" i="26"/>
  <c r="C143" i="31"/>
  <c r="H132" i="32"/>
  <c r="C90" i="26"/>
  <c r="G186" i="29"/>
  <c r="I159" i="34"/>
  <c r="F178" i="28"/>
  <c r="H108" i="29"/>
  <c r="E148" i="27"/>
  <c r="D143" i="28"/>
  <c r="H147" i="32"/>
  <c r="E144" i="31"/>
  <c r="H152" i="31"/>
  <c r="I183" i="29"/>
  <c r="F175" i="29"/>
  <c r="F91" i="27"/>
  <c r="B118" i="14"/>
  <c r="D160" i="18"/>
  <c r="E74" i="14"/>
  <c r="D126" i="26"/>
  <c r="I138" i="29"/>
  <c r="E91" i="14"/>
  <c r="I149" i="34"/>
  <c r="G130" i="26"/>
  <c r="H90" i="27"/>
  <c r="E110" i="31"/>
  <c r="B105" i="34"/>
  <c r="C118" i="29"/>
  <c r="G163" i="34"/>
  <c r="C147" i="27"/>
  <c r="G165" i="14"/>
  <c r="E94" i="32"/>
  <c r="C103" i="28"/>
  <c r="H181" i="28"/>
  <c r="I163" i="28"/>
  <c r="H181" i="31"/>
  <c r="C79" i="18"/>
  <c r="E152" i="29"/>
  <c r="F91" i="28"/>
  <c r="B102" i="26"/>
  <c r="H77" i="26"/>
  <c r="D88" i="28"/>
  <c r="I95" i="29"/>
  <c r="C125" i="27"/>
  <c r="D99" i="32"/>
  <c r="D131" i="32"/>
  <c r="D136" i="14"/>
  <c r="F69" i="26"/>
  <c r="C127" i="18"/>
  <c r="D53" i="31"/>
  <c r="G115" i="18"/>
  <c r="B103" i="28"/>
  <c r="D153" i="27"/>
  <c r="C151" i="29"/>
  <c r="B143" i="34"/>
  <c r="C88" i="29"/>
  <c r="C68" i="32"/>
  <c r="G162" i="29"/>
  <c r="G129" i="14"/>
  <c r="G88" i="34"/>
  <c r="B154" i="29"/>
  <c r="D154" i="27"/>
  <c r="F147" i="28"/>
  <c r="I85" i="29"/>
  <c r="F117" i="28"/>
  <c r="E85" i="32"/>
  <c r="G125" i="32"/>
  <c r="G163" i="29"/>
  <c r="I151" i="27"/>
  <c r="F82" i="14"/>
  <c r="F137" i="29"/>
  <c r="G124" i="34"/>
  <c r="E183" i="31"/>
  <c r="F197" i="28"/>
  <c r="I105" i="27"/>
  <c r="B124" i="26"/>
  <c r="D190" i="14"/>
  <c r="D170" i="26"/>
  <c r="G110" i="14"/>
  <c r="E166" i="29"/>
  <c r="D132" i="28"/>
  <c r="H139" i="31"/>
  <c r="D109" i="34"/>
  <c r="B131" i="14"/>
  <c r="D72" i="27"/>
  <c r="C174" i="26"/>
  <c r="C95" i="18"/>
  <c r="G72" i="26"/>
  <c r="H172" i="14"/>
  <c r="H178" i="14"/>
  <c r="H143" i="34"/>
  <c r="H153" i="27"/>
  <c r="C134" i="28"/>
  <c r="G101" i="31"/>
  <c r="B109" i="27"/>
  <c r="C84" i="28"/>
  <c r="C126" i="29"/>
  <c r="B134" i="28"/>
  <c r="G89" i="29"/>
  <c r="H120" i="29"/>
  <c r="C175" i="29"/>
  <c r="E192" i="34"/>
  <c r="C142" i="29"/>
  <c r="H187" i="28"/>
  <c r="D77" i="27"/>
  <c r="B130" i="27"/>
  <c r="B85" i="32"/>
  <c r="B176" i="34"/>
  <c r="G90" i="28"/>
  <c r="C135" i="28"/>
  <c r="E185" i="26"/>
  <c r="I159" i="28"/>
  <c r="H105" i="27"/>
  <c r="B177" i="26"/>
  <c r="F117" i="29"/>
  <c r="F152" i="14"/>
  <c r="H124" i="27"/>
  <c r="C131" i="32"/>
  <c r="B143" i="29"/>
  <c r="F60" i="14"/>
  <c r="H117" i="34"/>
  <c r="F113" i="31"/>
  <c r="C160" i="32"/>
  <c r="C83" i="31"/>
  <c r="D102" i="18"/>
  <c r="G44" i="31"/>
  <c r="B97" i="14"/>
  <c r="H86" i="26"/>
  <c r="G144" i="27"/>
  <c r="E165" i="29"/>
  <c r="E141" i="34"/>
  <c r="B155" i="18"/>
  <c r="E123" i="26"/>
  <c r="G177" i="34"/>
  <c r="F176" i="29"/>
  <c r="G121" i="26"/>
  <c r="G120" i="34"/>
  <c r="E97" i="32"/>
  <c r="C154" i="28"/>
  <c r="G180" i="18"/>
  <c r="B185" i="14"/>
  <c r="E126" i="29"/>
  <c r="F41" i="31"/>
  <c r="D153" i="18"/>
  <c r="C182" i="18"/>
  <c r="E169" i="29"/>
  <c r="G183" i="28"/>
  <c r="H192" i="18"/>
  <c r="H104" i="18"/>
  <c r="C136" i="32"/>
  <c r="I104" i="29"/>
  <c r="C86" i="14"/>
  <c r="H159" i="32"/>
  <c r="C123" i="18"/>
  <c r="G84" i="27"/>
  <c r="B75" i="26"/>
  <c r="D172" i="27"/>
  <c r="C121" i="27"/>
  <c r="F96" i="29"/>
  <c r="E169" i="14"/>
  <c r="H161" i="14"/>
  <c r="I121" i="26"/>
  <c r="I133" i="29"/>
  <c r="I154" i="34"/>
  <c r="C180" i="29"/>
  <c r="G76" i="26"/>
  <c r="D149" i="18"/>
  <c r="D86" i="18"/>
  <c r="E173" i="31"/>
  <c r="H145" i="29"/>
  <c r="H131" i="27"/>
  <c r="C139" i="34"/>
  <c r="H78" i="32"/>
  <c r="I122" i="14"/>
  <c r="G93" i="18"/>
  <c r="H79" i="27"/>
  <c r="H185" i="34"/>
  <c r="B156" i="18"/>
  <c r="C163" i="28"/>
  <c r="D104" i="26"/>
  <c r="E146" i="29"/>
  <c r="G152" i="27"/>
  <c r="G83" i="28"/>
  <c r="H105" i="18"/>
  <c r="C161" i="34"/>
  <c r="B150" i="14"/>
  <c r="C174" i="28"/>
  <c r="C141" i="29"/>
  <c r="E161" i="29"/>
  <c r="F90" i="28"/>
  <c r="I136" i="27"/>
  <c r="I139" i="28"/>
  <c r="C170" i="34"/>
  <c r="H111" i="26"/>
  <c r="G160" i="18"/>
  <c r="H97" i="18"/>
  <c r="G76" i="27"/>
  <c r="H136" i="32"/>
  <c r="H101" i="31"/>
  <c r="D173" i="14"/>
  <c r="E150" i="14"/>
  <c r="H151" i="26"/>
  <c r="I103" i="34"/>
  <c r="C59" i="27"/>
  <c r="D137" i="28"/>
  <c r="D103" i="14"/>
  <c r="H137" i="28"/>
  <c r="F126" i="29"/>
  <c r="B78" i="32"/>
  <c r="C176" i="27"/>
  <c r="G128" i="34"/>
  <c r="E182" i="32"/>
  <c r="H135" i="28"/>
  <c r="G97" i="32"/>
  <c r="D111" i="27"/>
  <c r="C172" i="29"/>
  <c r="D97" i="31"/>
  <c r="E144" i="34"/>
  <c r="I89" i="29"/>
  <c r="D184" i="18"/>
  <c r="E129" i="32"/>
  <c r="F183" i="26"/>
  <c r="E132" i="14"/>
  <c r="F122" i="26"/>
  <c r="G116" i="14"/>
  <c r="H188" i="29"/>
  <c r="B78" i="29"/>
  <c r="C125" i="29"/>
  <c r="G142" i="26"/>
  <c r="G99" i="32"/>
  <c r="E84" i="29"/>
  <c r="G186" i="18"/>
  <c r="B131" i="34"/>
  <c r="F129" i="29"/>
  <c r="C71" i="14"/>
  <c r="G178" i="34"/>
  <c r="H153" i="14"/>
  <c r="B96" i="29"/>
  <c r="C113" i="26"/>
  <c r="H162" i="26"/>
  <c r="E179" i="14"/>
  <c r="C197" i="28"/>
  <c r="H124" i="32"/>
  <c r="D179" i="18"/>
  <c r="F78" i="31"/>
  <c r="F133" i="26"/>
  <c r="B139" i="27"/>
  <c r="B163" i="14"/>
  <c r="C130" i="29"/>
  <c r="D80" i="27"/>
  <c r="I92" i="27"/>
  <c r="G148" i="18"/>
  <c r="H156" i="34"/>
  <c r="G116" i="29"/>
  <c r="H94" i="28"/>
  <c r="C143" i="14"/>
  <c r="H79" i="26"/>
  <c r="H24" i="31"/>
  <c r="F66" i="32"/>
  <c r="I142" i="14"/>
  <c r="I144" i="26"/>
  <c r="B132" i="34"/>
  <c r="I123" i="27"/>
  <c r="B151" i="18"/>
  <c r="E168" i="34"/>
  <c r="H45" i="32"/>
  <c r="D76" i="27"/>
  <c r="H44" i="31"/>
  <c r="I144" i="34"/>
  <c r="D180" i="34"/>
  <c r="E103" i="29"/>
  <c r="I134" i="26"/>
  <c r="G132" i="32"/>
  <c r="G190" i="28"/>
  <c r="I170" i="28"/>
  <c r="F110" i="26"/>
  <c r="B156" i="32"/>
  <c r="I145" i="27"/>
  <c r="B133" i="14"/>
  <c r="D157" i="18"/>
  <c r="F124" i="14"/>
  <c r="C118" i="18"/>
  <c r="B183" i="32"/>
  <c r="G86" i="28"/>
  <c r="B154" i="18"/>
  <c r="D94" i="34"/>
  <c r="H134" i="18"/>
  <c r="B137" i="29"/>
  <c r="I84" i="29"/>
  <c r="F192" i="28"/>
  <c r="H147" i="28"/>
  <c r="H105" i="26"/>
  <c r="H30" i="32"/>
  <c r="I114" i="18"/>
  <c r="I187" i="14"/>
  <c r="D182" i="18"/>
  <c r="G149" i="34"/>
  <c r="C116" i="29"/>
  <c r="D181" i="29"/>
  <c r="H162" i="29"/>
  <c r="I155" i="26"/>
  <c r="B187" i="14"/>
  <c r="I147" i="29"/>
  <c r="G77" i="32"/>
  <c r="G136" i="14"/>
  <c r="B181" i="29"/>
  <c r="B151" i="34"/>
  <c r="B130" i="28"/>
  <c r="B178" i="34"/>
  <c r="C110" i="29"/>
  <c r="E120" i="14"/>
  <c r="E153" i="26"/>
  <c r="C93" i="28"/>
  <c r="B144" i="31"/>
  <c r="B89" i="34"/>
  <c r="D150" i="14"/>
  <c r="B169" i="28"/>
  <c r="B110" i="18"/>
  <c r="I117" i="26"/>
  <c r="B114" i="34"/>
  <c r="F110" i="28"/>
  <c r="E176" i="34"/>
  <c r="B131" i="27"/>
  <c r="H103" i="28"/>
  <c r="C163" i="29"/>
  <c r="B110" i="29"/>
  <c r="C142" i="28"/>
  <c r="D149" i="26"/>
  <c r="I130" i="14"/>
  <c r="G130" i="14"/>
  <c r="I165" i="34"/>
  <c r="H131" i="28"/>
  <c r="F129" i="14"/>
  <c r="C158" i="29"/>
  <c r="F105" i="14"/>
  <c r="G181" i="26"/>
  <c r="B113" i="31"/>
  <c r="C93" i="31"/>
  <c r="G105" i="32"/>
  <c r="F153" i="29"/>
  <c r="B58" i="32"/>
  <c r="F90" i="14"/>
  <c r="F148" i="14"/>
  <c r="G174" i="26"/>
  <c r="B137" i="28"/>
  <c r="G165" i="26"/>
  <c r="H88" i="27"/>
  <c r="I107" i="26"/>
  <c r="B118" i="26"/>
  <c r="F181" i="32"/>
  <c r="E141" i="27"/>
  <c r="F20" i="31"/>
  <c r="D108" i="27"/>
  <c r="C95" i="14"/>
  <c r="C128" i="14"/>
  <c r="C124" i="26"/>
  <c r="D154" i="28"/>
  <c r="G118" i="34"/>
  <c r="C163" i="31"/>
  <c r="G79" i="14"/>
  <c r="E100" i="14"/>
  <c r="I198" i="28"/>
  <c r="E154" i="26"/>
  <c r="B105" i="32"/>
  <c r="G33" i="31"/>
  <c r="C116" i="32"/>
  <c r="D146" i="28"/>
  <c r="H172" i="18"/>
  <c r="B130" i="32"/>
  <c r="B105" i="26"/>
  <c r="C188" i="34"/>
  <c r="E88" i="29"/>
  <c r="D165" i="26"/>
  <c r="D169" i="28"/>
  <c r="E36" i="32"/>
  <c r="G100" i="18"/>
  <c r="E110" i="26"/>
  <c r="C112" i="28"/>
  <c r="D171" i="26"/>
  <c r="E152" i="31"/>
  <c r="G171" i="27"/>
  <c r="C176" i="34"/>
  <c r="F67" i="32"/>
  <c r="E79" i="14"/>
  <c r="C137" i="28"/>
  <c r="I112" i="29"/>
  <c r="I164" i="27"/>
  <c r="E105" i="32"/>
  <c r="F169" i="31"/>
  <c r="D81" i="26"/>
  <c r="E130" i="27"/>
  <c r="G190" i="18"/>
  <c r="H196" i="28"/>
  <c r="G81" i="27"/>
  <c r="I128" i="28"/>
  <c r="H107" i="32"/>
  <c r="B100" i="32"/>
  <c r="B182" i="18"/>
  <c r="D157" i="32"/>
  <c r="D92" i="34"/>
  <c r="G88" i="32"/>
  <c r="G94" i="28"/>
  <c r="H182" i="18"/>
  <c r="C93" i="26"/>
  <c r="D132" i="14"/>
  <c r="C170" i="26"/>
  <c r="H145" i="34"/>
  <c r="G129" i="29"/>
  <c r="B125" i="31"/>
  <c r="I168" i="18"/>
  <c r="E91" i="31"/>
  <c r="I96" i="28"/>
  <c r="C149" i="26"/>
  <c r="G168" i="18"/>
  <c r="H159" i="31"/>
  <c r="G132" i="14"/>
  <c r="E193" i="34"/>
  <c r="I135" i="34"/>
  <c r="E139" i="32"/>
  <c r="B88" i="18"/>
  <c r="E94" i="34"/>
  <c r="F115" i="14"/>
  <c r="B98" i="34"/>
  <c r="I178" i="27"/>
  <c r="F195" i="28"/>
  <c r="G109" i="18"/>
  <c r="G112" i="18"/>
  <c r="G110" i="32"/>
  <c r="C152" i="29"/>
  <c r="C97" i="31"/>
  <c r="C108" i="14"/>
  <c r="F170" i="32"/>
  <c r="H174" i="18"/>
  <c r="B25" i="32"/>
  <c r="G167" i="28"/>
  <c r="E54" i="14"/>
  <c r="B103" i="18"/>
  <c r="G130" i="34"/>
  <c r="F62" i="32"/>
  <c r="G137" i="27"/>
  <c r="B141" i="29"/>
  <c r="H109" i="14"/>
  <c r="C178" i="14"/>
  <c r="G123" i="27"/>
  <c r="I115" i="29"/>
  <c r="C79" i="31"/>
  <c r="F166" i="31"/>
  <c r="H183" i="32"/>
  <c r="H159" i="14"/>
  <c r="I91" i="34"/>
  <c r="D176" i="28"/>
  <c r="D136" i="18"/>
  <c r="D140" i="27"/>
  <c r="G179" i="26"/>
  <c r="I53" i="27"/>
  <c r="B152" i="31"/>
  <c r="G72" i="27"/>
  <c r="F168" i="26"/>
  <c r="I173" i="34"/>
  <c r="F123" i="28"/>
  <c r="H184" i="34"/>
  <c r="B44" i="31"/>
  <c r="H125" i="32"/>
  <c r="G171" i="26"/>
  <c r="F170" i="31"/>
  <c r="C126" i="14"/>
  <c r="D138" i="14"/>
  <c r="C182" i="27"/>
  <c r="G146" i="27"/>
  <c r="E154" i="32"/>
  <c r="D116" i="31"/>
  <c r="F157" i="29"/>
  <c r="C158" i="27"/>
  <c r="G155" i="28"/>
  <c r="G94" i="29"/>
  <c r="H54" i="32"/>
  <c r="G135" i="26"/>
  <c r="E84" i="26"/>
  <c r="H113" i="26"/>
  <c r="C97" i="26"/>
  <c r="B111" i="34"/>
  <c r="G155" i="29"/>
  <c r="I189" i="29"/>
  <c r="D177" i="27"/>
  <c r="D91" i="18"/>
  <c r="H190" i="14"/>
  <c r="B171" i="31"/>
  <c r="B187" i="18"/>
  <c r="I133" i="18"/>
  <c r="D148" i="31"/>
  <c r="B111" i="27"/>
  <c r="B195" i="18"/>
  <c r="H92" i="31"/>
  <c r="F181" i="18"/>
  <c r="C98" i="18"/>
  <c r="D194" i="29"/>
  <c r="D181" i="27"/>
  <c r="G81" i="28"/>
  <c r="I127" i="28"/>
  <c r="D141" i="29"/>
  <c r="H93" i="29"/>
  <c r="D94" i="32"/>
  <c r="C77" i="32"/>
  <c r="B168" i="28"/>
  <c r="I92" i="26"/>
  <c r="E173" i="27"/>
  <c r="C179" i="32"/>
  <c r="I176" i="28"/>
  <c r="I105" i="18"/>
  <c r="C153" i="18"/>
  <c r="F87" i="31"/>
  <c r="C120" i="32"/>
  <c r="D143" i="27"/>
  <c r="G187" i="28"/>
  <c r="E76" i="27"/>
  <c r="B102" i="14"/>
  <c r="G189" i="14"/>
  <c r="G164" i="29"/>
  <c r="B152" i="26"/>
  <c r="G83" i="31"/>
  <c r="G177" i="32"/>
  <c r="D134" i="29"/>
  <c r="I135" i="26"/>
  <c r="D149" i="27"/>
  <c r="D171" i="34"/>
  <c r="G151" i="31"/>
  <c r="G139" i="27"/>
  <c r="B98" i="14"/>
  <c r="E101" i="27"/>
  <c r="D144" i="31"/>
  <c r="H136" i="14"/>
  <c r="F112" i="14"/>
  <c r="B122" i="29"/>
  <c r="B184" i="31"/>
  <c r="B115" i="27"/>
  <c r="G111" i="34"/>
  <c r="D127" i="27"/>
  <c r="G88" i="29"/>
  <c r="G103" i="31"/>
  <c r="I136" i="29"/>
  <c r="C80" i="18"/>
  <c r="H59" i="26"/>
  <c r="I89" i="26"/>
  <c r="H187" i="18"/>
  <c r="C155" i="29"/>
  <c r="D144" i="29"/>
  <c r="B147" i="34"/>
  <c r="C141" i="31"/>
  <c r="C177" i="18"/>
  <c r="I126" i="26"/>
  <c r="H189" i="18"/>
  <c r="D168" i="26"/>
  <c r="H116" i="31"/>
  <c r="H141" i="14"/>
  <c r="C77" i="31"/>
  <c r="C144" i="26"/>
  <c r="C122" i="34"/>
  <c r="I186" i="14"/>
  <c r="C149" i="28"/>
  <c r="B82" i="29"/>
  <c r="B120" i="32"/>
  <c r="C92" i="27"/>
  <c r="D169" i="18"/>
  <c r="D170" i="29"/>
  <c r="H57" i="31"/>
  <c r="B15" i="31"/>
  <c r="G129" i="28"/>
  <c r="E92" i="26"/>
  <c r="G142" i="18"/>
  <c r="D164" i="29"/>
  <c r="I185" i="34"/>
  <c r="B88" i="26"/>
  <c r="B170" i="27"/>
  <c r="C153" i="28"/>
  <c r="E156" i="29"/>
  <c r="F106" i="32"/>
  <c r="C101" i="29"/>
  <c r="G121" i="27"/>
  <c r="H151" i="29"/>
  <c r="H82" i="27"/>
  <c r="E101" i="31"/>
  <c r="B126" i="27"/>
  <c r="E119" i="27"/>
  <c r="G150" i="18"/>
  <c r="E100" i="26"/>
  <c r="C155" i="27"/>
  <c r="G132" i="34"/>
  <c r="D113" i="26"/>
  <c r="D124" i="34"/>
  <c r="F95" i="29"/>
  <c r="B77" i="27"/>
  <c r="B173" i="31"/>
  <c r="G108" i="32"/>
  <c r="C168" i="34"/>
  <c r="I161" i="27"/>
  <c r="D164" i="28"/>
  <c r="I116" i="14"/>
  <c r="I181" i="28"/>
  <c r="B163" i="29"/>
  <c r="G14" i="32"/>
  <c r="H94" i="14"/>
  <c r="B127" i="18"/>
  <c r="I132" i="14"/>
  <c r="E77" i="14"/>
  <c r="B86" i="18"/>
  <c r="B51" i="32"/>
  <c r="C174" i="18"/>
  <c r="G100" i="32"/>
  <c r="C145" i="34"/>
  <c r="I97" i="14"/>
  <c r="I176" i="14"/>
  <c r="D83" i="31"/>
  <c r="F163" i="14"/>
  <c r="C101" i="14"/>
  <c r="E107" i="29"/>
  <c r="G159" i="29"/>
  <c r="F121" i="28"/>
  <c r="G154" i="18"/>
  <c r="D175" i="34"/>
  <c r="D168" i="32"/>
  <c r="H121" i="29"/>
  <c r="F86" i="14"/>
  <c r="I138" i="18"/>
  <c r="B168" i="29"/>
  <c r="E89" i="14"/>
  <c r="G132" i="26"/>
  <c r="C141" i="34"/>
  <c r="I100" i="14"/>
  <c r="F99" i="14"/>
  <c r="F148" i="32"/>
  <c r="B119" i="32"/>
  <c r="C116" i="26"/>
  <c r="E92" i="34"/>
  <c r="E151" i="14"/>
  <c r="I140" i="14"/>
  <c r="F148" i="28"/>
  <c r="H159" i="34"/>
  <c r="G152" i="34"/>
  <c r="B181" i="18"/>
  <c r="E87" i="14"/>
  <c r="D114" i="34"/>
  <c r="E84" i="32"/>
  <c r="E97" i="14"/>
  <c r="D84" i="14"/>
  <c r="C70" i="14"/>
  <c r="B165" i="29"/>
  <c r="C105" i="27"/>
  <c r="E18" i="31"/>
  <c r="D153" i="28"/>
  <c r="G135" i="34"/>
  <c r="E89" i="29"/>
  <c r="D161" i="14"/>
  <c r="D178" i="27"/>
  <c r="H143" i="26"/>
  <c r="B86" i="28"/>
  <c r="H75" i="26"/>
  <c r="H115" i="31"/>
  <c r="C79" i="34"/>
  <c r="B144" i="28"/>
  <c r="H185" i="18"/>
  <c r="D110" i="31"/>
  <c r="I126" i="34"/>
  <c r="B117" i="26"/>
  <c r="B108" i="31"/>
  <c r="G174" i="32"/>
  <c r="G128" i="18"/>
  <c r="G116" i="32"/>
  <c r="F180" i="28"/>
  <c r="B82" i="28"/>
  <c r="I126" i="27"/>
  <c r="D182" i="32"/>
  <c r="B96" i="28"/>
  <c r="H62" i="31"/>
  <c r="H154" i="28"/>
  <c r="B69" i="27"/>
  <c r="H172" i="31"/>
  <c r="E6" i="31"/>
  <c r="H118" i="34"/>
  <c r="H111" i="28"/>
  <c r="G177" i="27"/>
  <c r="C106" i="14"/>
  <c r="G103" i="34"/>
  <c r="F175" i="31"/>
  <c r="B191" i="34"/>
  <c r="E122" i="14"/>
  <c r="I128" i="34"/>
  <c r="D88" i="32"/>
  <c r="G138" i="28"/>
  <c r="D196" i="18"/>
  <c r="D129" i="34"/>
  <c r="B105" i="27"/>
  <c r="G139" i="28"/>
  <c r="I101" i="14"/>
  <c r="D84" i="26"/>
  <c r="G194" i="28"/>
  <c r="G124" i="14"/>
  <c r="G140" i="26"/>
  <c r="D85" i="31"/>
  <c r="D15" i="31"/>
  <c r="G143" i="31"/>
  <c r="G122" i="34"/>
  <c r="E75" i="32"/>
  <c r="G173" i="28"/>
  <c r="B155" i="26"/>
  <c r="D144" i="26"/>
  <c r="G154" i="26"/>
  <c r="C120" i="28"/>
  <c r="D77" i="31"/>
  <c r="B117" i="27"/>
  <c r="B167" i="29"/>
  <c r="H172" i="29"/>
  <c r="G190" i="14"/>
  <c r="C150" i="32"/>
  <c r="H107" i="14"/>
  <c r="D155" i="34"/>
  <c r="E186" i="29"/>
  <c r="C106" i="32"/>
  <c r="C125" i="28"/>
  <c r="D139" i="28"/>
  <c r="E20" i="31"/>
  <c r="E113" i="34"/>
  <c r="D156" i="26"/>
  <c r="D84" i="29"/>
  <c r="I126" i="29"/>
  <c r="I103" i="26"/>
  <c r="B120" i="27"/>
  <c r="G29" i="32"/>
  <c r="E182" i="27"/>
  <c r="G111" i="14"/>
  <c r="D91" i="29"/>
  <c r="B129" i="31"/>
  <c r="H127" i="14"/>
  <c r="H167" i="34"/>
  <c r="D125" i="34"/>
  <c r="G167" i="18"/>
  <c r="E152" i="26"/>
  <c r="G127" i="34"/>
  <c r="G183" i="32"/>
  <c r="C184" i="26"/>
  <c r="G84" i="14"/>
  <c r="D73" i="27"/>
  <c r="F158" i="28"/>
  <c r="H177" i="29"/>
  <c r="B174" i="18"/>
  <c r="D48" i="31"/>
  <c r="C170" i="18"/>
  <c r="C132" i="32"/>
  <c r="D96" i="28"/>
  <c r="H109" i="32"/>
  <c r="I166" i="29"/>
  <c r="D171" i="27"/>
  <c r="E171" i="26"/>
  <c r="B130" i="29"/>
  <c r="F79" i="26"/>
  <c r="D175" i="14"/>
  <c r="I84" i="27"/>
  <c r="E147" i="26"/>
  <c r="C188" i="28"/>
  <c r="G142" i="27"/>
  <c r="E97" i="31"/>
  <c r="I143" i="14"/>
  <c r="I182" i="14"/>
  <c r="I116" i="26"/>
  <c r="B99" i="18"/>
  <c r="F53" i="31"/>
  <c r="B129" i="14"/>
  <c r="F131" i="29"/>
  <c r="I164" i="34"/>
  <c r="D176" i="18"/>
  <c r="C185" i="14"/>
  <c r="G98" i="14"/>
  <c r="C134" i="18"/>
  <c r="D109" i="32"/>
  <c r="H38" i="31"/>
  <c r="C155" i="26"/>
  <c r="D108" i="29"/>
  <c r="C164" i="14"/>
  <c r="I118" i="14"/>
  <c r="H139" i="34"/>
  <c r="I164" i="28"/>
  <c r="H148" i="14"/>
  <c r="E106" i="29"/>
  <c r="H158" i="32"/>
  <c r="B139" i="26"/>
  <c r="B171" i="28"/>
  <c r="D119" i="34"/>
  <c r="G141" i="26"/>
  <c r="D130" i="28"/>
  <c r="G130" i="29"/>
  <c r="D188" i="34"/>
  <c r="C162" i="34"/>
  <c r="G80" i="18"/>
  <c r="F143" i="29"/>
  <c r="E98" i="31"/>
  <c r="D73" i="14"/>
  <c r="D175" i="31"/>
  <c r="B134" i="26"/>
  <c r="B141" i="18"/>
  <c r="F155" i="31"/>
  <c r="C87" i="26"/>
  <c r="I140" i="27"/>
  <c r="H126" i="14"/>
  <c r="H133" i="26"/>
  <c r="C182" i="26"/>
  <c r="I128" i="29"/>
  <c r="B87" i="26"/>
  <c r="C94" i="32"/>
  <c r="B158" i="27"/>
  <c r="E80" i="34"/>
  <c r="H91" i="31"/>
  <c r="I94" i="28"/>
  <c r="H116" i="26"/>
  <c r="D158" i="34"/>
  <c r="I139" i="27"/>
  <c r="H132" i="29"/>
  <c r="B139" i="32"/>
  <c r="H148" i="18"/>
  <c r="G162" i="31"/>
  <c r="H182" i="32"/>
  <c r="G181" i="27"/>
  <c r="E119" i="34"/>
  <c r="C179" i="29"/>
  <c r="H174" i="29"/>
  <c r="H186" i="14"/>
  <c r="D114" i="29"/>
  <c r="D179" i="32"/>
  <c r="B138" i="18"/>
  <c r="D89" i="32"/>
  <c r="B97" i="31"/>
  <c r="H155" i="32"/>
  <c r="D90" i="28"/>
  <c r="B187" i="29"/>
  <c r="I88" i="14"/>
  <c r="B146" i="18"/>
  <c r="H119" i="28"/>
  <c r="G118" i="32"/>
  <c r="G171" i="31"/>
  <c r="E122" i="27"/>
  <c r="D105" i="28"/>
  <c r="G145" i="28"/>
  <c r="I112" i="26"/>
  <c r="D188" i="14"/>
  <c r="B123" i="26"/>
  <c r="B186" i="29"/>
  <c r="D116" i="14"/>
  <c r="B164" i="34"/>
  <c r="I136" i="14"/>
  <c r="E154" i="34"/>
  <c r="B175" i="29"/>
  <c r="F92" i="28"/>
  <c r="H168" i="31"/>
  <c r="G104" i="14"/>
  <c r="E148" i="26"/>
  <c r="F86" i="31"/>
  <c r="I164" i="14"/>
  <c r="G172" i="14"/>
  <c r="H167" i="26"/>
  <c r="E168" i="26"/>
  <c r="H161" i="29"/>
  <c r="B99" i="31"/>
  <c r="B101" i="14"/>
  <c r="E108" i="31"/>
  <c r="I72" i="26"/>
  <c r="C104" i="32"/>
  <c r="G144" i="34"/>
  <c r="D104" i="27"/>
  <c r="C117" i="18"/>
  <c r="E121" i="27"/>
  <c r="C127" i="26"/>
  <c r="B121" i="14"/>
  <c r="G190" i="34"/>
  <c r="D95" i="27"/>
  <c r="E124" i="32"/>
  <c r="G179" i="18"/>
  <c r="H87" i="31"/>
  <c r="F166" i="29"/>
  <c r="E167" i="31"/>
  <c r="F134" i="29"/>
  <c r="I115" i="28"/>
  <c r="E170" i="29"/>
  <c r="F158" i="14"/>
  <c r="E87" i="32"/>
  <c r="B155" i="32"/>
  <c r="I175" i="27"/>
  <c r="I150" i="34"/>
  <c r="I165" i="26"/>
  <c r="H175" i="28"/>
  <c r="G125" i="26"/>
  <c r="E171" i="29"/>
  <c r="H126" i="31"/>
  <c r="H112" i="26"/>
  <c r="B136" i="31"/>
  <c r="F132" i="28"/>
  <c r="G113" i="14"/>
  <c r="I135" i="27"/>
  <c r="C120" i="14"/>
  <c r="B167" i="28"/>
  <c r="I86" i="29"/>
  <c r="G175" i="14"/>
  <c r="B149" i="34"/>
  <c r="B14" i="31"/>
  <c r="D153" i="29"/>
  <c r="G133" i="34"/>
  <c r="I76" i="27"/>
  <c r="I80" i="29"/>
  <c r="D141" i="14"/>
  <c r="F157" i="28"/>
  <c r="G164" i="26"/>
  <c r="C99" i="18"/>
  <c r="D98" i="18"/>
  <c r="D124" i="26"/>
  <c r="G154" i="29"/>
  <c r="D120" i="26"/>
  <c r="D88" i="34"/>
  <c r="B170" i="28"/>
  <c r="F178" i="29"/>
  <c r="C139" i="27"/>
  <c r="G101" i="27"/>
  <c r="D112" i="32"/>
  <c r="D181" i="14"/>
  <c r="I176" i="29"/>
  <c r="C183" i="32"/>
  <c r="B81" i="14"/>
  <c r="D138" i="18"/>
  <c r="E152" i="34"/>
  <c r="D173" i="34"/>
  <c r="H188" i="34"/>
  <c r="G193" i="34"/>
  <c r="B79" i="29"/>
  <c r="C57" i="31"/>
  <c r="H121" i="28"/>
  <c r="D177" i="34"/>
  <c r="D115" i="26"/>
  <c r="H126" i="29"/>
  <c r="E171" i="31"/>
  <c r="C75" i="32"/>
  <c r="I96" i="34"/>
  <c r="F162" i="28"/>
  <c r="D110" i="26"/>
  <c r="C135" i="27"/>
  <c r="C127" i="27"/>
  <c r="H95" i="14"/>
  <c r="C14" i="32"/>
  <c r="I80" i="14"/>
  <c r="G127" i="14"/>
  <c r="E115" i="34"/>
  <c r="B48" i="31"/>
  <c r="B158" i="18"/>
  <c r="D150" i="32"/>
  <c r="B194" i="29"/>
  <c r="B170" i="32"/>
  <c r="H104" i="28"/>
  <c r="C134" i="34"/>
  <c r="B110" i="34"/>
  <c r="B81" i="18"/>
  <c r="F93" i="14"/>
  <c r="G25" i="32"/>
  <c r="E116" i="26"/>
  <c r="B186" i="14"/>
  <c r="I121" i="18"/>
  <c r="F180" i="14"/>
  <c r="H160" i="14"/>
  <c r="F181" i="14"/>
  <c r="G144" i="29"/>
  <c r="G136" i="18"/>
  <c r="G112" i="26"/>
  <c r="B84" i="31"/>
  <c r="C86" i="28"/>
  <c r="D178" i="26"/>
  <c r="G142" i="32"/>
  <c r="C112" i="26"/>
  <c r="G134" i="31"/>
  <c r="E94" i="31"/>
  <c r="E72" i="26"/>
  <c r="F97" i="26"/>
  <c r="G184" i="31"/>
  <c r="C149" i="34"/>
  <c r="E114" i="26"/>
  <c r="C127" i="28"/>
  <c r="I120" i="14"/>
  <c r="B176" i="27"/>
  <c r="B116" i="28"/>
  <c r="F168" i="32"/>
  <c r="C84" i="32"/>
  <c r="C169" i="18"/>
  <c r="H183" i="27"/>
  <c r="G114" i="31"/>
  <c r="D179" i="28"/>
  <c r="I148" i="29"/>
  <c r="G78" i="27"/>
  <c r="C108" i="29"/>
  <c r="F175" i="26"/>
  <c r="I91" i="14"/>
  <c r="B99" i="28"/>
  <c r="B117" i="29"/>
  <c r="D14" i="31"/>
  <c r="D143" i="31"/>
  <c r="D93" i="26"/>
  <c r="B164" i="14"/>
  <c r="G128" i="14"/>
  <c r="E184" i="27"/>
  <c r="C82" i="28"/>
  <c r="I157" i="27"/>
  <c r="D134" i="27"/>
  <c r="D128" i="27"/>
  <c r="F154" i="14"/>
  <c r="B119" i="18"/>
  <c r="G87" i="18"/>
  <c r="H131" i="29"/>
  <c r="I192" i="18"/>
  <c r="D166" i="31"/>
  <c r="C104" i="27"/>
  <c r="D136" i="28"/>
  <c r="G96" i="34"/>
  <c r="G102" i="31"/>
  <c r="C129" i="27"/>
  <c r="G172" i="18"/>
  <c r="C190" i="28"/>
  <c r="B129" i="26"/>
  <c r="F168" i="27"/>
  <c r="F107" i="29"/>
  <c r="G85" i="28"/>
  <c r="G170" i="29"/>
  <c r="D121" i="14"/>
  <c r="H104" i="26"/>
  <c r="H156" i="31"/>
  <c r="B157" i="28"/>
  <c r="D22" i="31"/>
  <c r="D158" i="29"/>
  <c r="G172" i="27"/>
  <c r="F101" i="26"/>
  <c r="H191" i="34"/>
  <c r="I138" i="26"/>
  <c r="D135" i="28"/>
  <c r="B115" i="31"/>
  <c r="F102" i="28"/>
  <c r="C119" i="34"/>
  <c r="F168" i="28"/>
  <c r="I150" i="27"/>
  <c r="D131" i="31"/>
  <c r="B46" i="31"/>
  <c r="D124" i="14"/>
  <c r="D154" i="29"/>
  <c r="H179" i="31"/>
  <c r="F83" i="26"/>
  <c r="H100" i="27"/>
  <c r="D115" i="27"/>
  <c r="F123" i="14"/>
  <c r="F112" i="26"/>
  <c r="G161" i="14"/>
  <c r="E164" i="14"/>
  <c r="I99" i="34"/>
  <c r="B144" i="14"/>
  <c r="D97" i="32"/>
  <c r="D62" i="32"/>
  <c r="I69" i="27"/>
  <c r="H142" i="32"/>
  <c r="H178" i="28"/>
  <c r="B45" i="32"/>
  <c r="I119" i="18"/>
  <c r="I104" i="27"/>
  <c r="G101" i="28"/>
  <c r="D97" i="26"/>
  <c r="H145" i="28"/>
  <c r="H136" i="29"/>
  <c r="F138" i="31"/>
  <c r="D109" i="28"/>
  <c r="E96" i="26"/>
  <c r="H123" i="29"/>
  <c r="I106" i="26"/>
  <c r="E112" i="32"/>
  <c r="G171" i="29"/>
  <c r="D188" i="28"/>
  <c r="B138" i="34"/>
  <c r="H128" i="28"/>
  <c r="I141" i="14"/>
  <c r="H159" i="29"/>
  <c r="F4" i="32"/>
  <c r="F179" i="14"/>
  <c r="E172" i="14"/>
  <c r="I138" i="34"/>
  <c r="I111" i="28"/>
  <c r="E148" i="34"/>
  <c r="I184" i="28"/>
  <c r="H167" i="27"/>
  <c r="B116" i="26"/>
  <c r="D35" i="32"/>
  <c r="I126" i="28"/>
  <c r="D141" i="34"/>
  <c r="I186" i="28"/>
  <c r="H112" i="14"/>
  <c r="G81" i="34"/>
  <c r="G196" i="18"/>
  <c r="D39" i="31"/>
  <c r="G188" i="34"/>
  <c r="C20" i="32"/>
  <c r="I123" i="14"/>
  <c r="C171" i="34"/>
  <c r="G184" i="27"/>
  <c r="B151" i="27"/>
  <c r="E157" i="34"/>
  <c r="G84" i="29"/>
  <c r="H112" i="31"/>
  <c r="I162" i="34"/>
  <c r="I138" i="14"/>
  <c r="H185" i="26"/>
  <c r="G171" i="28"/>
  <c r="F131" i="14"/>
  <c r="F50" i="31"/>
  <c r="C146" i="32"/>
  <c r="F91" i="29"/>
  <c r="E69" i="26"/>
  <c r="I164" i="18"/>
  <c r="F126" i="14"/>
  <c r="H180" i="29"/>
  <c r="I87" i="34"/>
  <c r="H126" i="28"/>
  <c r="G103" i="26"/>
  <c r="D145" i="28"/>
  <c r="C112" i="18"/>
  <c r="F79" i="28"/>
  <c r="D180" i="14"/>
  <c r="E166" i="31"/>
  <c r="E143" i="27"/>
  <c r="F134" i="26"/>
  <c r="D143" i="32"/>
  <c r="E164" i="31"/>
  <c r="E112" i="31"/>
  <c r="E180" i="34"/>
  <c r="G137" i="28"/>
  <c r="I106" i="18"/>
  <c r="E150" i="27"/>
  <c r="H107" i="29"/>
  <c r="C91" i="18"/>
  <c r="D157" i="28"/>
  <c r="D87" i="34"/>
  <c r="B169" i="26"/>
  <c r="D150" i="18"/>
  <c r="B66" i="32"/>
  <c r="G142" i="14"/>
  <c r="G97" i="14"/>
  <c r="D97" i="34"/>
  <c r="F12" i="32"/>
  <c r="G182" i="29"/>
  <c r="D123" i="14"/>
  <c r="E108" i="27"/>
  <c r="I183" i="27"/>
  <c r="I135" i="28"/>
  <c r="H26" i="32"/>
  <c r="H87" i="32"/>
  <c r="B147" i="14"/>
  <c r="F27" i="31"/>
  <c r="G34" i="32"/>
  <c r="E88" i="27"/>
  <c r="G74" i="14"/>
  <c r="E127" i="26"/>
  <c r="D180" i="28"/>
  <c r="D185" i="29"/>
  <c r="F84" i="29"/>
  <c r="I131" i="27"/>
  <c r="G173" i="29"/>
  <c r="G87" i="34"/>
  <c r="D175" i="29"/>
  <c r="B136" i="34"/>
  <c r="F161" i="26"/>
  <c r="D181" i="26"/>
  <c r="C160" i="26"/>
  <c r="C97" i="32"/>
  <c r="C139" i="26"/>
  <c r="E178" i="14"/>
  <c r="I171" i="29"/>
  <c r="I160" i="14"/>
  <c r="I129" i="27"/>
  <c r="E136" i="14"/>
  <c r="H172" i="32"/>
  <c r="C151" i="26"/>
  <c r="D164" i="14"/>
  <c r="C159" i="27"/>
  <c r="C169" i="14"/>
  <c r="E109" i="29"/>
  <c r="F106" i="28"/>
  <c r="I156" i="26"/>
  <c r="H123" i="27"/>
  <c r="G166" i="32"/>
  <c r="D119" i="28"/>
  <c r="H184" i="18"/>
  <c r="C104" i="18"/>
  <c r="H113" i="14"/>
  <c r="E73" i="26"/>
  <c r="G116" i="34"/>
  <c r="B73" i="26"/>
  <c r="F136" i="14"/>
  <c r="H87" i="18"/>
  <c r="H146" i="18"/>
  <c r="E164" i="34"/>
  <c r="E152" i="14"/>
  <c r="C119" i="29"/>
  <c r="H178" i="31"/>
  <c r="B170" i="26"/>
  <c r="I167" i="26"/>
  <c r="G122" i="31"/>
  <c r="E127" i="14"/>
  <c r="D142" i="34"/>
  <c r="I124" i="18"/>
  <c r="G162" i="28"/>
  <c r="D119" i="31"/>
  <c r="H115" i="32"/>
  <c r="I156" i="18"/>
  <c r="F117" i="26"/>
  <c r="I185" i="28"/>
  <c r="F142" i="32"/>
  <c r="G81" i="18"/>
  <c r="G174" i="31"/>
  <c r="C132" i="28"/>
  <c r="D162" i="28"/>
  <c r="C47" i="32"/>
  <c r="B128" i="27"/>
  <c r="B106" i="34"/>
  <c r="G104" i="18"/>
  <c r="B60" i="14"/>
  <c r="H72" i="27"/>
  <c r="C177" i="32"/>
  <c r="F110" i="31"/>
  <c r="F141" i="29"/>
  <c r="D130" i="34"/>
  <c r="E102" i="14"/>
  <c r="H126" i="27"/>
  <c r="E151" i="31"/>
  <c r="G150" i="27"/>
  <c r="G147" i="26"/>
  <c r="G143" i="14"/>
  <c r="G79" i="29"/>
  <c r="D86" i="32"/>
  <c r="I148" i="14"/>
  <c r="D77" i="26"/>
  <c r="D182" i="14"/>
  <c r="C82" i="14"/>
  <c r="H114" i="28"/>
  <c r="C90" i="28"/>
  <c r="H110" i="31"/>
  <c r="G113" i="27"/>
  <c r="D102" i="34"/>
  <c r="B106" i="14"/>
  <c r="D161" i="26"/>
  <c r="E173" i="26"/>
  <c r="C97" i="29"/>
  <c r="B92" i="26"/>
  <c r="H104" i="34"/>
  <c r="I90" i="18"/>
  <c r="F121" i="29"/>
  <c r="D116" i="18"/>
  <c r="D122" i="29"/>
  <c r="H110" i="28"/>
  <c r="H167" i="18"/>
  <c r="D36" i="32"/>
  <c r="D158" i="26"/>
  <c r="F156" i="29"/>
  <c r="G108" i="14"/>
  <c r="F141" i="32"/>
  <c r="E108" i="26"/>
  <c r="B107" i="18"/>
  <c r="H80" i="34"/>
  <c r="F156" i="31"/>
  <c r="G138" i="27"/>
  <c r="B143" i="18"/>
  <c r="F140" i="31"/>
  <c r="E166" i="34"/>
  <c r="G20" i="32"/>
  <c r="G143" i="27"/>
  <c r="I145" i="26"/>
  <c r="F171" i="29"/>
  <c r="E93" i="34"/>
  <c r="G144" i="32"/>
  <c r="F95" i="28"/>
  <c r="H167" i="28"/>
  <c r="H139" i="29"/>
  <c r="F181" i="26"/>
  <c r="G168" i="31"/>
  <c r="B98" i="27"/>
  <c r="G128" i="32"/>
  <c r="H95" i="29"/>
  <c r="G91" i="18"/>
  <c r="D83" i="28"/>
  <c r="B82" i="34"/>
  <c r="G172" i="29"/>
  <c r="I134" i="34"/>
  <c r="G126" i="29"/>
  <c r="G120" i="27"/>
  <c r="H154" i="26"/>
  <c r="C54" i="32"/>
  <c r="H148" i="26"/>
  <c r="B158" i="32"/>
  <c r="G126" i="14"/>
  <c r="H154" i="29"/>
  <c r="H77" i="27"/>
  <c r="I103" i="18"/>
  <c r="E158" i="29"/>
  <c r="F87" i="28"/>
  <c r="I134" i="27"/>
  <c r="H179" i="27"/>
  <c r="E180" i="32"/>
  <c r="E155" i="26"/>
  <c r="C160" i="34"/>
  <c r="I85" i="18"/>
  <c r="G157" i="28"/>
  <c r="B115" i="32"/>
  <c r="D133" i="14"/>
  <c r="C133" i="34"/>
  <c r="G174" i="29"/>
  <c r="B166" i="18"/>
  <c r="I183" i="34"/>
  <c r="G87" i="14"/>
  <c r="D96" i="18"/>
  <c r="H192" i="29"/>
  <c r="H172" i="28"/>
  <c r="D97" i="14"/>
  <c r="I92" i="29"/>
  <c r="G96" i="27"/>
  <c r="C110" i="28"/>
  <c r="D114" i="18"/>
  <c r="D161" i="18"/>
  <c r="C12" i="32"/>
  <c r="H177" i="32"/>
  <c r="F81" i="14"/>
  <c r="G147" i="28"/>
  <c r="B189" i="34"/>
  <c r="I96" i="18"/>
  <c r="G178" i="27"/>
  <c r="F147" i="26"/>
  <c r="D70" i="14"/>
  <c r="C76" i="26"/>
  <c r="C168" i="29"/>
  <c r="B173" i="18"/>
  <c r="C118" i="14"/>
  <c r="E95" i="27"/>
  <c r="G86" i="32"/>
  <c r="H177" i="18"/>
  <c r="D73" i="26"/>
  <c r="B121" i="31"/>
  <c r="H103" i="29"/>
  <c r="I160" i="26"/>
  <c r="D91" i="26"/>
  <c r="H184" i="31"/>
  <c r="F186" i="29"/>
  <c r="B180" i="28"/>
  <c r="H182" i="34"/>
  <c r="I139" i="29"/>
  <c r="D154" i="32"/>
  <c r="H135" i="34"/>
  <c r="B177" i="29"/>
  <c r="I169" i="18"/>
  <c r="H159" i="27"/>
  <c r="G197" i="28"/>
  <c r="B146" i="32"/>
  <c r="D159" i="29"/>
  <c r="C96" i="28"/>
  <c r="C134" i="32"/>
  <c r="B116" i="31"/>
  <c r="G110" i="18"/>
  <c r="D80" i="29"/>
  <c r="B101" i="18"/>
  <c r="G160" i="31"/>
  <c r="H105" i="34"/>
  <c r="G147" i="29"/>
  <c r="H88" i="34"/>
  <c r="C133" i="27"/>
  <c r="H104" i="32"/>
  <c r="I91" i="29"/>
  <c r="B142" i="29"/>
  <c r="B102" i="18"/>
  <c r="I186" i="34"/>
  <c r="D160" i="31"/>
  <c r="I182" i="27"/>
  <c r="I101" i="18"/>
  <c r="C160" i="14"/>
  <c r="D92" i="32"/>
  <c r="I82" i="26"/>
  <c r="B100" i="28"/>
  <c r="I92" i="18"/>
  <c r="D163" i="32"/>
  <c r="G81" i="29"/>
  <c r="G88" i="14"/>
  <c r="H125" i="34"/>
  <c r="D135" i="14"/>
  <c r="C151" i="31"/>
  <c r="H75" i="27"/>
  <c r="I79" i="27"/>
  <c r="G153" i="29"/>
  <c r="B156" i="31"/>
  <c r="B90" i="14"/>
  <c r="D113" i="32"/>
  <c r="H142" i="29"/>
  <c r="D161" i="28"/>
  <c r="G172" i="26"/>
  <c r="E20" i="32"/>
  <c r="G111" i="26"/>
  <c r="I132" i="27"/>
  <c r="G86" i="29"/>
  <c r="B121" i="27"/>
  <c r="C10" i="31"/>
  <c r="H41" i="31"/>
  <c r="C42" i="31"/>
  <c r="D112" i="29"/>
  <c r="H86" i="29"/>
  <c r="C115" i="28"/>
  <c r="F170" i="14"/>
  <c r="C132" i="29"/>
  <c r="I92" i="28"/>
  <c r="B194" i="34"/>
  <c r="C124" i="32"/>
  <c r="E96" i="29"/>
  <c r="H119" i="31"/>
  <c r="G113" i="29"/>
  <c r="H150" i="14"/>
  <c r="I116" i="18"/>
  <c r="B21" i="32"/>
  <c r="H158" i="28"/>
  <c r="D101" i="31"/>
  <c r="C144" i="32"/>
  <c r="E164" i="27"/>
  <c r="F113" i="28"/>
  <c r="G101" i="34"/>
  <c r="D100" i="18"/>
  <c r="G178" i="28"/>
  <c r="F89" i="14"/>
  <c r="G137" i="18"/>
  <c r="D115" i="14"/>
  <c r="G131" i="34"/>
  <c r="I108" i="14"/>
  <c r="H93" i="28"/>
  <c r="B151" i="31"/>
  <c r="E182" i="34"/>
  <c r="I112" i="28"/>
  <c r="B132" i="28"/>
  <c r="C114" i="29"/>
  <c r="C173" i="31"/>
  <c r="E111" i="27"/>
  <c r="C79" i="14"/>
  <c r="G100" i="14"/>
  <c r="G185" i="18"/>
  <c r="F172" i="32"/>
  <c r="G107" i="26"/>
  <c r="G115" i="26"/>
  <c r="H90" i="28"/>
  <c r="C118" i="27"/>
  <c r="H108" i="27"/>
  <c r="H198" i="28"/>
  <c r="I134" i="29"/>
  <c r="C110" i="18"/>
  <c r="G115" i="14"/>
  <c r="C175" i="31"/>
  <c r="E88" i="32"/>
  <c r="H148" i="29"/>
  <c r="D140" i="28"/>
  <c r="F159" i="32"/>
  <c r="G136" i="27"/>
  <c r="G144" i="31"/>
  <c r="B73" i="14"/>
  <c r="B154" i="34"/>
  <c r="H94" i="18"/>
  <c r="B90" i="29"/>
  <c r="C172" i="27"/>
  <c r="G179" i="28"/>
  <c r="C66" i="32"/>
  <c r="F134" i="32"/>
  <c r="H169" i="14"/>
  <c r="E83" i="31"/>
  <c r="E85" i="27"/>
  <c r="E98" i="34"/>
  <c r="G73" i="26"/>
  <c r="H88" i="26"/>
  <c r="F170" i="28"/>
  <c r="F161" i="31"/>
  <c r="D190" i="34"/>
  <c r="G41" i="31"/>
  <c r="G88" i="27"/>
  <c r="I151" i="28"/>
  <c r="C87" i="31"/>
  <c r="B104" i="27"/>
  <c r="G157" i="29"/>
  <c r="I163" i="29"/>
  <c r="H82" i="14"/>
  <c r="G95" i="32"/>
  <c r="F165" i="14"/>
  <c r="D189" i="29"/>
  <c r="C158" i="14"/>
  <c r="C107" i="28"/>
  <c r="D136" i="31"/>
  <c r="H181" i="26"/>
  <c r="D184" i="28"/>
  <c r="B88" i="14"/>
  <c r="F149" i="14"/>
  <c r="C166" i="32"/>
  <c r="H84" i="14"/>
  <c r="E112" i="34"/>
  <c r="I165" i="27"/>
  <c r="B145" i="18"/>
  <c r="C126" i="28"/>
  <c r="D165" i="28"/>
  <c r="D92" i="14"/>
  <c r="G172" i="32"/>
  <c r="H113" i="32"/>
  <c r="C171" i="27"/>
  <c r="D85" i="34"/>
  <c r="B119" i="34"/>
  <c r="E132" i="26"/>
  <c r="D30" i="32"/>
  <c r="C119" i="18"/>
  <c r="G123" i="28"/>
  <c r="D78" i="29"/>
  <c r="C89" i="29"/>
  <c r="H96" i="14"/>
  <c r="I54" i="14"/>
  <c r="B192" i="18"/>
  <c r="H195" i="28"/>
  <c r="I161" i="28"/>
  <c r="F9" i="32"/>
  <c r="I118" i="27"/>
  <c r="D54" i="14"/>
  <c r="H89" i="34"/>
  <c r="E158" i="26"/>
  <c r="H190" i="28"/>
  <c r="C119" i="31"/>
  <c r="I158" i="34"/>
  <c r="F118" i="28"/>
  <c r="E160" i="34"/>
  <c r="C120" i="31"/>
  <c r="C51" i="32"/>
  <c r="C124" i="31"/>
  <c r="E126" i="27"/>
  <c r="G6" i="31"/>
  <c r="E90" i="14"/>
  <c r="I85" i="14"/>
  <c r="E107" i="26"/>
  <c r="D140" i="31"/>
  <c r="F119" i="28"/>
  <c r="C101" i="18"/>
  <c r="D193" i="29"/>
  <c r="C153" i="31"/>
  <c r="E157" i="14"/>
  <c r="I170" i="29"/>
  <c r="G178" i="29"/>
  <c r="D109" i="14"/>
  <c r="F90" i="32"/>
  <c r="D111" i="34"/>
  <c r="B148" i="27"/>
  <c r="I117" i="29"/>
  <c r="D151" i="31"/>
  <c r="B175" i="32"/>
  <c r="G117" i="27"/>
  <c r="D164" i="31"/>
  <c r="C164" i="31"/>
  <c r="D137" i="27"/>
  <c r="H189" i="29"/>
  <c r="C165" i="26"/>
  <c r="C125" i="31"/>
  <c r="I141" i="34"/>
  <c r="G136" i="32"/>
  <c r="D95" i="32"/>
  <c r="D183" i="26"/>
  <c r="C173" i="29"/>
  <c r="G160" i="26"/>
  <c r="B104" i="29"/>
  <c r="H56" i="31"/>
  <c r="B137" i="18"/>
  <c r="H120" i="14"/>
  <c r="D126" i="27"/>
  <c r="F160" i="32"/>
  <c r="G189" i="18"/>
  <c r="C160" i="27"/>
  <c r="H120" i="31"/>
  <c r="I91" i="27"/>
  <c r="H92" i="28"/>
  <c r="G153" i="31"/>
  <c r="G173" i="26"/>
  <c r="F89" i="29"/>
  <c r="F114" i="14"/>
  <c r="I129" i="14"/>
  <c r="C100" i="29"/>
  <c r="F79" i="14"/>
  <c r="B103" i="31"/>
  <c r="D77" i="14"/>
  <c r="B149" i="27"/>
  <c r="C113" i="14"/>
  <c r="F90" i="29"/>
  <c r="G45" i="32"/>
  <c r="E82" i="29"/>
  <c r="E132" i="29"/>
  <c r="D178" i="18"/>
  <c r="D183" i="34"/>
  <c r="H165" i="34"/>
  <c r="H113" i="31"/>
  <c r="D118" i="27"/>
  <c r="C111" i="14"/>
  <c r="B111" i="31"/>
  <c r="C159" i="32"/>
  <c r="F103" i="14"/>
  <c r="E162" i="34"/>
  <c r="D91" i="14"/>
  <c r="G97" i="26"/>
  <c r="D60" i="14"/>
  <c r="G156" i="18"/>
  <c r="B173" i="34"/>
  <c r="C138" i="32"/>
  <c r="D128" i="29"/>
  <c r="B150" i="26"/>
  <c r="D147" i="26"/>
  <c r="H58" i="32"/>
  <c r="B146" i="14"/>
  <c r="G121" i="34"/>
  <c r="B161" i="29"/>
  <c r="I161" i="34"/>
  <c r="H131" i="14"/>
  <c r="D113" i="34"/>
  <c r="C150" i="29"/>
  <c r="B101" i="32"/>
  <c r="H185" i="28"/>
  <c r="C83" i="28"/>
  <c r="I130" i="29"/>
  <c r="D107" i="27"/>
  <c r="C93" i="14"/>
  <c r="B172" i="26"/>
  <c r="D82" i="31"/>
  <c r="G168" i="29"/>
  <c r="G92" i="34"/>
  <c r="G109" i="26"/>
  <c r="C186" i="14"/>
  <c r="H97" i="31"/>
  <c r="I155" i="34"/>
  <c r="E118" i="26"/>
  <c r="I159" i="14"/>
  <c r="E179" i="29"/>
  <c r="C100" i="34"/>
  <c r="C161" i="28"/>
  <c r="G145" i="18"/>
  <c r="F181" i="31"/>
  <c r="H95" i="18"/>
  <c r="I170" i="18"/>
  <c r="I147" i="18"/>
  <c r="D121" i="32"/>
  <c r="I162" i="29"/>
  <c r="I116" i="27"/>
  <c r="I172" i="14"/>
  <c r="H140" i="28"/>
  <c r="F155" i="29"/>
  <c r="H80" i="26"/>
  <c r="I179" i="18"/>
  <c r="I158" i="29"/>
  <c r="H130" i="34"/>
  <c r="G104" i="29"/>
  <c r="F168" i="31"/>
  <c r="F136" i="31"/>
  <c r="G157" i="34"/>
  <c r="B121" i="32"/>
  <c r="C156" i="26"/>
  <c r="C166" i="31"/>
  <c r="E134" i="26"/>
  <c r="E135" i="34"/>
  <c r="B182" i="29"/>
  <c r="G193" i="18"/>
  <c r="C186" i="18"/>
  <c r="E104" i="27"/>
  <c r="I93" i="34"/>
  <c r="E103" i="14"/>
  <c r="G131" i="32"/>
  <c r="H107" i="27"/>
  <c r="I188" i="29"/>
  <c r="B131" i="29"/>
  <c r="C191" i="28"/>
  <c r="I73" i="27"/>
  <c r="B143" i="14"/>
  <c r="E105" i="34"/>
  <c r="E177" i="34"/>
  <c r="G18" i="31"/>
  <c r="C25" i="32"/>
  <c r="C171" i="28"/>
  <c r="C133" i="14"/>
  <c r="C109" i="14"/>
  <c r="C94" i="31"/>
  <c r="H175" i="29"/>
  <c r="D114" i="27"/>
  <c r="B194" i="28"/>
  <c r="C140" i="14"/>
  <c r="C123" i="14"/>
  <c r="D158" i="31"/>
  <c r="E180" i="14"/>
  <c r="E97" i="27"/>
  <c r="F154" i="28"/>
  <c r="F181" i="29"/>
  <c r="C124" i="29"/>
  <c r="I79" i="18"/>
  <c r="D96" i="34"/>
  <c r="E120" i="26"/>
  <c r="G113" i="28"/>
  <c r="D95" i="18"/>
  <c r="H155" i="34"/>
  <c r="B159" i="32"/>
  <c r="G198" i="18"/>
  <c r="F104" i="14"/>
  <c r="D113" i="27"/>
  <c r="C155" i="31"/>
  <c r="I129" i="26"/>
  <c r="H118" i="27"/>
  <c r="D135" i="29"/>
  <c r="B111" i="18"/>
  <c r="G167" i="14"/>
  <c r="E185" i="14"/>
  <c r="G135" i="32"/>
  <c r="B128" i="18"/>
  <c r="C78" i="14"/>
  <c r="B159" i="27"/>
  <c r="G172" i="28"/>
  <c r="E151" i="34"/>
  <c r="F128" i="32"/>
  <c r="I154" i="26"/>
  <c r="D141" i="27"/>
  <c r="D142" i="14"/>
  <c r="C163" i="34"/>
  <c r="G164" i="28"/>
  <c r="E94" i="14"/>
  <c r="H178" i="26"/>
  <c r="G170" i="27"/>
  <c r="G92" i="29"/>
  <c r="C39" i="31"/>
  <c r="C180" i="14"/>
  <c r="F193" i="28"/>
  <c r="E159" i="26"/>
  <c r="C79" i="27"/>
  <c r="I175" i="29"/>
  <c r="D166" i="26"/>
  <c r="D119" i="14"/>
  <c r="H105" i="29"/>
  <c r="H146" i="32"/>
  <c r="B114" i="31"/>
  <c r="H126" i="34"/>
  <c r="H83" i="28"/>
  <c r="E113" i="26"/>
  <c r="C177" i="34"/>
  <c r="G100" i="27"/>
  <c r="E186" i="34"/>
  <c r="B113" i="27"/>
  <c r="E158" i="31"/>
  <c r="B190" i="18"/>
  <c r="H59" i="27"/>
  <c r="D139" i="26"/>
  <c r="E126" i="34"/>
  <c r="B138" i="32"/>
  <c r="H109" i="18"/>
  <c r="H137" i="18"/>
  <c r="B144" i="34"/>
  <c r="I139" i="14"/>
  <c r="E87" i="26"/>
  <c r="F88" i="26"/>
  <c r="C93" i="18"/>
  <c r="G136" i="29"/>
  <c r="F116" i="14"/>
  <c r="D44" i="31"/>
  <c r="C81" i="18"/>
  <c r="H131" i="31"/>
  <c r="I184" i="34"/>
  <c r="F64" i="31"/>
  <c r="H103" i="26"/>
  <c r="F181" i="27"/>
  <c r="B144" i="27"/>
  <c r="C80" i="29"/>
  <c r="D148" i="26"/>
  <c r="I106" i="14"/>
  <c r="D147" i="18"/>
  <c r="H101" i="34"/>
  <c r="G153" i="14"/>
  <c r="C112" i="31"/>
  <c r="C156" i="34"/>
  <c r="H173" i="34"/>
  <c r="E122" i="26"/>
  <c r="H108" i="26"/>
  <c r="B125" i="29"/>
  <c r="C185" i="18"/>
  <c r="D148" i="29"/>
  <c r="E129" i="26"/>
  <c r="C166" i="26"/>
  <c r="H124" i="18"/>
  <c r="E93" i="26"/>
  <c r="D110" i="34"/>
  <c r="C160" i="18"/>
  <c r="D169" i="14"/>
  <c r="B170" i="31"/>
  <c r="D79" i="31"/>
  <c r="I83" i="29"/>
  <c r="C175" i="32"/>
  <c r="I129" i="28"/>
  <c r="H163" i="14"/>
  <c r="F187" i="28"/>
  <c r="H78" i="14"/>
  <c r="I181" i="18"/>
  <c r="E57" i="31"/>
  <c r="G22" i="31"/>
  <c r="B91" i="14"/>
  <c r="I91" i="28"/>
  <c r="H124" i="26"/>
  <c r="C95" i="34"/>
  <c r="C110" i="26"/>
  <c r="D173" i="31"/>
  <c r="F105" i="32"/>
  <c r="D138" i="26"/>
  <c r="I120" i="18"/>
  <c r="C109" i="18"/>
  <c r="G174" i="34"/>
  <c r="D83" i="34"/>
  <c r="D85" i="26"/>
  <c r="F97" i="29"/>
  <c r="G97" i="29"/>
  <c r="I83" i="18"/>
  <c r="C56" i="31"/>
  <c r="G102" i="14"/>
  <c r="E96" i="14"/>
  <c r="H125" i="26"/>
  <c r="D124" i="29"/>
  <c r="G169" i="27"/>
  <c r="C143" i="26"/>
  <c r="B142" i="34"/>
  <c r="F39" i="31"/>
  <c r="C122" i="18"/>
  <c r="C85" i="27"/>
  <c r="G92" i="32"/>
  <c r="D138" i="27"/>
  <c r="B112" i="34"/>
  <c r="C141" i="14"/>
  <c r="I131" i="34"/>
  <c r="G131" i="28"/>
  <c r="F130" i="28"/>
  <c r="G147" i="27"/>
  <c r="B95" i="14"/>
  <c r="G91" i="29"/>
  <c r="F108" i="14"/>
  <c r="E123" i="32"/>
  <c r="B95" i="28"/>
  <c r="D126" i="31"/>
  <c r="D128" i="18"/>
  <c r="D118" i="18"/>
  <c r="H100" i="29"/>
  <c r="G138" i="29"/>
  <c r="H157" i="27"/>
  <c r="I99" i="28"/>
  <c r="B166" i="32"/>
  <c r="C152" i="26"/>
  <c r="C172" i="26"/>
  <c r="F178" i="31"/>
  <c r="G117" i="31"/>
  <c r="I90" i="26"/>
  <c r="I160" i="34"/>
  <c r="I162" i="18"/>
  <c r="F78" i="26"/>
  <c r="D100" i="32"/>
  <c r="C150" i="34"/>
  <c r="E141" i="32"/>
  <c r="D176" i="27"/>
  <c r="B169" i="27"/>
  <c r="G107" i="34"/>
  <c r="C81" i="34"/>
  <c r="G120" i="29"/>
  <c r="E159" i="27"/>
  <c r="D150" i="34"/>
  <c r="H48" i="31"/>
  <c r="F192" i="29"/>
  <c r="H125" i="14"/>
  <c r="E111" i="32"/>
  <c r="C128" i="27"/>
  <c r="D178" i="34"/>
  <c r="G163" i="31"/>
  <c r="B174" i="34"/>
  <c r="I123" i="29"/>
  <c r="E33" i="31"/>
  <c r="G184" i="26"/>
  <c r="I133" i="26"/>
  <c r="H176" i="26"/>
  <c r="B104" i="26"/>
  <c r="D119" i="29"/>
  <c r="C155" i="34"/>
  <c r="E110" i="14"/>
  <c r="H103" i="31"/>
  <c r="H78" i="31"/>
  <c r="D196" i="28"/>
  <c r="D184" i="31"/>
  <c r="B192" i="34"/>
  <c r="D103" i="28"/>
  <c r="F98" i="14"/>
  <c r="G91" i="28"/>
  <c r="E84" i="27"/>
  <c r="F100" i="26"/>
  <c r="F83" i="14"/>
  <c r="I119" i="29"/>
  <c r="E54" i="32"/>
  <c r="E121" i="26"/>
  <c r="C195" i="18"/>
  <c r="G192" i="29"/>
  <c r="I125" i="29"/>
  <c r="H140" i="32"/>
  <c r="H173" i="29"/>
  <c r="D99" i="28"/>
  <c r="B157" i="34"/>
  <c r="G85" i="18"/>
  <c r="D38" i="31"/>
  <c r="E87" i="27"/>
  <c r="B135" i="29"/>
  <c r="D95" i="28"/>
  <c r="F157" i="32"/>
  <c r="G104" i="27"/>
  <c r="C86" i="26"/>
  <c r="H175" i="32"/>
  <c r="D96" i="26"/>
  <c r="E126" i="31"/>
  <c r="E177" i="26"/>
  <c r="H94" i="31"/>
  <c r="B133" i="18"/>
  <c r="F81" i="26"/>
  <c r="H113" i="28"/>
  <c r="E80" i="27"/>
  <c r="I80" i="28"/>
  <c r="G147" i="14"/>
  <c r="H101" i="26"/>
  <c r="I88" i="28"/>
  <c r="F98" i="28"/>
  <c r="D161" i="34"/>
  <c r="F80" i="14"/>
  <c r="H91" i="28"/>
  <c r="I110" i="28"/>
  <c r="D144" i="34"/>
  <c r="B164" i="29"/>
  <c r="H79" i="14"/>
  <c r="C131" i="34"/>
  <c r="C160" i="31"/>
  <c r="B161" i="27"/>
  <c r="I114" i="29"/>
  <c r="G150" i="29"/>
  <c r="G140" i="18"/>
  <c r="I59" i="27"/>
  <c r="H92" i="26"/>
  <c r="G91" i="14"/>
  <c r="F114" i="26"/>
  <c r="F109" i="26"/>
  <c r="C170" i="29"/>
  <c r="E107" i="14"/>
  <c r="G117" i="26"/>
  <c r="F108" i="31"/>
  <c r="G125" i="34"/>
  <c r="B88" i="32"/>
  <c r="E131" i="27"/>
  <c r="G155" i="32"/>
  <c r="E181" i="31"/>
  <c r="C173" i="14"/>
  <c r="F154" i="31"/>
  <c r="E118" i="32"/>
  <c r="B130" i="14"/>
  <c r="H107" i="18"/>
  <c r="F186" i="14"/>
  <c r="B92" i="27"/>
  <c r="C148" i="32"/>
  <c r="I112" i="14"/>
  <c r="G126" i="28"/>
  <c r="I88" i="27"/>
  <c r="D138" i="28"/>
  <c r="B134" i="31"/>
  <c r="D4" i="32"/>
  <c r="C138" i="26"/>
  <c r="B74" i="14"/>
  <c r="C76" i="27"/>
  <c r="H112" i="28"/>
  <c r="E135" i="27"/>
  <c r="G127" i="27"/>
  <c r="I109" i="34"/>
  <c r="I145" i="34"/>
  <c r="E90" i="34"/>
  <c r="G101" i="14"/>
  <c r="D146" i="32"/>
  <c r="D174" i="29"/>
  <c r="C142" i="14"/>
  <c r="I123" i="34"/>
  <c r="D96" i="31"/>
  <c r="H164" i="18"/>
  <c r="C173" i="18"/>
  <c r="H108" i="34"/>
  <c r="H122" i="26"/>
  <c r="I142" i="27"/>
  <c r="G135" i="27"/>
  <c r="H101" i="32"/>
  <c r="D125" i="27"/>
  <c r="H164" i="28"/>
  <c r="I104" i="34"/>
  <c r="C115" i="32"/>
  <c r="E34" i="32"/>
  <c r="C146" i="27"/>
  <c r="H183" i="18"/>
  <c r="F85" i="29"/>
  <c r="C186" i="34"/>
  <c r="B191" i="28"/>
  <c r="D97" i="18"/>
  <c r="B102" i="29"/>
  <c r="G69" i="26"/>
  <c r="D129" i="26"/>
  <c r="D175" i="26"/>
  <c r="D177" i="29"/>
  <c r="F112" i="32"/>
  <c r="G112" i="31"/>
  <c r="E115" i="31"/>
  <c r="D80" i="28"/>
  <c r="G121" i="32"/>
  <c r="H164" i="26"/>
  <c r="D92" i="31"/>
  <c r="E165" i="27"/>
  <c r="B36" i="32"/>
  <c r="C85" i="26"/>
  <c r="H162" i="18"/>
  <c r="B128" i="28"/>
  <c r="G108" i="31"/>
  <c r="G119" i="28"/>
  <c r="F112" i="31"/>
  <c r="G120" i="31"/>
  <c r="C178" i="18"/>
  <c r="H109" i="29"/>
  <c r="D94" i="28"/>
  <c r="E114" i="29"/>
  <c r="C126" i="31"/>
  <c r="G154" i="31"/>
  <c r="E109" i="26"/>
  <c r="H97" i="34"/>
  <c r="H127" i="26"/>
  <c r="I178" i="18"/>
  <c r="B132" i="29"/>
  <c r="H85" i="14"/>
  <c r="B156" i="29"/>
  <c r="H138" i="18"/>
  <c r="D152" i="14"/>
  <c r="H107" i="26"/>
  <c r="D109" i="18"/>
  <c r="I90" i="29"/>
  <c r="B87" i="31"/>
  <c r="B178" i="29"/>
  <c r="D156" i="14"/>
  <c r="G93" i="34"/>
  <c r="G155" i="31"/>
  <c r="G178" i="26"/>
  <c r="D90" i="26"/>
  <c r="D144" i="28"/>
  <c r="I94" i="29"/>
  <c r="D80" i="18"/>
  <c r="I69" i="26"/>
  <c r="C86" i="27"/>
  <c r="B164" i="18"/>
  <c r="G146" i="31"/>
  <c r="G136" i="28"/>
  <c r="F126" i="28"/>
  <c r="I157" i="28"/>
  <c r="B97" i="28"/>
  <c r="C104" i="28"/>
  <c r="H129" i="32"/>
  <c r="B91" i="34"/>
  <c r="G159" i="26"/>
  <c r="H20" i="32"/>
  <c r="D131" i="28"/>
  <c r="C86" i="32"/>
  <c r="H115" i="18"/>
  <c r="B9" i="32"/>
  <c r="E129" i="14"/>
  <c r="I177" i="27"/>
  <c r="I192" i="29"/>
  <c r="B166" i="28"/>
  <c r="H170" i="18"/>
  <c r="H153" i="28"/>
  <c r="H171" i="27"/>
  <c r="C21" i="32"/>
  <c r="I182" i="26"/>
  <c r="C156" i="14"/>
  <c r="C131" i="27"/>
  <c r="B165" i="27"/>
  <c r="F100" i="14"/>
  <c r="B184" i="18"/>
  <c r="G89" i="27"/>
  <c r="G91" i="34"/>
  <c r="I130" i="34"/>
  <c r="C78" i="27"/>
  <c r="C134" i="31"/>
  <c r="G118" i="29"/>
  <c r="F174" i="14"/>
  <c r="G91" i="27"/>
  <c r="G145" i="14"/>
  <c r="B148" i="26"/>
  <c r="H120" i="27"/>
  <c r="F172" i="26"/>
  <c r="D86" i="31"/>
  <c r="G146" i="29"/>
  <c r="H141" i="32"/>
  <c r="F162" i="26"/>
  <c r="E76" i="32"/>
  <c r="E78" i="31"/>
  <c r="B82" i="18"/>
  <c r="G118" i="14"/>
  <c r="I146" i="34"/>
  <c r="E163" i="34"/>
  <c r="I197" i="28"/>
  <c r="F122" i="29"/>
  <c r="B132" i="27"/>
  <c r="D93" i="32"/>
  <c r="D75" i="32"/>
  <c r="G113" i="26"/>
  <c r="D133" i="29"/>
  <c r="D87" i="27"/>
  <c r="I126" i="18"/>
  <c r="C88" i="27"/>
  <c r="E91" i="27"/>
  <c r="H155" i="29"/>
  <c r="H87" i="26"/>
  <c r="I131" i="18"/>
  <c r="D130" i="14"/>
  <c r="G117" i="18"/>
  <c r="C87" i="28"/>
  <c r="I180" i="28"/>
  <c r="B159" i="18"/>
  <c r="C177" i="27"/>
  <c r="H148" i="34"/>
  <c r="H161" i="26"/>
  <c r="D101" i="28"/>
  <c r="G80" i="26"/>
  <c r="G102" i="27"/>
  <c r="I53" i="26"/>
  <c r="G152" i="14"/>
  <c r="G151" i="14"/>
  <c r="C96" i="34"/>
  <c r="E177" i="14"/>
  <c r="B125" i="34"/>
  <c r="I86" i="27"/>
  <c r="C159" i="29"/>
  <c r="G169" i="34"/>
  <c r="C165" i="14"/>
  <c r="D8" i="31"/>
  <c r="C108" i="34"/>
  <c r="H91" i="32"/>
  <c r="D142" i="29"/>
  <c r="H91" i="29"/>
  <c r="B86" i="32"/>
  <c r="F182" i="32"/>
  <c r="B175" i="14"/>
  <c r="C171" i="29"/>
  <c r="F139" i="28"/>
  <c r="H144" i="28"/>
  <c r="I144" i="28"/>
  <c r="H101" i="29"/>
  <c r="G115" i="29"/>
  <c r="G150" i="14"/>
  <c r="B114" i="14"/>
  <c r="F166" i="14"/>
  <c r="E133" i="27"/>
  <c r="C91" i="27"/>
  <c r="I192" i="34"/>
  <c r="B122" i="14"/>
  <c r="G97" i="27"/>
  <c r="D138" i="29"/>
  <c r="B111" i="26"/>
  <c r="I180" i="29"/>
  <c r="E142" i="34"/>
  <c r="C144" i="27"/>
  <c r="C133" i="26"/>
  <c r="E168" i="27"/>
  <c r="F107" i="32"/>
  <c r="I105" i="28"/>
  <c r="C89" i="27"/>
  <c r="I177" i="28"/>
  <c r="F57" i="31"/>
  <c r="H142" i="14"/>
  <c r="B168" i="32"/>
  <c r="I117" i="18"/>
  <c r="F149" i="28"/>
  <c r="D187" i="34"/>
  <c r="G175" i="18"/>
  <c r="C193" i="29"/>
  <c r="G94" i="32"/>
  <c r="E115" i="32"/>
  <c r="I159" i="27"/>
  <c r="D131" i="26"/>
  <c r="I173" i="28"/>
  <c r="E4" i="32"/>
  <c r="H141" i="28"/>
  <c r="D150" i="29"/>
  <c r="I81" i="28"/>
  <c r="F84" i="32"/>
  <c r="H112" i="32"/>
  <c r="B101" i="29"/>
  <c r="B121" i="29"/>
  <c r="I150" i="14"/>
  <c r="I162" i="28"/>
  <c r="I120" i="27"/>
  <c r="D120" i="14"/>
  <c r="G170" i="31"/>
  <c r="C131" i="29"/>
  <c r="F174" i="31"/>
  <c r="I166" i="34"/>
  <c r="D83" i="26"/>
  <c r="D151" i="27"/>
  <c r="C107" i="26"/>
  <c r="G107" i="27"/>
  <c r="G125" i="28"/>
  <c r="G35" i="32"/>
  <c r="D75" i="27"/>
  <c r="E110" i="32"/>
  <c r="H118" i="28"/>
  <c r="G92" i="27"/>
  <c r="G156" i="26"/>
  <c r="I187" i="29"/>
  <c r="I98" i="26"/>
  <c r="B94" i="31"/>
  <c r="B180" i="34"/>
  <c r="I173" i="29"/>
  <c r="I145" i="29"/>
  <c r="C124" i="18"/>
  <c r="C189" i="14"/>
  <c r="H96" i="28"/>
  <c r="C154" i="14"/>
  <c r="B88" i="27"/>
  <c r="D79" i="18"/>
  <c r="G94" i="34"/>
  <c r="E183" i="34"/>
  <c r="E174" i="34"/>
  <c r="C121" i="28"/>
  <c r="F165" i="31"/>
  <c r="G137" i="14"/>
  <c r="F120" i="14"/>
  <c r="B177" i="28"/>
  <c r="C181" i="18"/>
  <c r="E117" i="34"/>
  <c r="B105" i="28"/>
  <c r="C133" i="28"/>
  <c r="I166" i="14"/>
  <c r="H96" i="27"/>
  <c r="C92" i="14"/>
  <c r="C103" i="26"/>
  <c r="F158" i="32"/>
  <c r="C162" i="29"/>
  <c r="D99" i="34"/>
  <c r="F172" i="31"/>
  <c r="F182" i="28"/>
  <c r="G138" i="32"/>
  <c r="I113" i="34"/>
  <c r="C94" i="27"/>
  <c r="D91" i="34"/>
  <c r="D84" i="31"/>
  <c r="F174" i="26"/>
  <c r="D167" i="31"/>
  <c r="D184" i="26"/>
  <c r="I159" i="18"/>
  <c r="I175" i="26"/>
  <c r="E169" i="26"/>
  <c r="F163" i="31"/>
  <c r="F125" i="26"/>
  <c r="C172" i="34"/>
  <c r="I102" i="29"/>
  <c r="I141" i="27"/>
  <c r="B176" i="28"/>
  <c r="C159" i="26"/>
  <c r="D79" i="26"/>
  <c r="G184" i="18"/>
  <c r="B188" i="18"/>
  <c r="F167" i="26"/>
  <c r="D172" i="34"/>
  <c r="G98" i="18"/>
  <c r="E155" i="29"/>
  <c r="I106" i="29"/>
  <c r="F173" i="31"/>
  <c r="C82" i="18"/>
  <c r="D140" i="34"/>
  <c r="H179" i="14"/>
  <c r="H129" i="26"/>
  <c r="B82" i="27"/>
  <c r="D177" i="14"/>
  <c r="G98" i="27"/>
  <c r="C91" i="32"/>
  <c r="G156" i="29"/>
  <c r="I171" i="26"/>
  <c r="I187" i="34"/>
  <c r="H193" i="34"/>
  <c r="H73" i="27"/>
  <c r="I107" i="18"/>
  <c r="E82" i="27"/>
  <c r="G100" i="28"/>
  <c r="B95" i="27"/>
  <c r="H170" i="32"/>
  <c r="D132" i="29"/>
  <c r="E73" i="14"/>
  <c r="G179" i="29"/>
  <c r="H143" i="31"/>
  <c r="I189" i="34"/>
  <c r="F94" i="28"/>
  <c r="F93" i="29"/>
  <c r="I148" i="18"/>
  <c r="B140" i="26"/>
  <c r="C154" i="27"/>
  <c r="I107" i="27"/>
  <c r="I193" i="18"/>
  <c r="B188" i="28"/>
  <c r="G138" i="18"/>
  <c r="I187" i="18"/>
  <c r="D127" i="14"/>
  <c r="G129" i="32"/>
  <c r="H170" i="34"/>
  <c r="C176" i="31"/>
  <c r="H168" i="29"/>
  <c r="F182" i="14"/>
  <c r="B78" i="26"/>
  <c r="C138" i="27"/>
  <c r="G109" i="34"/>
  <c r="C113" i="28"/>
  <c r="B129" i="32"/>
  <c r="D183" i="27"/>
  <c r="B93" i="14"/>
  <c r="H64" i="31"/>
  <c r="G161" i="18"/>
  <c r="C101" i="34"/>
  <c r="I177" i="14"/>
  <c r="D111" i="18"/>
  <c r="H171" i="26"/>
  <c r="C34" i="32"/>
  <c r="G122" i="29"/>
  <c r="G129" i="31"/>
  <c r="H86" i="31"/>
  <c r="F140" i="32"/>
  <c r="G96" i="26"/>
  <c r="H65" i="32"/>
  <c r="F82" i="31"/>
  <c r="G82" i="27"/>
  <c r="D159" i="18"/>
  <c r="I142" i="29"/>
  <c r="D120" i="28"/>
  <c r="E93" i="31"/>
  <c r="F165" i="28"/>
  <c r="F118" i="32"/>
  <c r="F29" i="31"/>
  <c r="D92" i="18"/>
  <c r="F98" i="29"/>
  <c r="C66" i="31"/>
  <c r="C122" i="28"/>
  <c r="C106" i="26"/>
  <c r="B121" i="26"/>
  <c r="G161" i="27"/>
  <c r="H191" i="29"/>
  <c r="F80" i="29"/>
  <c r="G125" i="29"/>
  <c r="C167" i="14"/>
  <c r="H144" i="18"/>
  <c r="B145" i="34"/>
  <c r="H28" i="31"/>
  <c r="H146" i="26"/>
  <c r="G183" i="31"/>
  <c r="E169" i="27"/>
  <c r="G98" i="26"/>
  <c r="F169" i="28"/>
  <c r="C115" i="27"/>
  <c r="B179" i="31"/>
  <c r="H149" i="34"/>
  <c r="C15" i="31"/>
  <c r="B184" i="34"/>
  <c r="B178" i="27"/>
  <c r="C123" i="29"/>
  <c r="C83" i="34"/>
  <c r="D182" i="29"/>
  <c r="G138" i="26"/>
  <c r="B132" i="32"/>
  <c r="B89" i="14"/>
  <c r="G104" i="28"/>
  <c r="H111" i="32"/>
  <c r="H146" i="27"/>
  <c r="I149" i="18"/>
  <c r="H96" i="29"/>
  <c r="G133" i="14"/>
  <c r="C158" i="31"/>
  <c r="I109" i="29"/>
  <c r="F92" i="32"/>
  <c r="F82" i="29"/>
  <c r="D69" i="26"/>
  <c r="G102" i="34"/>
  <c r="F160" i="28"/>
  <c r="B179" i="14"/>
  <c r="D82" i="29"/>
  <c r="D25" i="32"/>
  <c r="B178" i="18"/>
  <c r="F29" i="32"/>
  <c r="D176" i="32"/>
  <c r="E179" i="32"/>
  <c r="F83" i="31"/>
  <c r="H81" i="34"/>
  <c r="H176" i="34"/>
  <c r="F22" i="31"/>
  <c r="I136" i="28"/>
  <c r="C96" i="29"/>
  <c r="B84" i="26"/>
  <c r="I107" i="14"/>
  <c r="G177" i="29"/>
  <c r="D80" i="34"/>
  <c r="D97" i="28"/>
  <c r="D185" i="27"/>
  <c r="E147" i="32"/>
  <c r="I120" i="26"/>
  <c r="E176" i="31"/>
  <c r="D106" i="14"/>
  <c r="B97" i="32"/>
  <c r="F189" i="29"/>
  <c r="D147" i="29"/>
  <c r="B80" i="18"/>
  <c r="B128" i="29"/>
  <c r="G111" i="27"/>
  <c r="F106" i="29"/>
  <c r="C36" i="32"/>
  <c r="B185" i="34"/>
  <c r="B123" i="34"/>
  <c r="C164" i="26"/>
  <c r="D87" i="14"/>
  <c r="D145" i="18"/>
  <c r="C195" i="28"/>
  <c r="F141" i="14"/>
  <c r="H66" i="32"/>
  <c r="B163" i="31"/>
  <c r="B190" i="28"/>
  <c r="H164" i="14"/>
  <c r="E101" i="34"/>
  <c r="G84" i="26"/>
  <c r="H133" i="18"/>
  <c r="B83" i="28"/>
  <c r="B92" i="18"/>
  <c r="C159" i="14"/>
  <c r="F133" i="14"/>
  <c r="E188" i="29"/>
  <c r="H195" i="18"/>
  <c r="B95" i="34"/>
  <c r="C129" i="26"/>
  <c r="B171" i="14"/>
  <c r="I82" i="27"/>
  <c r="C105" i="28"/>
  <c r="B53" i="26"/>
  <c r="F155" i="32"/>
  <c r="I149" i="14"/>
  <c r="G90" i="14"/>
  <c r="C136" i="28"/>
  <c r="H127" i="34"/>
  <c r="H93" i="26"/>
  <c r="E123" i="27"/>
  <c r="F91" i="26"/>
  <c r="E178" i="32"/>
  <c r="H196" i="18"/>
  <c r="D93" i="34"/>
  <c r="I177" i="18"/>
  <c r="E108" i="34"/>
  <c r="C147" i="32"/>
  <c r="G186" i="34"/>
  <c r="I104" i="14"/>
  <c r="G93" i="14"/>
  <c r="C38" i="31"/>
  <c r="I194" i="29"/>
  <c r="C122" i="32"/>
  <c r="C114" i="18"/>
  <c r="B166" i="31"/>
  <c r="D176" i="14"/>
  <c r="C183" i="31"/>
  <c r="F176" i="14"/>
  <c r="G94" i="27"/>
  <c r="I96" i="14"/>
  <c r="F25" i="32"/>
  <c r="E104" i="29"/>
  <c r="D149" i="14"/>
  <c r="G111" i="29"/>
  <c r="C112" i="32"/>
  <c r="F77" i="31"/>
  <c r="G93" i="29"/>
  <c r="H67" i="32"/>
  <c r="C162" i="31"/>
  <c r="B108" i="32"/>
  <c r="H69" i="32"/>
  <c r="C98" i="28"/>
  <c r="C104" i="26"/>
  <c r="B172" i="28"/>
  <c r="F128" i="28"/>
  <c r="D101" i="34"/>
  <c r="E120" i="27"/>
  <c r="H191" i="28"/>
  <c r="E176" i="14"/>
  <c r="F139" i="29"/>
  <c r="G173" i="34"/>
  <c r="D88" i="29"/>
  <c r="F86" i="29"/>
  <c r="G38" i="31"/>
  <c r="D165" i="27"/>
  <c r="B91" i="32"/>
  <c r="D79" i="28"/>
  <c r="H66" i="31"/>
  <c r="G90" i="26"/>
  <c r="D118" i="14"/>
  <c r="H89" i="32"/>
  <c r="H124" i="28"/>
  <c r="F95" i="26"/>
  <c r="B165" i="28"/>
  <c r="C83" i="26"/>
  <c r="C129" i="14"/>
  <c r="B161" i="26"/>
  <c r="H110" i="14"/>
  <c r="F194" i="29"/>
  <c r="C100" i="18"/>
  <c r="B59" i="26"/>
  <c r="C154" i="18"/>
  <c r="I120" i="34"/>
  <c r="C138" i="28"/>
  <c r="C75" i="26"/>
  <c r="F35" i="32"/>
  <c r="G170" i="18"/>
  <c r="H179" i="18"/>
  <c r="H160" i="28"/>
  <c r="E178" i="27"/>
  <c r="C82" i="31"/>
  <c r="E147" i="27"/>
  <c r="F163" i="28"/>
  <c r="B110" i="28"/>
  <c r="D166" i="14"/>
  <c r="F157" i="14"/>
  <c r="C176" i="14"/>
  <c r="F186" i="28"/>
  <c r="F116" i="29"/>
  <c r="C162" i="18"/>
  <c r="I94" i="18"/>
  <c r="E176" i="32"/>
  <c r="C123" i="26"/>
  <c r="E81" i="34"/>
  <c r="F125" i="14"/>
  <c r="B83" i="31"/>
  <c r="G86" i="26"/>
  <c r="C100" i="28"/>
  <c r="E127" i="29"/>
  <c r="E93" i="32"/>
  <c r="I125" i="34"/>
  <c r="E79" i="29"/>
  <c r="C152" i="27"/>
  <c r="F140" i="28"/>
  <c r="I102" i="14"/>
  <c r="H53" i="27"/>
  <c r="E154" i="29"/>
  <c r="B109" i="34"/>
  <c r="F151" i="31"/>
  <c r="C123" i="28"/>
  <c r="H106" i="14"/>
  <c r="E91" i="29"/>
  <c r="I154" i="28"/>
  <c r="B176" i="26"/>
  <c r="C166" i="28"/>
  <c r="C69" i="27"/>
  <c r="B22" i="31"/>
  <c r="B134" i="27"/>
  <c r="B141" i="28"/>
  <c r="H102" i="26"/>
  <c r="B141" i="31"/>
  <c r="E103" i="27"/>
  <c r="F77" i="26"/>
  <c r="C6" i="31"/>
  <c r="H174" i="14"/>
  <c r="E10" i="31"/>
  <c r="H151" i="27"/>
  <c r="F119" i="29"/>
  <c r="C150" i="14"/>
  <c r="C157" i="18"/>
  <c r="C158" i="28"/>
  <c r="F93" i="31"/>
  <c r="C171" i="14"/>
  <c r="I145" i="14"/>
  <c r="H166" i="27"/>
  <c r="D123" i="29"/>
  <c r="B196" i="28"/>
  <c r="C130" i="34"/>
  <c r="G174" i="18"/>
  <c r="H194" i="34"/>
  <c r="C120" i="27"/>
  <c r="D34" i="32"/>
  <c r="B86" i="14"/>
  <c r="H174" i="26"/>
  <c r="B120" i="31"/>
  <c r="G94" i="26"/>
  <c r="H110" i="29"/>
  <c r="D163" i="31"/>
  <c r="E168" i="31"/>
  <c r="H122" i="18"/>
  <c r="G137" i="29"/>
  <c r="C90" i="34"/>
  <c r="H152" i="34"/>
  <c r="H125" i="18"/>
  <c r="C114" i="27"/>
  <c r="B165" i="26"/>
  <c r="G83" i="27"/>
  <c r="C84" i="31"/>
  <c r="I140" i="26"/>
  <c r="H99" i="18"/>
  <c r="I185" i="14"/>
  <c r="C115" i="29"/>
  <c r="E173" i="14"/>
  <c r="B178" i="31"/>
  <c r="B78" i="34"/>
  <c r="E172" i="29"/>
  <c r="I169" i="14"/>
  <c r="I190" i="14"/>
  <c r="H184" i="29"/>
  <c r="H122" i="29"/>
  <c r="G80" i="32"/>
  <c r="B181" i="32"/>
  <c r="E181" i="27"/>
  <c r="G91" i="32"/>
  <c r="D101" i="26"/>
  <c r="C100" i="27"/>
  <c r="F116" i="32"/>
  <c r="B135" i="28"/>
  <c r="G89" i="32"/>
  <c r="E102" i="31"/>
  <c r="G177" i="14"/>
  <c r="E146" i="31"/>
  <c r="C139" i="31"/>
  <c r="C116" i="28"/>
  <c r="H169" i="28"/>
  <c r="I110" i="14"/>
  <c r="B147" i="26"/>
  <c r="G53" i="26"/>
  <c r="H190" i="34"/>
  <c r="H6" i="31"/>
  <c r="D148" i="34"/>
  <c r="F154" i="29"/>
  <c r="D122" i="27"/>
  <c r="E160" i="27"/>
  <c r="G77" i="26"/>
  <c r="H122" i="31"/>
  <c r="B78" i="27"/>
  <c r="E117" i="26"/>
  <c r="G54" i="32"/>
  <c r="F168" i="29"/>
  <c r="F151" i="14"/>
  <c r="D53" i="26"/>
  <c r="B89" i="28"/>
  <c r="F113" i="32"/>
  <c r="I79" i="14"/>
  <c r="F72" i="26"/>
  <c r="H91" i="26"/>
  <c r="C84" i="34"/>
  <c r="D113" i="29"/>
  <c r="C145" i="29"/>
  <c r="F116" i="26"/>
  <c r="I197" i="18"/>
  <c r="H150" i="26"/>
  <c r="G119" i="29"/>
  <c r="I168" i="29"/>
  <c r="H178" i="27"/>
  <c r="C78" i="29"/>
  <c r="I97" i="26"/>
  <c r="H167" i="14"/>
  <c r="C157" i="28"/>
  <c r="C80" i="26"/>
  <c r="F179" i="28"/>
  <c r="I180" i="18"/>
  <c r="F155" i="14"/>
  <c r="E125" i="27"/>
  <c r="C99" i="14"/>
  <c r="I87" i="26"/>
  <c r="B129" i="18"/>
  <c r="G79" i="28"/>
  <c r="C172" i="32"/>
  <c r="E101" i="32"/>
  <c r="I137" i="27"/>
  <c r="E91" i="32"/>
  <c r="E95" i="34"/>
  <c r="F142" i="26"/>
  <c r="I120" i="29"/>
  <c r="C140" i="27"/>
  <c r="E140" i="27"/>
  <c r="E135" i="29"/>
  <c r="D126" i="34"/>
  <c r="H103" i="18"/>
  <c r="D58" i="32"/>
  <c r="E164" i="26"/>
  <c r="I78" i="26"/>
  <c r="G140" i="27"/>
  <c r="D144" i="32"/>
  <c r="I184" i="27"/>
  <c r="G123" i="14"/>
  <c r="C147" i="29"/>
  <c r="B153" i="34"/>
  <c r="E51" i="32"/>
  <c r="B150" i="18"/>
  <c r="C172" i="14"/>
  <c r="I169" i="28"/>
  <c r="D102" i="29"/>
  <c r="G180" i="28"/>
  <c r="D192" i="29"/>
  <c r="D151" i="14"/>
  <c r="E39" i="31"/>
  <c r="B160" i="27"/>
  <c r="F120" i="32"/>
  <c r="G150" i="28"/>
  <c r="I148" i="28"/>
  <c r="B146" i="26"/>
  <c r="H159" i="26"/>
  <c r="F149" i="31"/>
  <c r="F134" i="31"/>
  <c r="F176" i="31"/>
  <c r="H101" i="27"/>
  <c r="D104" i="14"/>
  <c r="B173" i="14"/>
  <c r="F103" i="26"/>
  <c r="B177" i="32"/>
  <c r="I195" i="18"/>
  <c r="E167" i="29"/>
  <c r="I116" i="34"/>
  <c r="C135" i="34"/>
  <c r="F78" i="14"/>
  <c r="C163" i="18"/>
  <c r="D135" i="34"/>
  <c r="H178" i="34"/>
  <c r="B131" i="26"/>
  <c r="E146" i="32"/>
  <c r="G152" i="28"/>
  <c r="F167" i="31"/>
  <c r="E14" i="31"/>
  <c r="C164" i="28"/>
  <c r="H116" i="18"/>
  <c r="H154" i="27"/>
  <c r="C198" i="28"/>
  <c r="I156" i="29"/>
  <c r="B169" i="29"/>
  <c r="I134" i="18"/>
  <c r="D128" i="14"/>
  <c r="H71" i="14"/>
  <c r="E102" i="27"/>
  <c r="C148" i="26"/>
  <c r="E130" i="14"/>
  <c r="B39" i="31"/>
  <c r="C109" i="26"/>
  <c r="I114" i="14"/>
  <c r="H156" i="26"/>
  <c r="F171" i="31"/>
  <c r="I124" i="14"/>
  <c r="B133" i="28"/>
  <c r="D168" i="18"/>
  <c r="B119" i="31"/>
  <c r="G79" i="27"/>
  <c r="B101" i="31"/>
  <c r="I170" i="26"/>
  <c r="E187" i="14"/>
  <c r="E77" i="27"/>
  <c r="G97" i="28"/>
  <c r="I167" i="18"/>
  <c r="H152" i="14"/>
  <c r="E133" i="29"/>
  <c r="E106" i="34"/>
  <c r="I166" i="26"/>
  <c r="B88" i="29"/>
  <c r="H134" i="14"/>
  <c r="F184" i="31"/>
  <c r="D164" i="26"/>
  <c r="B91" i="27"/>
  <c r="D111" i="14"/>
  <c r="H152" i="27"/>
  <c r="G182" i="28"/>
  <c r="E181" i="29"/>
  <c r="C120" i="29"/>
  <c r="I109" i="18"/>
  <c r="H180" i="28"/>
  <c r="E175" i="32"/>
  <c r="E144" i="26"/>
  <c r="I128" i="26"/>
  <c r="G78" i="31"/>
  <c r="G179" i="27"/>
  <c r="C156" i="32"/>
  <c r="E132" i="27"/>
  <c r="D111" i="32"/>
  <c r="E114" i="27"/>
  <c r="H42" i="31"/>
  <c r="I104" i="18"/>
  <c r="D173" i="26"/>
  <c r="B153" i="26"/>
  <c r="C192" i="28"/>
  <c r="F99" i="26"/>
  <c r="C90" i="27"/>
  <c r="G140" i="31"/>
  <c r="C84" i="27"/>
  <c r="F78" i="32"/>
  <c r="C120" i="18"/>
  <c r="B174" i="29"/>
  <c r="B166" i="29"/>
  <c r="C77" i="26"/>
  <c r="D117" i="18"/>
  <c r="G122" i="18"/>
  <c r="I129" i="34"/>
  <c r="B142" i="18"/>
  <c r="H4" i="32"/>
  <c r="F83" i="28"/>
  <c r="B93" i="18"/>
  <c r="I83" i="26"/>
  <c r="B130" i="18"/>
  <c r="E81" i="31"/>
  <c r="E99" i="27"/>
  <c r="B143" i="27"/>
  <c r="H78" i="18"/>
  <c r="I164" i="29"/>
  <c r="F127" i="14"/>
  <c r="I135" i="29"/>
  <c r="I141" i="26"/>
  <c r="G107" i="32"/>
  <c r="H192" i="28"/>
  <c r="B122" i="18"/>
  <c r="B68" i="32"/>
  <c r="G68" i="32"/>
  <c r="B110" i="26"/>
  <c r="I155" i="18"/>
  <c r="C111" i="32"/>
  <c r="F85" i="32"/>
  <c r="C168" i="26"/>
  <c r="D139" i="14"/>
  <c r="I82" i="34"/>
  <c r="D66" i="31"/>
  <c r="G183" i="29"/>
  <c r="B136" i="28"/>
  <c r="B117" i="18"/>
  <c r="H141" i="34"/>
  <c r="C145" i="28"/>
  <c r="B81" i="29"/>
  <c r="I79" i="29"/>
  <c r="D154" i="14"/>
  <c r="B100" i="18"/>
  <c r="B80" i="26"/>
  <c r="G128" i="26"/>
  <c r="B103" i="26"/>
  <c r="B122" i="34"/>
  <c r="C106" i="29"/>
  <c r="B103" i="29"/>
  <c r="G95" i="34"/>
  <c r="E157" i="27"/>
  <c r="C169" i="28"/>
  <c r="C111" i="26"/>
  <c r="F124" i="26"/>
  <c r="E167" i="14"/>
  <c r="B118" i="34"/>
  <c r="F145" i="14"/>
  <c r="B103" i="27"/>
  <c r="G180" i="34"/>
  <c r="D111" i="28"/>
  <c r="F170" i="29"/>
  <c r="H134" i="26"/>
  <c r="E131" i="14"/>
  <c r="H90" i="26"/>
  <c r="I160" i="28"/>
  <c r="E174" i="14"/>
  <c r="G186" i="14"/>
  <c r="H153" i="34"/>
  <c r="C28" i="31"/>
  <c r="F118" i="26"/>
  <c r="I163" i="34"/>
  <c r="D144" i="18"/>
  <c r="D108" i="14"/>
  <c r="D123" i="26"/>
  <c r="B30" i="32"/>
  <c r="D149" i="28"/>
  <c r="E170" i="31"/>
  <c r="B179" i="18"/>
  <c r="I152" i="28"/>
  <c r="I160" i="27"/>
  <c r="F129" i="28"/>
  <c r="B120" i="28"/>
  <c r="B67" i="32"/>
  <c r="H126" i="18"/>
  <c r="G141" i="18"/>
  <c r="B86" i="31"/>
  <c r="E120" i="32"/>
  <c r="G82" i="14"/>
  <c r="I92" i="34"/>
  <c r="E110" i="29"/>
  <c r="E142" i="14"/>
  <c r="H73" i="26"/>
  <c r="D146" i="34"/>
  <c r="E185" i="29"/>
  <c r="H115" i="27"/>
  <c r="E159" i="31"/>
  <c r="H171" i="28"/>
  <c r="F109" i="29"/>
  <c r="E169" i="34"/>
  <c r="C134" i="27"/>
  <c r="C77" i="14"/>
  <c r="I87" i="14"/>
  <c r="I152" i="26"/>
  <c r="C133" i="18"/>
  <c r="H170" i="27"/>
  <c r="I72" i="27"/>
  <c r="E172" i="27"/>
  <c r="F87" i="14"/>
  <c r="E136" i="34"/>
  <c r="D105" i="26"/>
  <c r="H70" i="14"/>
  <c r="E124" i="34"/>
  <c r="H141" i="18"/>
  <c r="C101" i="32"/>
  <c r="H172" i="34"/>
  <c r="C132" i="34"/>
  <c r="F100" i="28"/>
  <c r="G155" i="14"/>
  <c r="G98" i="29"/>
  <c r="F56" i="31"/>
  <c r="H129" i="34"/>
  <c r="G146" i="14"/>
  <c r="I153" i="34"/>
  <c r="F190" i="28"/>
  <c r="C187" i="34"/>
  <c r="B111" i="32"/>
  <c r="C130" i="14"/>
  <c r="H124" i="29"/>
  <c r="B93" i="31"/>
  <c r="G130" i="32"/>
  <c r="B80" i="34"/>
  <c r="I113" i="28"/>
  <c r="C93" i="34"/>
  <c r="G167" i="29"/>
  <c r="G112" i="28"/>
  <c r="G125" i="18"/>
  <c r="F111" i="31"/>
  <c r="E75" i="27"/>
  <c r="G194" i="29"/>
  <c r="B158" i="29"/>
  <c r="B177" i="27"/>
  <c r="E128" i="27"/>
  <c r="B129" i="27"/>
  <c r="B90" i="27"/>
  <c r="D117" i="29"/>
  <c r="I84" i="18"/>
  <c r="D89" i="26"/>
  <c r="D172" i="32"/>
  <c r="B134" i="14"/>
  <c r="H116" i="34"/>
  <c r="C80" i="28"/>
  <c r="I108" i="29"/>
  <c r="C137" i="26"/>
  <c r="G195" i="28"/>
  <c r="B163" i="32"/>
  <c r="C174" i="14"/>
  <c r="G105" i="27"/>
  <c r="D177" i="18"/>
  <c r="G108" i="26"/>
  <c r="E140" i="29"/>
  <c r="C170" i="14"/>
  <c r="D94" i="18"/>
  <c r="D91" i="32"/>
  <c r="B128" i="32"/>
  <c r="E26" i="32"/>
  <c r="E95" i="32"/>
  <c r="E159" i="34"/>
  <c r="C89" i="14"/>
  <c r="C48" i="31"/>
  <c r="E144" i="29"/>
  <c r="F169" i="14"/>
  <c r="D163" i="34"/>
  <c r="H114" i="34"/>
  <c r="B182" i="28"/>
  <c r="D81" i="27"/>
  <c r="G103" i="27"/>
  <c r="G121" i="31"/>
  <c r="D125" i="28"/>
  <c r="H146" i="29"/>
  <c r="G105" i="26"/>
  <c r="I188" i="14"/>
  <c r="I174" i="29"/>
  <c r="E130" i="34"/>
  <c r="C177" i="14"/>
  <c r="D186" i="29"/>
  <c r="H47" i="32"/>
  <c r="C91" i="14"/>
  <c r="H166" i="29"/>
  <c r="H147" i="14"/>
  <c r="B142" i="28"/>
  <c r="D156" i="29"/>
  <c r="B130" i="34"/>
  <c r="E9" i="32"/>
  <c r="F10" i="31"/>
  <c r="D140" i="29"/>
  <c r="D129" i="31"/>
  <c r="H126" i="26"/>
  <c r="D108" i="34"/>
  <c r="F159" i="28"/>
  <c r="D89" i="29"/>
  <c r="B90" i="32"/>
  <c r="C89" i="32"/>
  <c r="F191" i="29"/>
  <c r="I107" i="34"/>
  <c r="B160" i="26"/>
  <c r="F110" i="14"/>
  <c r="F189" i="28"/>
  <c r="D198" i="18"/>
  <c r="E178" i="26"/>
  <c r="E158" i="27"/>
  <c r="C136" i="29"/>
  <c r="G134" i="14"/>
  <c r="I181" i="27"/>
  <c r="C146" i="29"/>
  <c r="D165" i="29"/>
  <c r="E98" i="26"/>
  <c r="C117" i="27"/>
  <c r="E141" i="14"/>
  <c r="F117" i="14"/>
  <c r="G192" i="34"/>
  <c r="B4" i="32"/>
  <c r="B175" i="26"/>
  <c r="H197" i="18"/>
  <c r="E179" i="27"/>
  <c r="E111" i="34"/>
  <c r="B189" i="18"/>
  <c r="D133" i="28"/>
  <c r="I196" i="18"/>
  <c r="E78" i="29"/>
  <c r="B142" i="26"/>
  <c r="E191" i="34"/>
  <c r="H74" i="14"/>
  <c r="C164" i="27"/>
  <c r="G69" i="27"/>
  <c r="C196" i="18"/>
  <c r="G87" i="32"/>
  <c r="F141" i="28"/>
  <c r="B133" i="29"/>
  <c r="D100" i="28"/>
  <c r="E82" i="14"/>
  <c r="G85" i="34"/>
  <c r="C94" i="26"/>
  <c r="C110" i="31"/>
  <c r="H120" i="26"/>
  <c r="D189" i="14"/>
  <c r="D159" i="14"/>
  <c r="D177" i="32"/>
  <c r="B121" i="28"/>
  <c r="G99" i="31"/>
  <c r="C189" i="29"/>
  <c r="B97" i="18"/>
  <c r="C126" i="26"/>
  <c r="H82" i="31"/>
  <c r="I124" i="26"/>
  <c r="I97" i="34"/>
  <c r="D140" i="18"/>
  <c r="H86" i="18"/>
  <c r="G143" i="26"/>
  <c r="D173" i="18"/>
  <c r="G131" i="14"/>
  <c r="B119" i="14"/>
  <c r="E191" i="29"/>
  <c r="E144" i="32"/>
  <c r="G121" i="18"/>
  <c r="C86" i="18"/>
  <c r="D121" i="28"/>
  <c r="G112" i="34"/>
  <c r="H107" i="34"/>
  <c r="C143" i="34"/>
  <c r="F136" i="28"/>
  <c r="G86" i="31"/>
  <c r="H109" i="27"/>
  <c r="H76" i="26"/>
  <c r="G100" i="34"/>
  <c r="G133" i="26"/>
  <c r="H99" i="26"/>
  <c r="E25" i="32"/>
  <c r="G143" i="32"/>
  <c r="I144" i="18"/>
  <c r="E136" i="31"/>
  <c r="H84" i="31"/>
  <c r="F146" i="32"/>
  <c r="B78" i="31"/>
  <c r="F90" i="26"/>
  <c r="C181" i="27"/>
  <c r="C185" i="34"/>
  <c r="E131" i="29"/>
  <c r="D101" i="18"/>
  <c r="E147" i="14"/>
  <c r="G197" i="18"/>
  <c r="H136" i="28"/>
  <c r="F163" i="29"/>
  <c r="F116" i="28"/>
  <c r="I165" i="18"/>
  <c r="I110" i="34"/>
  <c r="G82" i="26"/>
  <c r="B111" i="29"/>
  <c r="C89" i="28"/>
  <c r="I158" i="14"/>
  <c r="G83" i="14"/>
  <c r="D85" i="32"/>
  <c r="B176" i="18"/>
  <c r="B178" i="28"/>
  <c r="D87" i="18"/>
  <c r="F146" i="28"/>
  <c r="C109" i="27"/>
  <c r="I185" i="29"/>
  <c r="B148" i="32"/>
  <c r="G161" i="28"/>
  <c r="F142" i="29"/>
  <c r="F135" i="32"/>
  <c r="C117" i="14"/>
  <c r="B92" i="31"/>
  <c r="F178" i="14"/>
  <c r="B62" i="32"/>
  <c r="F121" i="32"/>
  <c r="E93" i="29"/>
  <c r="H29" i="32"/>
  <c r="H185" i="27"/>
  <c r="H89" i="28"/>
  <c r="H93" i="31"/>
  <c r="H113" i="18"/>
  <c r="C178" i="34"/>
  <c r="I80" i="34"/>
  <c r="H167" i="29"/>
  <c r="B70" i="14"/>
  <c r="D93" i="31"/>
  <c r="F116" i="31"/>
  <c r="E159" i="14"/>
  <c r="I163" i="18"/>
  <c r="B93" i="28"/>
  <c r="D197" i="28"/>
  <c r="H160" i="18"/>
  <c r="I179" i="26"/>
  <c r="G96" i="28"/>
  <c r="D117" i="26"/>
  <c r="H120" i="18"/>
  <c r="B174" i="31"/>
  <c r="C143" i="18"/>
  <c r="C152" i="14"/>
  <c r="B83" i="18"/>
  <c r="D29" i="31"/>
  <c r="B136" i="26"/>
  <c r="B165" i="34"/>
  <c r="E170" i="14"/>
  <c r="E160" i="32"/>
  <c r="G99" i="18"/>
  <c r="F101" i="14"/>
  <c r="D174" i="32"/>
  <c r="B108" i="18"/>
  <c r="E130" i="29"/>
  <c r="D133" i="34"/>
  <c r="E81" i="26"/>
  <c r="D154" i="34"/>
  <c r="E110" i="27"/>
  <c r="H60" i="14"/>
  <c r="C198" i="18"/>
  <c r="H129" i="31"/>
  <c r="G97" i="31"/>
  <c r="D120" i="32"/>
  <c r="B135" i="18"/>
  <c r="G95" i="26"/>
  <c r="D141" i="31"/>
  <c r="C96" i="18"/>
  <c r="B96" i="34"/>
  <c r="I119" i="27"/>
  <c r="H137" i="34"/>
  <c r="E116" i="34"/>
  <c r="I71" i="14"/>
  <c r="I186" i="29"/>
  <c r="B29" i="31"/>
  <c r="G106" i="32"/>
  <c r="F47" i="32"/>
  <c r="C164" i="34"/>
  <c r="G95" i="14"/>
  <c r="E111" i="31"/>
  <c r="H174" i="31"/>
  <c r="I138" i="27"/>
  <c r="F92" i="14"/>
  <c r="I116" i="28"/>
  <c r="I77" i="27"/>
  <c r="E134" i="32"/>
  <c r="D167" i="14"/>
  <c r="B83" i="14"/>
  <c r="I183" i="18"/>
  <c r="G129" i="26"/>
  <c r="H180" i="34"/>
  <c r="G80" i="34"/>
  <c r="B87" i="14"/>
  <c r="E163" i="31"/>
  <c r="D160" i="27"/>
  <c r="G98" i="31"/>
  <c r="E105" i="29"/>
  <c r="F138" i="26"/>
  <c r="H142" i="27"/>
  <c r="C105" i="32"/>
  <c r="G144" i="14"/>
  <c r="F28" i="31"/>
  <c r="I149" i="27"/>
  <c r="E82" i="26"/>
  <c r="H181" i="27"/>
  <c r="F86" i="26"/>
  <c r="C98" i="29"/>
  <c r="I108" i="27"/>
  <c r="G155" i="34"/>
  <c r="G8" i="31"/>
  <c r="B191" i="29"/>
  <c r="I138" i="28"/>
  <c r="F86" i="28"/>
  <c r="B130" i="26"/>
  <c r="H35" i="32"/>
  <c r="G118" i="18"/>
  <c r="C146" i="26"/>
  <c r="D89" i="28"/>
  <c r="E79" i="31"/>
  <c r="B104" i="14"/>
  <c r="G160" i="32"/>
  <c r="C91" i="34"/>
  <c r="H158" i="14"/>
  <c r="D6" i="31"/>
  <c r="C114" i="14"/>
  <c r="G192" i="18"/>
  <c r="I151" i="18"/>
  <c r="B109" i="29"/>
  <c r="H160" i="26"/>
  <c r="D117" i="27"/>
  <c r="B160" i="18"/>
  <c r="C81" i="31"/>
  <c r="H140" i="14"/>
  <c r="H154" i="18"/>
  <c r="B116" i="18"/>
  <c r="I100" i="34"/>
  <c r="C144" i="34"/>
  <c r="G174" i="14"/>
  <c r="I70" i="14"/>
  <c r="C96" i="31"/>
  <c r="I105" i="26"/>
  <c r="C150" i="26"/>
  <c r="H178" i="32"/>
  <c r="B126" i="29"/>
  <c r="G93" i="26"/>
  <c r="H198" i="18"/>
  <c r="C115" i="18"/>
  <c r="G187" i="14"/>
  <c r="I85" i="34"/>
  <c r="C149" i="18"/>
  <c r="F123" i="29"/>
  <c r="H170" i="31"/>
  <c r="B59" i="27"/>
  <c r="D86" i="27"/>
  <c r="G119" i="31"/>
  <c r="G144" i="28"/>
  <c r="C143" i="27"/>
  <c r="H96" i="18"/>
  <c r="C102" i="27"/>
  <c r="I191" i="29"/>
  <c r="D150" i="26"/>
  <c r="B114" i="32"/>
  <c r="C131" i="18"/>
  <c r="I107" i="29"/>
  <c r="G137" i="26"/>
  <c r="I135" i="18"/>
  <c r="I128" i="27"/>
  <c r="B176" i="31"/>
  <c r="D105" i="32"/>
  <c r="I130" i="28"/>
  <c r="G80" i="27"/>
  <c r="E188" i="34"/>
  <c r="D117" i="34"/>
  <c r="F82" i="28"/>
  <c r="E161" i="26"/>
  <c r="H29" i="31"/>
  <c r="C147" i="28"/>
  <c r="D180" i="32"/>
  <c r="E129" i="34"/>
  <c r="B26" i="32"/>
  <c r="C122" i="31"/>
  <c r="H128" i="27"/>
  <c r="G177" i="18"/>
  <c r="F109" i="14"/>
  <c r="C155" i="18"/>
  <c r="B126" i="26"/>
  <c r="B102" i="31"/>
  <c r="D67" i="32"/>
  <c r="F124" i="18"/>
  <c r="C120" i="26"/>
  <c r="I98" i="14"/>
  <c r="E98" i="27"/>
  <c r="H89" i="29"/>
  <c r="D138" i="34"/>
  <c r="C161" i="18"/>
  <c r="B152" i="29"/>
  <c r="F154" i="26"/>
  <c r="E167" i="34"/>
  <c r="E134" i="14"/>
  <c r="B83" i="26"/>
  <c r="D118" i="28"/>
  <c r="D80" i="32"/>
  <c r="D113" i="31"/>
  <c r="D82" i="14"/>
  <c r="G117" i="14"/>
  <c r="B38" i="31"/>
  <c r="H87" i="34"/>
  <c r="C80" i="14"/>
  <c r="C111" i="34"/>
  <c r="I139" i="18"/>
  <c r="G148" i="26"/>
  <c r="H177" i="34"/>
  <c r="E91" i="26"/>
  <c r="B164" i="32"/>
  <c r="F165" i="26"/>
  <c r="G92" i="14"/>
  <c r="H78" i="29"/>
  <c r="C108" i="28"/>
  <c r="I179" i="29"/>
  <c r="G140" i="28"/>
  <c r="H130" i="18"/>
  <c r="D178" i="32"/>
  <c r="F110" i="29"/>
  <c r="C109" i="29"/>
  <c r="D85" i="29"/>
  <c r="I95" i="34"/>
  <c r="B142" i="14"/>
  <c r="G164" i="27"/>
  <c r="H139" i="26"/>
  <c r="F140" i="29"/>
  <c r="H148" i="31"/>
  <c r="B120" i="26"/>
  <c r="H123" i="32"/>
  <c r="B184" i="29"/>
  <c r="I95" i="14"/>
  <c r="D87" i="26"/>
  <c r="G85" i="31"/>
  <c r="E138" i="32"/>
  <c r="E62" i="31"/>
  <c r="B166" i="27"/>
  <c r="D107" i="26"/>
  <c r="H154" i="31"/>
  <c r="D185" i="31"/>
  <c r="B117" i="14"/>
  <c r="B42" i="31"/>
  <c r="H151" i="31"/>
  <c r="G102" i="29"/>
  <c r="H69" i="27"/>
  <c r="C191" i="34"/>
  <c r="C181" i="34"/>
  <c r="H93" i="18"/>
  <c r="C69" i="32"/>
  <c r="E128" i="34"/>
  <c r="E123" i="14"/>
  <c r="B112" i="18"/>
  <c r="C62" i="31"/>
  <c r="C131" i="14"/>
  <c r="E80" i="32"/>
  <c r="G90" i="29"/>
  <c r="B182" i="34"/>
  <c r="D136" i="26"/>
  <c r="C165" i="27"/>
  <c r="E130" i="26"/>
  <c r="E19" i="31"/>
  <c r="B114" i="27"/>
  <c r="H118" i="29"/>
  <c r="D14" i="32"/>
  <c r="C167" i="27"/>
  <c r="G99" i="29"/>
  <c r="B107" i="28"/>
  <c r="G104" i="34"/>
  <c r="H170" i="14"/>
  <c r="C119" i="27"/>
  <c r="I174" i="14"/>
  <c r="H46" i="31"/>
  <c r="C140" i="29"/>
  <c r="G159" i="18"/>
  <c r="H153" i="31"/>
  <c r="F176" i="32"/>
  <c r="G170" i="34"/>
  <c r="F144" i="32"/>
  <c r="B156" i="28"/>
  <c r="C109" i="28"/>
  <c r="E71" i="14"/>
  <c r="D98" i="14"/>
  <c r="B87" i="27"/>
  <c r="G185" i="26"/>
  <c r="G174" i="27"/>
  <c r="I86" i="34"/>
  <c r="E142" i="27"/>
  <c r="D129" i="18"/>
  <c r="I109" i="26"/>
  <c r="G165" i="28"/>
  <c r="H177" i="28"/>
  <c r="D128" i="34"/>
  <c r="H149" i="18"/>
  <c r="F33" i="31"/>
  <c r="F194" i="28"/>
  <c r="E188" i="14"/>
  <c r="I150" i="29"/>
  <c r="C167" i="18"/>
  <c r="E128" i="14"/>
  <c r="H149" i="14"/>
  <c r="E136" i="27"/>
  <c r="E86" i="34"/>
  <c r="B118" i="28"/>
  <c r="B108" i="27"/>
  <c r="H121" i="34"/>
  <c r="G114" i="29"/>
  <c r="G185" i="31"/>
  <c r="I132" i="26"/>
  <c r="C130" i="27"/>
  <c r="F97" i="32"/>
  <c r="E132" i="32"/>
  <c r="E161" i="34"/>
  <c r="D90" i="18"/>
  <c r="E88" i="34"/>
  <c r="G96" i="14"/>
  <c r="G122" i="32"/>
  <c r="C142" i="34"/>
  <c r="I113" i="27"/>
  <c r="I147" i="26"/>
  <c r="B84" i="14"/>
  <c r="G53" i="27"/>
  <c r="E109" i="14"/>
  <c r="F99" i="32"/>
  <c r="E105" i="14"/>
  <c r="C97" i="28"/>
  <c r="E130" i="32"/>
  <c r="F172" i="28"/>
  <c r="C168" i="27"/>
  <c r="I98" i="29"/>
  <c r="F139" i="31"/>
  <c r="B94" i="32"/>
  <c r="F34" i="32"/>
  <c r="H82" i="29"/>
  <c r="I79" i="26"/>
  <c r="C184" i="27"/>
  <c r="E60" i="14"/>
  <c r="D79" i="34"/>
  <c r="C178" i="28"/>
  <c r="E149" i="29"/>
  <c r="E157" i="32"/>
  <c r="C138" i="29"/>
  <c r="H157" i="32"/>
  <c r="C122" i="14"/>
  <c r="G87" i="28"/>
  <c r="D171" i="31"/>
  <c r="D145" i="14"/>
  <c r="I147" i="27"/>
  <c r="G59" i="26"/>
  <c r="E127" i="34"/>
  <c r="C168" i="18"/>
  <c r="I183" i="14"/>
  <c r="H84" i="18"/>
  <c r="F139" i="14"/>
  <c r="C115" i="26"/>
  <c r="F153" i="28"/>
  <c r="H111" i="18"/>
  <c r="B190" i="14"/>
  <c r="H14" i="31"/>
  <c r="C175" i="27"/>
  <c r="E178" i="29"/>
  <c r="G164" i="14"/>
  <c r="I179" i="34"/>
  <c r="B178" i="14"/>
  <c r="B124" i="27"/>
  <c r="I107" i="28"/>
  <c r="F111" i="32"/>
  <c r="E129" i="29"/>
  <c r="D62" i="31"/>
  <c r="B85" i="27"/>
  <c r="I121" i="34"/>
  <c r="F140" i="26"/>
  <c r="B94" i="29"/>
  <c r="B170" i="18"/>
  <c r="I194" i="34"/>
  <c r="F167" i="29"/>
  <c r="B172" i="27"/>
  <c r="H106" i="34"/>
  <c r="I171" i="34"/>
  <c r="H100" i="28"/>
  <c r="B166" i="34"/>
  <c r="B20" i="31"/>
  <c r="E119" i="29"/>
  <c r="G109" i="29"/>
  <c r="C78" i="18"/>
  <c r="I137" i="29"/>
  <c r="C134" i="26"/>
  <c r="C141" i="26"/>
  <c r="H182" i="14"/>
  <c r="I83" i="28"/>
  <c r="C121" i="32"/>
  <c r="B145" i="14"/>
  <c r="H168" i="34"/>
  <c r="B161" i="18"/>
  <c r="E172" i="32"/>
  <c r="B86" i="27"/>
  <c r="E173" i="34"/>
  <c r="D84" i="18"/>
  <c r="B85" i="31"/>
  <c r="E124" i="29"/>
  <c r="I140" i="29"/>
  <c r="G166" i="27"/>
  <c r="D135" i="18"/>
  <c r="G158" i="31"/>
  <c r="E99" i="34"/>
  <c r="C152" i="18"/>
  <c r="F111" i="28"/>
  <c r="B152" i="27"/>
  <c r="H138" i="32"/>
  <c r="H101" i="28"/>
  <c r="G95" i="18"/>
  <c r="B86" i="26"/>
  <c r="D121" i="34"/>
  <c r="I119" i="14"/>
  <c r="D169" i="29"/>
  <c r="E148" i="32"/>
  <c r="D94" i="31"/>
  <c r="C117" i="28"/>
  <c r="B104" i="18"/>
  <c r="F138" i="29"/>
  <c r="G148" i="29"/>
  <c r="B160" i="29"/>
  <c r="D28" i="31"/>
  <c r="D122" i="14"/>
  <c r="B85" i="14"/>
  <c r="G134" i="34"/>
  <c r="I142" i="28"/>
  <c r="G173" i="18"/>
  <c r="E163" i="29"/>
  <c r="H182" i="28"/>
  <c r="E140" i="34"/>
  <c r="E143" i="32"/>
  <c r="B12" i="32"/>
  <c r="B170" i="14"/>
  <c r="E177" i="29"/>
  <c r="I178" i="29"/>
  <c r="I126" i="14"/>
  <c r="D95" i="14"/>
  <c r="E124" i="14"/>
  <c r="E125" i="31"/>
  <c r="E118" i="14"/>
  <c r="H149" i="26"/>
  <c r="I87" i="28"/>
  <c r="F140" i="14"/>
  <c r="C113" i="18"/>
  <c r="G181" i="29"/>
  <c r="B115" i="26"/>
  <c r="G176" i="32"/>
  <c r="G170" i="28"/>
  <c r="F144" i="26"/>
  <c r="F174" i="32"/>
  <c r="D184" i="29"/>
  <c r="G92" i="28"/>
  <c r="I143" i="18"/>
  <c r="B98" i="31"/>
  <c r="I97" i="28"/>
  <c r="I133" i="28"/>
  <c r="E153" i="27"/>
  <c r="G147" i="18"/>
  <c r="E99" i="29"/>
  <c r="C179" i="18"/>
  <c r="G129" i="34"/>
  <c r="C35" i="32"/>
  <c r="D127" i="29"/>
  <c r="E129" i="31"/>
  <c r="H145" i="18"/>
  <c r="F136" i="32"/>
  <c r="C166" i="14"/>
  <c r="H138" i="31"/>
  <c r="D145" i="29"/>
  <c r="H144" i="27"/>
  <c r="H181" i="29"/>
  <c r="G140" i="29"/>
  <c r="H188" i="18"/>
  <c r="G83" i="29"/>
  <c r="C167" i="26"/>
  <c r="B87" i="32"/>
  <c r="D161" i="31"/>
  <c r="H110" i="32"/>
  <c r="F125" i="32"/>
  <c r="E118" i="29"/>
  <c r="E127" i="27"/>
  <c r="G111" i="32"/>
  <c r="E121" i="32"/>
  <c r="G112" i="32"/>
  <c r="G156" i="32"/>
  <c r="D157" i="14"/>
  <c r="B105" i="31"/>
  <c r="C191" i="29"/>
  <c r="C153" i="29"/>
  <c r="F177" i="29"/>
  <c r="E112" i="14"/>
  <c r="B155" i="28"/>
  <c r="H12" i="32"/>
  <c r="H100" i="34"/>
  <c r="H97" i="28"/>
  <c r="B159" i="14"/>
  <c r="C59" i="26"/>
  <c r="I111" i="27"/>
  <c r="B10" i="31"/>
  <c r="B162" i="18"/>
  <c r="H116" i="32"/>
  <c r="H80" i="28"/>
  <c r="I178" i="14"/>
  <c r="H155" i="28"/>
  <c r="I100" i="18"/>
  <c r="B80" i="28"/>
  <c r="B92" i="29"/>
  <c r="I113" i="29"/>
  <c r="F161" i="14"/>
  <c r="B84" i="27"/>
  <c r="E149" i="14"/>
  <c r="D183" i="18"/>
  <c r="G139" i="18"/>
  <c r="C107" i="29"/>
  <c r="H115" i="29"/>
  <c r="H158" i="27"/>
  <c r="B165" i="14"/>
  <c r="D189" i="28"/>
  <c r="F189" i="14"/>
  <c r="F147" i="29"/>
  <c r="C102" i="28"/>
  <c r="H116" i="28"/>
  <c r="G85" i="32"/>
  <c r="H97" i="26"/>
  <c r="E179" i="34"/>
  <c r="C194" i="34"/>
  <c r="C172" i="18"/>
  <c r="G173" i="31"/>
  <c r="D179" i="34"/>
  <c r="B171" i="18"/>
  <c r="C85" i="28"/>
  <c r="I115" i="27"/>
  <c r="G90" i="18"/>
  <c r="C176" i="26"/>
  <c r="C139" i="14"/>
  <c r="I89" i="18"/>
  <c r="C14" i="31"/>
  <c r="C185" i="31"/>
  <c r="G106" i="34"/>
  <c r="I121" i="27"/>
  <c r="C89" i="34"/>
  <c r="B128" i="14"/>
  <c r="G81" i="26"/>
  <c r="B182" i="26"/>
  <c r="E113" i="32"/>
  <c r="D144" i="14"/>
  <c r="D192" i="28"/>
  <c r="G157" i="27"/>
  <c r="B161" i="14"/>
  <c r="C141" i="28"/>
  <c r="C88" i="34"/>
  <c r="G64" i="31"/>
  <c r="G176" i="29"/>
  <c r="G192" i="28"/>
  <c r="C58" i="32"/>
  <c r="E178" i="34"/>
  <c r="G185" i="34"/>
  <c r="H141" i="26"/>
  <c r="G196" i="28"/>
  <c r="E155" i="14"/>
  <c r="F152" i="26"/>
  <c r="I152" i="29"/>
  <c r="C119" i="14"/>
  <c r="F81" i="31"/>
  <c r="E59" i="26"/>
  <c r="B157" i="18"/>
  <c r="E150" i="29"/>
  <c r="G82" i="31"/>
  <c r="F138" i="28"/>
  <c r="B85" i="18"/>
  <c r="E178" i="31"/>
  <c r="H143" i="29"/>
  <c r="H80" i="32"/>
  <c r="H165" i="31"/>
  <c r="I150" i="26"/>
  <c r="D121" i="31"/>
  <c r="I109" i="28"/>
  <c r="D156" i="34"/>
  <c r="C128" i="34"/>
  <c r="B79" i="18"/>
  <c r="G100" i="26"/>
  <c r="G169" i="14"/>
  <c r="B109" i="32"/>
  <c r="D152" i="31"/>
  <c r="D134" i="18"/>
  <c r="G145" i="29"/>
  <c r="B158" i="26"/>
  <c r="H186" i="34"/>
  <c r="E192" i="29"/>
  <c r="B83" i="34"/>
  <c r="D156" i="18"/>
  <c r="H144" i="34"/>
  <c r="C97" i="27"/>
  <c r="G114" i="27"/>
  <c r="D77" i="32"/>
  <c r="I121" i="28"/>
  <c r="G123" i="18"/>
  <c r="D172" i="18"/>
  <c r="C156" i="28"/>
  <c r="G159" i="34"/>
  <c r="G148" i="34"/>
  <c r="E93" i="27"/>
  <c r="C100" i="14"/>
  <c r="F169" i="26"/>
  <c r="H22" i="31"/>
  <c r="H112" i="27"/>
  <c r="C99" i="34"/>
  <c r="E89" i="32"/>
  <c r="C139" i="29"/>
  <c r="G132" i="18"/>
  <c r="H151" i="28"/>
  <c r="D168" i="31"/>
  <c r="E190" i="34"/>
  <c r="G175" i="29"/>
  <c r="G24" i="31"/>
  <c r="E126" i="14"/>
  <c r="F111" i="26"/>
  <c r="G191" i="28"/>
  <c r="G159" i="28"/>
  <c r="F129" i="26"/>
  <c r="E163" i="27"/>
  <c r="H54" i="14"/>
  <c r="F101" i="32"/>
  <c r="G168" i="26"/>
  <c r="I113" i="14"/>
  <c r="F164" i="14"/>
  <c r="I156" i="28"/>
  <c r="H171" i="29"/>
  <c r="D87" i="29"/>
  <c r="D123" i="27"/>
  <c r="G98" i="34"/>
  <c r="F123" i="32"/>
  <c r="G76" i="32"/>
  <c r="D131" i="29"/>
  <c r="B163" i="34"/>
  <c r="H193" i="28"/>
  <c r="E46" i="31"/>
  <c r="H151" i="18"/>
  <c r="H133" i="29"/>
  <c r="G88" i="18"/>
  <c r="F153" i="26"/>
  <c r="E143" i="29"/>
  <c r="H170" i="26"/>
  <c r="F100" i="32"/>
  <c r="F123" i="26"/>
  <c r="B197" i="18"/>
  <c r="D19" i="31"/>
  <c r="H95" i="34"/>
  <c r="C182" i="14"/>
  <c r="G92" i="18"/>
  <c r="I167" i="28"/>
  <c r="B149" i="18"/>
  <c r="C154" i="29"/>
  <c r="G167" i="27"/>
  <c r="G105" i="34"/>
  <c r="D185" i="26"/>
  <c r="B138" i="31"/>
  <c r="H130" i="27"/>
  <c r="G158" i="34"/>
  <c r="H85" i="29"/>
  <c r="D164" i="27"/>
  <c r="H105" i="31"/>
  <c r="B113" i="29"/>
  <c r="H83" i="26"/>
  <c r="I156" i="34"/>
  <c r="G60" i="14"/>
  <c r="C103" i="14"/>
  <c r="F15" i="31"/>
  <c r="G176" i="26"/>
  <c r="G129" i="18"/>
  <c r="G149" i="29"/>
  <c r="B182" i="14"/>
  <c r="D112" i="14"/>
  <c r="I134" i="14"/>
  <c r="G135" i="29"/>
  <c r="E190" i="14"/>
  <c r="D83" i="29"/>
  <c r="D163" i="29"/>
  <c r="C179" i="28"/>
  <c r="B158" i="31"/>
  <c r="E135" i="14"/>
  <c r="G57" i="31"/>
  <c r="B94" i="26"/>
  <c r="B192" i="29"/>
  <c r="H185" i="29"/>
  <c r="G185" i="27"/>
  <c r="C132" i="14"/>
  <c r="H107" i="28"/>
  <c r="I81" i="26"/>
  <c r="F119" i="14"/>
  <c r="F182" i="29"/>
  <c r="G28" i="31"/>
  <c r="B111" i="28"/>
  <c r="D165" i="34"/>
  <c r="C121" i="29"/>
  <c r="B131" i="31"/>
  <c r="H164" i="27"/>
  <c r="G78" i="32"/>
  <c r="C110" i="14"/>
  <c r="E118" i="34"/>
  <c r="B185" i="27"/>
  <c r="I147" i="28"/>
  <c r="E113" i="31"/>
  <c r="E21" i="32"/>
  <c r="F80" i="32"/>
  <c r="C101" i="26"/>
  <c r="G115" i="27"/>
  <c r="D155" i="32"/>
  <c r="G144" i="26"/>
  <c r="H157" i="18"/>
  <c r="E119" i="31"/>
  <c r="E140" i="32"/>
  <c r="I81" i="29"/>
  <c r="D158" i="32"/>
  <c r="E98" i="29"/>
  <c r="H174" i="28"/>
  <c r="B96" i="18"/>
  <c r="E146" i="34"/>
  <c r="B112" i="32"/>
  <c r="G120" i="26"/>
  <c r="I167" i="27"/>
  <c r="I141" i="18"/>
  <c r="B72" i="26"/>
  <c r="H78" i="34"/>
  <c r="C4" i="32"/>
  <c r="I171" i="14"/>
  <c r="I132" i="34"/>
  <c r="G179" i="34"/>
  <c r="G178" i="14"/>
  <c r="I146" i="29"/>
  <c r="D78" i="27"/>
  <c r="G62" i="32"/>
  <c r="B144" i="32"/>
  <c r="D93" i="27"/>
  <c r="H79" i="28"/>
  <c r="B169" i="18"/>
  <c r="I151" i="29"/>
  <c r="E86" i="26"/>
  <c r="I125" i="28"/>
  <c r="C166" i="18"/>
  <c r="D83" i="18"/>
  <c r="D89" i="18"/>
  <c r="C182" i="34"/>
  <c r="C150" i="27"/>
  <c r="D174" i="28"/>
  <c r="H155" i="26"/>
  <c r="C178" i="27"/>
  <c r="F80" i="26"/>
  <c r="E179" i="26"/>
  <c r="B77" i="31"/>
  <c r="E83" i="14"/>
  <c r="I81" i="34"/>
  <c r="H86" i="14"/>
  <c r="D147" i="34"/>
  <c r="G59" i="27"/>
  <c r="H104" i="27"/>
  <c r="F109" i="32"/>
  <c r="D92" i="29"/>
  <c r="I150" i="18"/>
  <c r="C163" i="32"/>
  <c r="D117" i="31"/>
  <c r="G122" i="26"/>
  <c r="C168" i="31"/>
  <c r="E53" i="27"/>
  <c r="G161" i="26"/>
  <c r="H93" i="34"/>
  <c r="I111" i="14"/>
  <c r="H125" i="28"/>
  <c r="G179" i="14"/>
  <c r="H88" i="29"/>
  <c r="B110" i="31"/>
  <c r="D174" i="18"/>
  <c r="I100" i="29"/>
  <c r="G183" i="34"/>
  <c r="C83" i="14"/>
  <c r="D166" i="34"/>
  <c r="D155" i="28"/>
  <c r="H94" i="32"/>
  <c r="G152" i="29"/>
  <c r="F30" i="32"/>
  <c r="E175" i="31"/>
  <c r="E99" i="32"/>
  <c r="G12" i="32"/>
  <c r="G87" i="29"/>
  <c r="E165" i="34"/>
  <c r="E159" i="32"/>
  <c r="B101" i="28"/>
  <c r="H112" i="34"/>
  <c r="B124" i="32"/>
  <c r="B183" i="28"/>
  <c r="H158" i="31"/>
  <c r="C175" i="28"/>
  <c r="B84" i="29"/>
  <c r="B124" i="29"/>
  <c r="D159" i="34"/>
  <c r="F177" i="32"/>
  <c r="D165" i="31"/>
  <c r="I91" i="26"/>
  <c r="B153" i="14"/>
  <c r="D136" i="27"/>
  <c r="D181" i="34"/>
  <c r="I99" i="14"/>
  <c r="G113" i="31"/>
  <c r="B122" i="26"/>
  <c r="H120" i="32"/>
  <c r="B142" i="32"/>
  <c r="D149" i="31"/>
  <c r="D161" i="27"/>
  <c r="B112" i="14"/>
  <c r="G90" i="34"/>
  <c r="B95" i="29"/>
  <c r="G187" i="18"/>
  <c r="C9" i="32"/>
  <c r="G81" i="14"/>
  <c r="B127" i="29"/>
  <c r="G123" i="26"/>
  <c r="D143" i="18"/>
  <c r="D121" i="26"/>
  <c r="E131" i="31"/>
  <c r="H33" i="31"/>
  <c r="D193" i="28"/>
  <c r="H138" i="28"/>
  <c r="F155" i="26"/>
  <c r="B157" i="14"/>
  <c r="G67" i="32"/>
  <c r="B139" i="31"/>
  <c r="C139" i="18"/>
  <c r="B176" i="32"/>
  <c r="C92" i="32"/>
  <c r="C179" i="27"/>
  <c r="C33" i="31"/>
  <c r="B101" i="34"/>
  <c r="H83" i="27"/>
  <c r="G142" i="29"/>
  <c r="D191" i="28"/>
  <c r="E106" i="32"/>
  <c r="D130" i="26"/>
  <c r="G183" i="18"/>
  <c r="E185" i="31"/>
  <c r="I101" i="28"/>
  <c r="I86" i="26"/>
  <c r="H191" i="18"/>
  <c r="E153" i="14"/>
  <c r="D119" i="26"/>
  <c r="I161" i="18"/>
  <c r="F106" i="14"/>
  <c r="E149" i="26"/>
  <c r="C27" i="31"/>
  <c r="I153" i="14"/>
  <c r="F113" i="26"/>
  <c r="C103" i="29"/>
  <c r="G162" i="18"/>
  <c r="H166" i="14"/>
  <c r="G180" i="29"/>
  <c r="B181" i="26"/>
  <c r="B94" i="28"/>
  <c r="D178" i="29"/>
  <c r="I169" i="29"/>
  <c r="H72" i="26"/>
  <c r="I114" i="28"/>
  <c r="D158" i="14"/>
  <c r="E138" i="34"/>
  <c r="D74" i="14"/>
  <c r="I166" i="28"/>
  <c r="E79" i="34"/>
  <c r="C83" i="29"/>
  <c r="E42" i="31"/>
  <c r="C81" i="29"/>
  <c r="H133" i="27"/>
  <c r="H81" i="31"/>
  <c r="I130" i="27"/>
  <c r="C163" i="27"/>
  <c r="D163" i="27"/>
  <c r="D195" i="28"/>
  <c r="H118" i="32"/>
  <c r="G175" i="34"/>
  <c r="D178" i="28"/>
  <c r="D183" i="28"/>
  <c r="G95" i="29"/>
  <c r="B186" i="18"/>
  <c r="D169" i="26"/>
  <c r="D115" i="32"/>
  <c r="H102" i="14"/>
  <c r="D104" i="18"/>
  <c r="C147" i="18"/>
  <c r="G143" i="29"/>
  <c r="G119" i="18"/>
  <c r="D95" i="26"/>
  <c r="G85" i="27"/>
  <c r="E53" i="26"/>
  <c r="I129" i="29"/>
  <c r="D108" i="18"/>
  <c r="H162" i="34"/>
  <c r="G125" i="14"/>
  <c r="C87" i="29"/>
  <c r="B87" i="34"/>
  <c r="H178" i="18"/>
  <c r="C144" i="14"/>
  <c r="C173" i="27"/>
  <c r="G83" i="34"/>
  <c r="C113" i="34"/>
  <c r="H151" i="34"/>
  <c r="C108" i="31"/>
  <c r="F115" i="28"/>
  <c r="D152" i="28"/>
  <c r="B169" i="31"/>
  <c r="I101" i="27"/>
  <c r="I83" i="27"/>
  <c r="G178" i="18"/>
  <c r="I182" i="18"/>
  <c r="F178" i="32"/>
  <c r="G116" i="26"/>
  <c r="G176" i="34"/>
  <c r="F141" i="31"/>
  <c r="B98" i="28"/>
  <c r="I129" i="18"/>
  <c r="D148" i="18"/>
  <c r="B136" i="32"/>
  <c r="B103" i="14"/>
  <c r="F187" i="14"/>
  <c r="E144" i="14"/>
  <c r="C159" i="31"/>
  <c r="D81" i="14"/>
  <c r="D29" i="32"/>
  <c r="B141" i="34"/>
  <c r="H145" i="27"/>
  <c r="H176" i="32"/>
  <c r="E147" i="29"/>
  <c r="I110" i="29"/>
  <c r="D110" i="28"/>
  <c r="G103" i="29"/>
  <c r="H95" i="28"/>
  <c r="E114" i="32"/>
  <c r="H136" i="31"/>
  <c r="F80" i="28"/>
  <c r="C115" i="31"/>
  <c r="G141" i="28"/>
  <c r="F159" i="31"/>
  <c r="D171" i="18"/>
  <c r="B145" i="29"/>
  <c r="D78" i="26"/>
  <c r="D116" i="28"/>
  <c r="D114" i="32"/>
  <c r="C78" i="26"/>
  <c r="C135" i="26"/>
  <c r="E175" i="34"/>
  <c r="E157" i="29"/>
  <c r="C127" i="14"/>
  <c r="D27" i="31"/>
  <c r="F125" i="31"/>
  <c r="D82" i="34"/>
  <c r="B131" i="18"/>
  <c r="C65" i="32"/>
  <c r="B180" i="29"/>
  <c r="I118" i="28"/>
  <c r="C157" i="14"/>
  <c r="E146" i="26"/>
  <c r="D75" i="26"/>
  <c r="E97" i="29"/>
  <c r="I99" i="29"/>
  <c r="C105" i="34"/>
  <c r="C183" i="34"/>
  <c r="D118" i="26"/>
  <c r="G155" i="18"/>
  <c r="D134" i="32"/>
  <c r="H129" i="29"/>
  <c r="C183" i="29"/>
  <c r="I111" i="34"/>
  <c r="H141" i="29"/>
  <c r="H163" i="32"/>
  <c r="C85" i="34"/>
  <c r="E161" i="31"/>
  <c r="H102" i="18"/>
  <c r="F185" i="28"/>
  <c r="H164" i="31"/>
  <c r="D115" i="18"/>
  <c r="B136" i="27"/>
  <c r="C157" i="32"/>
  <c r="E53" i="31"/>
  <c r="B115" i="28"/>
  <c r="G85" i="14"/>
  <c r="H164" i="29"/>
  <c r="G120" i="32"/>
  <c r="B81" i="31"/>
  <c r="C129" i="29"/>
  <c r="E94" i="27"/>
  <c r="H14" i="32"/>
  <c r="G159" i="27"/>
  <c r="I191" i="18"/>
  <c r="G97" i="18"/>
  <c r="E97" i="34"/>
  <c r="B140" i="34"/>
  <c r="C122" i="26"/>
  <c r="H132" i="14"/>
  <c r="F38" i="31"/>
  <c r="H93" i="32"/>
  <c r="F151" i="27"/>
  <c r="E166" i="27"/>
  <c r="C170" i="31"/>
  <c r="H181" i="32"/>
  <c r="B83" i="29"/>
  <c r="C116" i="31"/>
  <c r="I127" i="14"/>
  <c r="I103" i="29"/>
  <c r="B185" i="29"/>
  <c r="D78" i="14"/>
  <c r="B147" i="29"/>
  <c r="G106" i="27"/>
  <c r="G191" i="34"/>
  <c r="B168" i="18"/>
  <c r="E80" i="26"/>
  <c r="C140" i="34"/>
  <c r="D177" i="28"/>
  <c r="H84" i="26"/>
  <c r="C145" i="18"/>
  <c r="C116" i="27"/>
  <c r="F105" i="26"/>
  <c r="G127" i="18"/>
  <c r="I89" i="27"/>
  <c r="G89" i="28"/>
  <c r="D127" i="34"/>
  <c r="F143" i="14"/>
  <c r="B86" i="34"/>
  <c r="F171" i="14"/>
  <c r="B164" i="26"/>
  <c r="G185" i="28"/>
  <c r="H112" i="18"/>
  <c r="E124" i="27"/>
  <c r="B80" i="27"/>
  <c r="B97" i="34"/>
  <c r="C85" i="14"/>
  <c r="H118" i="14"/>
  <c r="D112" i="31"/>
  <c r="I167" i="34"/>
  <c r="H141" i="31"/>
  <c r="I151" i="34"/>
  <c r="H92" i="27"/>
  <c r="C79" i="29"/>
  <c r="B95" i="26"/>
  <c r="E41" i="31"/>
  <c r="D184" i="34"/>
  <c r="H81" i="27"/>
  <c r="H95" i="32"/>
  <c r="C131" i="31"/>
  <c r="B105" i="29"/>
  <c r="H147" i="27"/>
  <c r="C98" i="26"/>
  <c r="G127" i="26"/>
  <c r="C107" i="27"/>
  <c r="E117" i="27"/>
  <c r="B119" i="27"/>
  <c r="D133" i="27"/>
  <c r="E86" i="27"/>
  <c r="D95" i="34"/>
  <c r="H85" i="28"/>
  <c r="H91" i="14"/>
  <c r="H83" i="29"/>
  <c r="I193" i="34"/>
  <c r="E95" i="26"/>
  <c r="C99" i="27"/>
  <c r="E174" i="26"/>
  <c r="C136" i="34"/>
  <c r="F87" i="26"/>
  <c r="I127" i="34"/>
  <c r="C113" i="31"/>
  <c r="E148" i="29"/>
  <c r="F142" i="14"/>
  <c r="D47" i="32"/>
  <c r="G118" i="26"/>
  <c r="D194" i="28"/>
  <c r="C144" i="31"/>
  <c r="E78" i="26"/>
  <c r="I124" i="34"/>
  <c r="F75" i="32"/>
  <c r="D69" i="32"/>
  <c r="E187" i="34"/>
  <c r="B184" i="26"/>
  <c r="I130" i="26"/>
  <c r="D78" i="32"/>
  <c r="C80" i="27"/>
  <c r="C175" i="14"/>
  <c r="F135" i="29"/>
  <c r="G139" i="34"/>
  <c r="F68" i="32"/>
  <c r="F166" i="32"/>
  <c r="F76" i="32"/>
  <c r="I118" i="18"/>
  <c r="G159" i="32"/>
  <c r="C184" i="28"/>
  <c r="H88" i="28"/>
  <c r="C90" i="18"/>
  <c r="I87" i="29"/>
  <c r="H110" i="34"/>
  <c r="G146" i="32"/>
  <c r="D88" i="26"/>
  <c r="F122" i="28"/>
  <c r="I177" i="34"/>
  <c r="H172" i="26"/>
  <c r="B166" i="14"/>
  <c r="H130" i="14"/>
  <c r="E166" i="32"/>
  <c r="B100" i="29"/>
  <c r="C91" i="28"/>
  <c r="G84" i="34"/>
  <c r="H133" i="14"/>
  <c r="F130" i="29"/>
  <c r="G126" i="31"/>
  <c r="C132" i="26"/>
  <c r="I154" i="18"/>
  <c r="D132" i="32"/>
  <c r="C121" i="31"/>
  <c r="H169" i="27"/>
  <c r="F84" i="28"/>
  <c r="D131" i="27"/>
  <c r="E78" i="27"/>
  <c r="B113" i="34"/>
  <c r="E109" i="27"/>
  <c r="H98" i="14"/>
  <c r="H136" i="34"/>
  <c r="F48" i="31"/>
  <c r="I137" i="14"/>
  <c r="F134" i="28"/>
  <c r="I170" i="27"/>
  <c r="G127" i="29"/>
  <c r="C106" i="34"/>
  <c r="B107" i="34"/>
  <c r="E109" i="32"/>
  <c r="H15" i="31"/>
  <c r="D103" i="31"/>
  <c r="H175" i="31"/>
  <c r="B113" i="28"/>
  <c r="B40" i="32"/>
  <c r="D133" i="26"/>
  <c r="B151" i="14"/>
  <c r="B84" i="28"/>
  <c r="E143" i="14"/>
  <c r="B152" i="14"/>
  <c r="C69" i="26"/>
  <c r="C106" i="18"/>
  <c r="B175" i="27"/>
  <c r="D176" i="31"/>
  <c r="E123" i="34"/>
  <c r="B134" i="32"/>
  <c r="D139" i="18"/>
  <c r="B65" i="32"/>
  <c r="C41" i="31"/>
  <c r="E152" i="27"/>
  <c r="G154" i="34"/>
  <c r="B143" i="26"/>
  <c r="B124" i="18"/>
  <c r="D151" i="28"/>
  <c r="G183" i="27"/>
  <c r="E115" i="26"/>
  <c r="I165" i="29"/>
  <c r="F156" i="28"/>
  <c r="B88" i="34"/>
  <c r="H194" i="29"/>
  <c r="E65" i="32"/>
  <c r="B196" i="18"/>
  <c r="E162" i="26"/>
  <c r="G122" i="14"/>
  <c r="H123" i="34"/>
  <c r="I84" i="26"/>
  <c r="D113" i="18"/>
  <c r="B88" i="28"/>
  <c r="H139" i="27"/>
  <c r="D128" i="28"/>
  <c r="H153" i="29"/>
  <c r="B118" i="18"/>
  <c r="G194" i="34"/>
  <c r="G166" i="26"/>
  <c r="E172" i="34"/>
  <c r="G143" i="18"/>
  <c r="I127" i="29"/>
  <c r="B189" i="28"/>
  <c r="H179" i="28"/>
  <c r="D145" i="26"/>
  <c r="G117" i="29"/>
  <c r="D100" i="29"/>
  <c r="G136" i="31"/>
  <c r="C102" i="31"/>
  <c r="D106" i="34"/>
  <c r="C89" i="18"/>
  <c r="H165" i="14"/>
  <c r="D123" i="32"/>
  <c r="D155" i="29"/>
  <c r="G164" i="31"/>
  <c r="G113" i="34"/>
  <c r="G111" i="31"/>
  <c r="H173" i="18"/>
  <c r="C108" i="32"/>
  <c r="I100" i="28"/>
  <c r="D93" i="29"/>
  <c r="G182" i="26"/>
  <c r="I108" i="34"/>
  <c r="F183" i="32"/>
  <c r="C175" i="18"/>
  <c r="B79" i="27"/>
  <c r="B153" i="31"/>
  <c r="I97" i="29"/>
  <c r="E107" i="27"/>
  <c r="D116" i="34"/>
  <c r="D179" i="27"/>
  <c r="G90" i="32"/>
  <c r="B159" i="34"/>
  <c r="H182" i="26"/>
  <c r="F88" i="27"/>
  <c r="G83" i="18"/>
  <c r="F150" i="26"/>
  <c r="D84" i="32"/>
  <c r="G20" i="31"/>
  <c r="G88" i="28"/>
  <c r="H119" i="29"/>
  <c r="C151" i="34"/>
  <c r="E45" i="32"/>
  <c r="I155" i="28"/>
  <c r="H150" i="32"/>
  <c r="C142" i="18"/>
  <c r="C97" i="14"/>
  <c r="B93" i="29"/>
  <c r="B173" i="28"/>
  <c r="C144" i="29"/>
  <c r="B123" i="14"/>
  <c r="C92" i="18"/>
  <c r="C109" i="34"/>
  <c r="H115" i="28"/>
  <c r="G82" i="29"/>
  <c r="D94" i="14"/>
  <c r="B186" i="34"/>
  <c r="D155" i="18"/>
  <c r="D125" i="26"/>
  <c r="G100" i="29"/>
  <c r="F144" i="14"/>
  <c r="F59" i="26"/>
  <c r="D90" i="32"/>
  <c r="H174" i="27"/>
  <c r="D145" i="34"/>
  <c r="G4" i="32"/>
  <c r="C98" i="31"/>
  <c r="I160" i="29"/>
  <c r="F159" i="14"/>
  <c r="H110" i="18"/>
  <c r="D130" i="18"/>
  <c r="B80" i="29"/>
  <c r="I116" i="29"/>
  <c r="F177" i="26"/>
  <c r="D99" i="26"/>
  <c r="G93" i="27"/>
  <c r="H88" i="18"/>
  <c r="H69" i="26"/>
  <c r="G105" i="29"/>
  <c r="H62" i="32"/>
  <c r="F179" i="29"/>
  <c r="F45" i="32"/>
  <c r="G101" i="29"/>
  <c r="I158" i="27"/>
  <c r="F110" i="32"/>
  <c r="D21" i="32"/>
  <c r="F151" i="26"/>
  <c r="I102" i="26"/>
  <c r="F124" i="28"/>
  <c r="I162" i="26"/>
  <c r="I143" i="26"/>
  <c r="D113" i="14"/>
  <c r="B171" i="27"/>
  <c r="D137" i="29"/>
  <c r="G182" i="18"/>
  <c r="B92" i="14"/>
  <c r="B168" i="34"/>
  <c r="C162" i="28"/>
  <c r="B89" i="32"/>
  <c r="I137" i="26"/>
  <c r="H121" i="32"/>
  <c r="I143" i="28"/>
  <c r="F102" i="31"/>
  <c r="B161" i="34"/>
  <c r="F102" i="26"/>
  <c r="F144" i="28"/>
  <c r="C67" i="32"/>
  <c r="F112" i="29"/>
  <c r="B163" i="18"/>
  <c r="I172" i="34"/>
  <c r="E90" i="27"/>
  <c r="I133" i="27"/>
  <c r="G154" i="14"/>
  <c r="F87" i="32"/>
  <c r="E122" i="29"/>
  <c r="H160" i="32"/>
  <c r="H138" i="26"/>
  <c r="G149" i="26"/>
  <c r="C99" i="26"/>
  <c r="I189" i="18"/>
  <c r="E123" i="29"/>
  <c r="C100" i="32"/>
  <c r="E111" i="26"/>
  <c r="H166" i="18"/>
  <c r="B174" i="27"/>
  <c r="B84" i="34"/>
  <c r="H163" i="18"/>
  <c r="H187" i="14"/>
  <c r="B148" i="31"/>
  <c r="H91" i="18"/>
  <c r="E158" i="32"/>
  <c r="F151" i="28"/>
  <c r="C188" i="14"/>
  <c r="I151" i="14"/>
  <c r="H172" i="27"/>
  <c r="B72" i="27"/>
  <c r="B131" i="28"/>
  <c r="E92" i="32"/>
  <c r="G159" i="14"/>
  <c r="B159" i="29"/>
  <c r="H197" i="28"/>
  <c r="H137" i="14"/>
  <c r="G14" i="31"/>
  <c r="B50" i="31"/>
  <c r="G141" i="32"/>
  <c r="G120" i="14"/>
  <c r="H192" i="34"/>
  <c r="D186" i="34"/>
  <c r="H117" i="14"/>
  <c r="E119" i="26"/>
  <c r="E142" i="32"/>
  <c r="C87" i="34"/>
  <c r="D155" i="31"/>
  <c r="B127" i="34"/>
  <c r="E156" i="34"/>
  <c r="D139" i="31"/>
  <c r="D167" i="29"/>
  <c r="F93" i="28"/>
  <c r="H143" i="18"/>
  <c r="C168" i="28"/>
  <c r="E108" i="32"/>
  <c r="I178" i="34"/>
  <c r="G85" i="29"/>
  <c r="D106" i="27"/>
  <c r="C179" i="31"/>
  <c r="B135" i="27"/>
  <c r="C154" i="26"/>
  <c r="G151" i="26"/>
  <c r="B137" i="34"/>
  <c r="C112" i="27"/>
  <c r="D79" i="27"/>
  <c r="E105" i="27"/>
  <c r="E117" i="31"/>
  <c r="C136" i="31"/>
  <c r="I181" i="29"/>
  <c r="F36" i="32"/>
  <c r="E86" i="32"/>
  <c r="B157" i="27"/>
  <c r="E137" i="26"/>
  <c r="D90" i="27"/>
  <c r="D159" i="27"/>
  <c r="E73" i="27"/>
  <c r="I86" i="18"/>
  <c r="C138" i="18"/>
  <c r="H68" i="32"/>
  <c r="D115" i="31"/>
  <c r="C160" i="29"/>
  <c r="B165" i="18"/>
  <c r="H139" i="32"/>
  <c r="I171" i="27"/>
  <c r="G151" i="27"/>
  <c r="D143" i="14"/>
  <c r="B171" i="34"/>
  <c r="G145" i="34"/>
  <c r="F18" i="31"/>
  <c r="I173" i="18"/>
  <c r="E93" i="14"/>
  <c r="F96" i="31"/>
  <c r="G180" i="32"/>
  <c r="I124" i="28"/>
  <c r="C192" i="34"/>
  <c r="C164" i="29"/>
  <c r="I157" i="18"/>
  <c r="H186" i="29"/>
  <c r="H116" i="14"/>
  <c r="H97" i="14"/>
  <c r="E181" i="34"/>
  <c r="D174" i="26"/>
  <c r="H40" i="32"/>
  <c r="C174" i="34"/>
  <c r="B20" i="32"/>
  <c r="I125" i="27"/>
  <c r="B126" i="31"/>
  <c r="D101" i="29"/>
  <c r="B176" i="29"/>
  <c r="H168" i="18"/>
  <c r="B128" i="26"/>
  <c r="E116" i="14"/>
  <c r="C125" i="14"/>
  <c r="D166" i="27"/>
  <c r="B169" i="14"/>
  <c r="B174" i="14"/>
  <c r="I153" i="27"/>
  <c r="E30" i="32"/>
  <c r="I82" i="28"/>
  <c r="I141" i="29"/>
  <c r="C78" i="34"/>
  <c r="B164" i="28"/>
  <c r="G15" i="31"/>
  <c r="H149" i="29"/>
  <c r="H106" i="29"/>
  <c r="I130" i="18"/>
  <c r="G108" i="27"/>
  <c r="G142" i="34"/>
  <c r="H79" i="31"/>
  <c r="E175" i="27"/>
  <c r="D138" i="31"/>
  <c r="H166" i="26"/>
  <c r="H149" i="28"/>
  <c r="H193" i="18"/>
  <c r="F97" i="31"/>
  <c r="C174" i="32"/>
  <c r="D111" i="26"/>
  <c r="D108" i="31"/>
  <c r="C130" i="32"/>
  <c r="G112" i="27"/>
  <c r="B106" i="18"/>
  <c r="C147" i="26"/>
  <c r="B135" i="26"/>
  <c r="G133" i="28"/>
  <c r="E126" i="26"/>
  <c r="D158" i="27"/>
  <c r="H179" i="26"/>
  <c r="H146" i="31"/>
  <c r="D187" i="14"/>
  <c r="F91" i="14"/>
  <c r="G106" i="18"/>
  <c r="H128" i="34"/>
  <c r="D157" i="34"/>
  <c r="H87" i="27"/>
  <c r="B151" i="29"/>
  <c r="C157" i="34"/>
  <c r="G107" i="14"/>
  <c r="D59" i="26"/>
  <c r="I193" i="29"/>
  <c r="H81" i="28"/>
  <c r="E116" i="29"/>
  <c r="E29" i="32"/>
  <c r="I176" i="27"/>
  <c r="E153" i="29"/>
  <c r="H142" i="18"/>
  <c r="B69" i="26"/>
  <c r="B152" i="34"/>
  <c r="I93" i="29"/>
  <c r="E177" i="27"/>
  <c r="E121" i="29"/>
  <c r="I96" i="27"/>
  <c r="I93" i="26"/>
  <c r="H78" i="27"/>
  <c r="C149" i="31"/>
  <c r="G150" i="34"/>
  <c r="E149" i="27"/>
  <c r="D102" i="26"/>
  <c r="D162" i="31"/>
  <c r="C125" i="18"/>
  <c r="B96" i="26"/>
  <c r="C45" i="32"/>
  <c r="B79" i="28"/>
  <c r="H171" i="14"/>
  <c r="C136" i="14"/>
  <c r="F120" i="31"/>
  <c r="C166" i="34"/>
  <c r="D114" i="28"/>
  <c r="B90" i="26"/>
  <c r="I95" i="26"/>
  <c r="B104" i="28"/>
  <c r="D106" i="18"/>
  <c r="F118" i="29"/>
  <c r="D98" i="28"/>
  <c r="E184" i="26"/>
  <c r="H165" i="28"/>
  <c r="G170" i="32"/>
  <c r="F137" i="28"/>
  <c r="B118" i="27"/>
  <c r="D94" i="26"/>
  <c r="C153" i="14"/>
  <c r="G137" i="34"/>
  <c r="I132" i="29"/>
  <c r="D122" i="26"/>
  <c r="B188" i="29"/>
  <c r="F173" i="26"/>
  <c r="B112" i="27"/>
  <c r="H163" i="34"/>
  <c r="B175" i="34"/>
  <c r="E95" i="14"/>
  <c r="H184" i="28"/>
  <c r="E97" i="26"/>
  <c r="E120" i="29"/>
  <c r="I155" i="14"/>
  <c r="B172" i="31"/>
  <c r="G169" i="31"/>
  <c r="F131" i="28"/>
  <c r="H80" i="14"/>
  <c r="C181" i="31"/>
  <c r="F129" i="32"/>
  <c r="H189" i="28"/>
  <c r="B117" i="31"/>
  <c r="G138" i="34"/>
  <c r="I131" i="14"/>
  <c r="C80" i="34"/>
  <c r="D147" i="28"/>
  <c r="C96" i="14"/>
  <c r="I128" i="14"/>
  <c r="F133" i="28"/>
  <c r="E136" i="32"/>
  <c r="H169" i="18"/>
  <c r="C8" i="31"/>
  <c r="C83" i="18"/>
  <c r="D181" i="31"/>
  <c r="C126" i="34"/>
  <c r="D88" i="27"/>
  <c r="D168" i="27"/>
  <c r="H129" i="18"/>
  <c r="H155" i="18"/>
  <c r="G158" i="28"/>
  <c r="E94" i="29"/>
  <c r="E125" i="29"/>
  <c r="E96" i="31"/>
  <c r="D103" i="34"/>
  <c r="G19" i="31"/>
  <c r="D94" i="29"/>
  <c r="F155" i="28"/>
  <c r="C88" i="14"/>
  <c r="F44" i="31"/>
  <c r="D107" i="28"/>
  <c r="I136" i="18"/>
  <c r="H151" i="14"/>
  <c r="G156" i="34"/>
  <c r="E165" i="14"/>
  <c r="I59" i="26"/>
  <c r="C183" i="26"/>
  <c r="C146" i="31"/>
  <c r="G183" i="14"/>
  <c r="F129" i="31"/>
  <c r="H166" i="31"/>
  <c r="B163" i="28"/>
  <c r="G157" i="18"/>
  <c r="G116" i="27"/>
  <c r="G108" i="29"/>
  <c r="G155" i="27"/>
  <c r="I140" i="28"/>
  <c r="C108" i="26"/>
  <c r="C153" i="27"/>
  <c r="B140" i="31"/>
  <c r="G164" i="18"/>
  <c r="B147" i="18"/>
  <c r="D151" i="34"/>
  <c r="F164" i="29"/>
  <c r="H176" i="14"/>
  <c r="D170" i="14"/>
  <c r="D121" i="29"/>
  <c r="E183" i="32"/>
  <c r="B95" i="18"/>
  <c r="H100" i="32"/>
  <c r="D98" i="26"/>
  <c r="E86" i="29"/>
  <c r="D57" i="31"/>
  <c r="B84" i="32"/>
  <c r="C140" i="32"/>
  <c r="B6" i="31"/>
  <c r="H102" i="28"/>
  <c r="E159" i="29"/>
  <c r="E140" i="31"/>
  <c r="G134" i="32"/>
  <c r="E139" i="29"/>
  <c r="D174" i="31"/>
  <c r="D104" i="28"/>
  <c r="C189" i="34"/>
  <c r="B184" i="27"/>
  <c r="B168" i="26"/>
  <c r="E146" i="14"/>
  <c r="B92" i="28"/>
  <c r="I125" i="18"/>
  <c r="D182" i="34"/>
  <c r="G99" i="34"/>
  <c r="I121" i="14"/>
  <c r="I169" i="27"/>
  <c r="F181" i="28"/>
  <c r="C121" i="18"/>
  <c r="B121" i="18"/>
  <c r="I111" i="29"/>
  <c r="C92" i="34"/>
  <c r="F161" i="29"/>
  <c r="G116" i="31"/>
  <c r="C187" i="29"/>
  <c r="H120" i="34"/>
  <c r="F175" i="28"/>
  <c r="D152" i="34"/>
  <c r="F77" i="32"/>
  <c r="F184" i="26"/>
  <c r="D147" i="14"/>
  <c r="C176" i="29"/>
  <c r="B133" i="27"/>
  <c r="F114" i="32"/>
  <c r="D122" i="32"/>
  <c r="B107" i="14"/>
  <c r="G77" i="27"/>
  <c r="G110" i="31"/>
  <c r="B149" i="14"/>
  <c r="H183" i="34"/>
  <c r="D97" i="27"/>
  <c r="B145" i="26"/>
  <c r="I167" i="29"/>
  <c r="C150" i="28"/>
  <c r="H122" i="34"/>
  <c r="G162" i="34"/>
  <c r="C175" i="26"/>
  <c r="G124" i="28"/>
  <c r="H90" i="14"/>
  <c r="C149" i="14"/>
  <c r="F190" i="14"/>
  <c r="F166" i="28"/>
  <c r="B141" i="14"/>
  <c r="E113" i="27"/>
  <c r="G27" i="31"/>
  <c r="I105" i="34"/>
  <c r="E156" i="32"/>
  <c r="C96" i="27"/>
  <c r="E140" i="14"/>
  <c r="E170" i="32"/>
  <c r="B155" i="29"/>
  <c r="C181" i="26"/>
  <c r="E102" i="29"/>
  <c r="H189" i="14"/>
  <c r="G109" i="14"/>
  <c r="F135" i="26"/>
  <c r="D26" i="32"/>
  <c r="I77" i="26"/>
  <c r="G186" i="28"/>
  <c r="E122" i="34"/>
  <c r="B113" i="14"/>
  <c r="B152" i="18"/>
  <c r="D187" i="29"/>
  <c r="D134" i="14"/>
  <c r="E176" i="26"/>
  <c r="F179" i="31"/>
  <c r="E99" i="26"/>
  <c r="E184" i="31"/>
  <c r="C185" i="26"/>
  <c r="I169" i="26"/>
  <c r="B108" i="34"/>
  <c r="G132" i="27"/>
  <c r="F182" i="26"/>
  <c r="F85" i="26"/>
  <c r="C145" i="26"/>
  <c r="G152" i="18"/>
  <c r="F121" i="26"/>
  <c r="E134" i="31"/>
  <c r="G154" i="32"/>
  <c r="F145" i="29"/>
  <c r="I174" i="34"/>
  <c r="G121" i="14"/>
  <c r="H119" i="26"/>
  <c r="H134" i="31"/>
  <c r="D118" i="29"/>
  <c r="D137" i="14"/>
  <c r="B123" i="28"/>
  <c r="B143" i="28"/>
  <c r="I146" i="28"/>
  <c r="H152" i="28"/>
  <c r="I103" i="28"/>
  <c r="D100" i="27"/>
  <c r="B127" i="26"/>
  <c r="B153" i="27"/>
  <c r="G115" i="31"/>
  <c r="B159" i="28"/>
  <c r="D108" i="26"/>
  <c r="F133" i="29"/>
  <c r="F139" i="26"/>
  <c r="I190" i="29"/>
  <c r="C103" i="31"/>
  <c r="C117" i="29"/>
  <c r="F95" i="14"/>
  <c r="D168" i="29"/>
  <c r="G187" i="34"/>
  <c r="E118" i="27"/>
  <c r="G143" i="34"/>
  <c r="C185" i="28"/>
  <c r="D99" i="31"/>
  <c r="G62" i="31"/>
  <c r="D124" i="32"/>
  <c r="I160" i="18"/>
  <c r="H165" i="27"/>
  <c r="F147" i="32"/>
  <c r="B113" i="32"/>
  <c r="H81" i="26"/>
  <c r="E67" i="32"/>
  <c r="I177" i="29"/>
  <c r="B85" i="34"/>
  <c r="G124" i="26"/>
  <c r="C108" i="18"/>
  <c r="I140" i="18"/>
  <c r="B151" i="28"/>
  <c r="I87" i="27"/>
  <c r="I115" i="18"/>
  <c r="E56" i="31"/>
  <c r="B195" i="28"/>
  <c r="D102" i="14"/>
  <c r="B93" i="32"/>
  <c r="D185" i="28"/>
  <c r="B125" i="27"/>
  <c r="F51" i="32"/>
  <c r="G155" i="26"/>
  <c r="H117" i="18"/>
  <c r="D42" i="31"/>
  <c r="E69" i="32"/>
  <c r="G79" i="34"/>
  <c r="B115" i="14"/>
  <c r="D141" i="18"/>
  <c r="F132" i="26"/>
  <c r="H124" i="34"/>
  <c r="E84" i="34"/>
  <c r="E66" i="31"/>
  <c r="G94" i="14"/>
  <c r="C130" i="18"/>
  <c r="I156" i="14"/>
  <c r="C181" i="32"/>
  <c r="B146" i="28"/>
  <c r="H86" i="32"/>
  <c r="I86" i="14"/>
  <c r="H122" i="28"/>
  <c r="B14" i="32"/>
  <c r="F102" i="29"/>
  <c r="C122" i="27"/>
  <c r="B79" i="14"/>
  <c r="G188" i="14"/>
  <c r="H182" i="29"/>
  <c r="E182" i="26"/>
  <c r="C62" i="32"/>
  <c r="H169" i="34"/>
  <c r="D161" i="29"/>
  <c r="B107" i="26"/>
  <c r="B127" i="28"/>
  <c r="D194" i="34"/>
  <c r="H147" i="26"/>
  <c r="D124" i="31"/>
  <c r="E109" i="34"/>
  <c r="I102" i="27"/>
  <c r="H161" i="27"/>
  <c r="G130" i="28"/>
  <c r="D172" i="26"/>
  <c r="F156" i="32"/>
  <c r="I166" i="27"/>
  <c r="C169" i="26"/>
  <c r="G47" i="32"/>
  <c r="G119" i="14"/>
  <c r="B167" i="27"/>
  <c r="D86" i="26"/>
  <c r="B97" i="26"/>
  <c r="D132" i="18"/>
  <c r="C182" i="29"/>
  <c r="C46" i="31"/>
  <c r="B180" i="14"/>
  <c r="E183" i="29"/>
  <c r="I90" i="14"/>
  <c r="I110" i="18"/>
  <c r="I171" i="28"/>
  <c r="D153" i="34"/>
  <c r="I146" i="27"/>
  <c r="C99" i="28"/>
  <c r="C82" i="27"/>
  <c r="G153" i="28"/>
  <c r="G126" i="18"/>
  <c r="B183" i="14"/>
  <c r="B82" i="14"/>
  <c r="G46" i="31"/>
  <c r="H143" i="14"/>
  <c r="E138" i="26"/>
  <c r="C167" i="29"/>
  <c r="B175" i="28"/>
  <c r="I152" i="34"/>
  <c r="B170" i="34"/>
  <c r="I133" i="34"/>
  <c r="C88" i="18"/>
  <c r="D85" i="28"/>
  <c r="C196" i="28"/>
  <c r="G117" i="34"/>
  <c r="B150" i="29"/>
  <c r="H96" i="31"/>
  <c r="D146" i="26"/>
  <c r="B86" i="29"/>
  <c r="C135" i="18"/>
  <c r="C88" i="32"/>
  <c r="F175" i="32"/>
  <c r="B168" i="31"/>
  <c r="F160" i="14"/>
  <c r="F148" i="26"/>
  <c r="F79" i="29"/>
  <c r="H128" i="26"/>
  <c r="I73" i="14"/>
  <c r="F146" i="14"/>
  <c r="C193" i="34"/>
  <c r="E161" i="14"/>
  <c r="B173" i="27"/>
  <c r="D101" i="32"/>
  <c r="I183" i="26"/>
  <c r="B94" i="34"/>
  <c r="F127" i="29"/>
  <c r="H166" i="32"/>
  <c r="C120" i="34"/>
  <c r="I144" i="29"/>
  <c r="E24" i="31"/>
  <c r="C102" i="14"/>
  <c r="B138" i="26"/>
  <c r="H77" i="31"/>
  <c r="D81" i="28"/>
  <c r="F113" i="29"/>
  <c r="F180" i="32"/>
  <c r="D86" i="34"/>
  <c r="D152" i="29"/>
  <c r="D139" i="32"/>
  <c r="D85" i="18"/>
  <c r="C94" i="18"/>
  <c r="C129" i="18"/>
  <c r="G109" i="28"/>
  <c r="G119" i="34"/>
  <c r="D109" i="29"/>
  <c r="E143" i="26"/>
  <c r="H99" i="34"/>
  <c r="H95" i="26"/>
  <c r="F119" i="32"/>
  <c r="I101" i="26"/>
  <c r="G121" i="29"/>
  <c r="E48" i="31"/>
  <c r="H165" i="26"/>
  <c r="D100" i="14"/>
  <c r="H173" i="14"/>
  <c r="F150" i="29"/>
  <c r="G160" i="27"/>
  <c r="I102" i="18"/>
  <c r="B100" i="27"/>
  <c r="C116" i="14"/>
  <c r="C158" i="34"/>
  <c r="E154" i="27"/>
  <c r="E133" i="14"/>
  <c r="B169" i="34"/>
  <c r="F143" i="32"/>
  <c r="D143" i="26"/>
  <c r="G165" i="31"/>
  <c r="E183" i="26"/>
  <c r="G135" i="28"/>
  <c r="F74" i="14"/>
  <c r="D129" i="28"/>
  <c r="D191" i="18"/>
  <c r="F190" i="29"/>
  <c r="B160" i="14"/>
  <c r="G123" i="29"/>
  <c r="E14" i="32"/>
  <c r="H131" i="18"/>
  <c r="G111" i="28"/>
  <c r="C107" i="32"/>
  <c r="B126" i="34"/>
  <c r="B149" i="26"/>
  <c r="B75" i="32"/>
  <c r="D152" i="18"/>
  <c r="G140" i="14"/>
  <c r="D141" i="26"/>
  <c r="D107" i="14"/>
  <c r="B143" i="32"/>
  <c r="H104" i="14"/>
  <c r="D118" i="32"/>
  <c r="G131" i="18"/>
  <c r="F118" i="14"/>
  <c r="C94" i="29"/>
  <c r="F167" i="14"/>
  <c r="F94" i="14"/>
  <c r="D169" i="27"/>
  <c r="H121" i="14"/>
  <c r="G97" i="34"/>
  <c r="B114" i="28"/>
  <c r="B118" i="29"/>
  <c r="H144" i="31"/>
  <c r="G86" i="27"/>
  <c r="D119" i="27"/>
  <c r="D118" i="34"/>
  <c r="F84" i="14"/>
  <c r="H142" i="26"/>
  <c r="C158" i="26"/>
  <c r="D154" i="26"/>
  <c r="I170" i="34"/>
  <c r="I158" i="28"/>
  <c r="E148" i="31"/>
  <c r="I122" i="18"/>
  <c r="F78" i="29"/>
  <c r="I117" i="28"/>
  <c r="B179" i="28"/>
  <c r="C111" i="31"/>
  <c r="D186" i="28"/>
  <c r="F89" i="26"/>
  <c r="C167" i="34"/>
  <c r="B135" i="14"/>
  <c r="E80" i="29"/>
  <c r="D82" i="18"/>
  <c r="I178" i="28"/>
  <c r="D151" i="26"/>
  <c r="G116" i="28"/>
  <c r="E128" i="32"/>
  <c r="D84" i="34"/>
  <c r="B124" i="28"/>
  <c r="C60" i="14"/>
  <c r="D97" i="29"/>
  <c r="D153" i="14"/>
  <c r="H123" i="18"/>
  <c r="H168" i="32"/>
  <c r="D126" i="29"/>
  <c r="G124" i="32"/>
  <c r="C128" i="29"/>
  <c r="I78" i="34"/>
  <c r="C22" i="31"/>
  <c r="I101" i="29"/>
  <c r="G85" i="26"/>
  <c r="B173" i="26"/>
  <c r="D142" i="26"/>
  <c r="H19" i="31"/>
  <c r="D127" i="26"/>
  <c r="G147" i="32"/>
  <c r="H117" i="31"/>
  <c r="H128" i="14"/>
  <c r="D124" i="18"/>
  <c r="H156" i="28"/>
  <c r="F136" i="26"/>
  <c r="B47" i="32"/>
  <c r="F158" i="29"/>
  <c r="H122" i="14"/>
  <c r="D185" i="18"/>
  <c r="F40" i="32"/>
  <c r="F120" i="29"/>
  <c r="E171" i="27"/>
  <c r="B177" i="14"/>
  <c r="G99" i="28"/>
  <c r="H102" i="29"/>
  <c r="I168" i="34"/>
  <c r="H82" i="18"/>
  <c r="B171" i="29"/>
  <c r="D148" i="28"/>
  <c r="B91" i="28"/>
  <c r="I94" i="27"/>
  <c r="E88" i="26"/>
  <c r="F135" i="14"/>
  <c r="B133" i="34"/>
  <c r="D137" i="26"/>
  <c r="D166" i="18"/>
  <c r="H117" i="26"/>
  <c r="H139" i="28"/>
  <c r="B162" i="34"/>
  <c r="G184" i="28"/>
  <c r="G91" i="31"/>
  <c r="H169" i="26"/>
  <c r="I73" i="26"/>
  <c r="B158" i="34"/>
  <c r="B162" i="29"/>
  <c r="G189" i="28"/>
  <c r="I161" i="14"/>
  <c r="D179" i="29"/>
  <c r="H122" i="27"/>
  <c r="C145" i="14"/>
  <c r="H109" i="34"/>
  <c r="D167" i="28"/>
  <c r="F120" i="28"/>
  <c r="D112" i="28"/>
  <c r="F176" i="28"/>
  <c r="G161" i="34"/>
  <c r="I154" i="27"/>
  <c r="I124" i="29"/>
  <c r="B181" i="34"/>
  <c r="I105" i="29"/>
  <c r="B181" i="28"/>
  <c r="G104" i="26"/>
  <c r="C86" i="29"/>
  <c r="B188" i="34"/>
  <c r="B115" i="34"/>
  <c r="D112" i="18"/>
  <c r="I168" i="28"/>
  <c r="B182" i="32"/>
  <c r="B95" i="32"/>
  <c r="G111" i="18"/>
  <c r="I152" i="27"/>
  <c r="B180" i="32"/>
  <c r="F114" i="28"/>
  <c r="E107" i="34"/>
  <c r="D149" i="29"/>
  <c r="G141" i="27"/>
  <c r="D111" i="31"/>
  <c r="E176" i="27"/>
  <c r="C136" i="18"/>
  <c r="H176" i="31"/>
  <c r="G163" i="18"/>
  <c r="C97" i="18"/>
  <c r="G107" i="29"/>
  <c r="H137" i="26"/>
  <c r="G145" i="26"/>
  <c r="E139" i="14"/>
  <c r="F185" i="26"/>
  <c r="D93" i="14"/>
  <c r="G124" i="31"/>
  <c r="B160" i="34"/>
  <c r="C109" i="32"/>
  <c r="F164" i="26"/>
  <c r="G188" i="28"/>
  <c r="G121" i="28"/>
  <c r="B106" i="28"/>
  <c r="H120" i="28"/>
  <c r="B136" i="14"/>
  <c r="B107" i="27"/>
  <c r="H161" i="28"/>
  <c r="B56" i="31"/>
  <c r="I152" i="14"/>
  <c r="D117" i="28"/>
  <c r="H139" i="18"/>
  <c r="G182" i="27"/>
  <c r="B90" i="18"/>
  <c r="F164" i="28"/>
  <c r="E151" i="27"/>
  <c r="F132" i="32"/>
  <c r="F105" i="28"/>
  <c r="I80" i="18"/>
  <c r="G83" i="26"/>
  <c r="F104" i="26"/>
  <c r="G136" i="34"/>
  <c r="F115" i="32"/>
  <c r="B112" i="29"/>
  <c r="I182" i="34"/>
  <c r="I118" i="26"/>
  <c r="G119" i="26"/>
  <c r="B185" i="28"/>
  <c r="G115" i="28"/>
  <c r="D93" i="28"/>
  <c r="G87" i="31"/>
  <c r="G167" i="34"/>
  <c r="G112" i="29"/>
  <c r="D136" i="29"/>
  <c r="G175" i="26"/>
  <c r="E184" i="34"/>
  <c r="G84" i="18"/>
  <c r="C93" i="27"/>
  <c r="I186" i="18"/>
  <c r="E141" i="29"/>
  <c r="D147" i="32"/>
  <c r="D181" i="32"/>
  <c r="C128" i="26"/>
  <c r="E165" i="26"/>
  <c r="G125" i="31"/>
  <c r="D141" i="28"/>
  <c r="D98" i="29"/>
  <c r="H82" i="34"/>
  <c r="G163" i="27"/>
  <c r="H84" i="34"/>
  <c r="D110" i="18"/>
  <c r="H190" i="18"/>
  <c r="B27" i="31"/>
  <c r="D142" i="28"/>
  <c r="G108" i="28"/>
  <c r="I177" i="26"/>
  <c r="I93" i="27"/>
  <c r="I190" i="28"/>
  <c r="B139" i="29"/>
  <c r="D65" i="32"/>
  <c r="I115" i="14"/>
  <c r="G147" i="34"/>
  <c r="B155" i="31"/>
  <c r="E194" i="34"/>
  <c r="B109" i="28"/>
  <c r="G116" i="18"/>
  <c r="G166" i="29"/>
  <c r="B198" i="28"/>
  <c r="D145" i="27"/>
  <c r="G107" i="28"/>
  <c r="H87" i="28"/>
  <c r="D112" i="26"/>
  <c r="H135" i="14"/>
  <c r="B75" i="27"/>
  <c r="F26" i="32"/>
  <c r="H134" i="27"/>
  <c r="H103" i="34"/>
  <c r="B147" i="32"/>
  <c r="B114" i="26"/>
  <c r="D85" i="27"/>
  <c r="B160" i="32"/>
  <c r="C148" i="34"/>
  <c r="B191" i="18"/>
  <c r="D127" i="28"/>
  <c r="I78" i="27"/>
  <c r="I154" i="14"/>
  <c r="D84" i="27"/>
  <c r="B102" i="28"/>
  <c r="I76" i="26"/>
  <c r="G81" i="31"/>
  <c r="D163" i="28"/>
  <c r="E160" i="29"/>
  <c r="H138" i="29"/>
  <c r="B137" i="26"/>
  <c r="D176" i="34"/>
  <c r="I113" i="26"/>
  <c r="C93" i="32"/>
  <c r="E113" i="29"/>
  <c r="B124" i="14"/>
  <c r="H76" i="27"/>
  <c r="I88" i="34"/>
  <c r="C123" i="34"/>
  <c r="G160" i="14"/>
  <c r="H25" i="32"/>
  <c r="H109" i="26"/>
  <c r="D160" i="32"/>
  <c r="D193" i="18"/>
  <c r="G128" i="28"/>
  <c r="H106" i="18"/>
  <c r="F183" i="29"/>
  <c r="B179" i="27"/>
  <c r="B123" i="18"/>
  <c r="H135" i="32"/>
  <c r="B122" i="31"/>
  <c r="C153" i="26"/>
  <c r="D109" i="27"/>
  <c r="E163" i="14"/>
  <c r="I98" i="28"/>
  <c r="F115" i="29"/>
  <c r="D123" i="18"/>
  <c r="F148" i="31"/>
  <c r="H181" i="14"/>
  <c r="F179" i="27"/>
  <c r="B109" i="26"/>
  <c r="G129" i="27"/>
  <c r="B183" i="27"/>
  <c r="D185" i="34"/>
  <c r="F121" i="14"/>
  <c r="E47" i="32"/>
  <c r="I108" i="28"/>
  <c r="I112" i="34"/>
  <c r="E143" i="31"/>
  <c r="G130" i="27"/>
  <c r="G166" i="18"/>
  <c r="C107" i="18"/>
  <c r="G26" i="32"/>
  <c r="D20" i="31"/>
  <c r="G175" i="27"/>
  <c r="I179" i="27"/>
  <c r="D150" i="27"/>
  <c r="F138" i="32"/>
  <c r="H186" i="28"/>
  <c r="C165" i="18"/>
  <c r="G156" i="14"/>
  <c r="C74" i="14"/>
  <c r="B137" i="14"/>
  <c r="D171" i="29"/>
  <c r="H176" i="27"/>
  <c r="H179" i="32"/>
  <c r="F149" i="29"/>
  <c r="D100" i="34"/>
  <c r="F172" i="29"/>
  <c r="H150" i="29"/>
  <c r="H138" i="34"/>
  <c r="B134" i="29"/>
  <c r="F81" i="28"/>
  <c r="D113" i="28"/>
  <c r="C119" i="28"/>
  <c r="C178" i="31"/>
  <c r="B54" i="32"/>
  <c r="E147" i="34"/>
  <c r="F101" i="31"/>
  <c r="B183" i="26"/>
  <c r="B66" i="31"/>
  <c r="B184" i="28"/>
  <c r="F169" i="29"/>
  <c r="G160" i="28"/>
  <c r="C116" i="18"/>
  <c r="E137" i="34"/>
  <c r="C81" i="27"/>
  <c r="H168" i="28"/>
  <c r="G195" i="18"/>
  <c r="F165" i="29"/>
  <c r="D89" i="27"/>
  <c r="G73" i="14"/>
  <c r="H125" i="27"/>
  <c r="E122" i="31"/>
  <c r="G117" i="28"/>
  <c r="D159" i="26"/>
  <c r="H128" i="32"/>
  <c r="C110" i="34"/>
  <c r="E92" i="14"/>
  <c r="E187" i="29"/>
  <c r="F104" i="32"/>
  <c r="I93" i="28"/>
  <c r="H176" i="29"/>
  <c r="I135" i="14"/>
  <c r="G182" i="14"/>
  <c r="C177" i="29"/>
  <c r="G166" i="14"/>
  <c r="F96" i="14"/>
  <c r="G95" i="28"/>
  <c r="I141" i="28"/>
  <c r="D157" i="27"/>
  <c r="C73" i="26"/>
  <c r="E128" i="29"/>
  <c r="C165" i="29"/>
  <c r="C157" i="29"/>
  <c r="D164" i="32"/>
  <c r="I80" i="27"/>
  <c r="E145" i="27"/>
  <c r="I110" i="27"/>
  <c r="F73" i="26"/>
  <c r="I157" i="34"/>
  <c r="I175" i="18"/>
  <c r="E106" i="26"/>
  <c r="I158" i="18"/>
  <c r="F188" i="28"/>
  <c r="G135" i="14"/>
  <c r="H89" i="14"/>
  <c r="H174" i="32"/>
  <c r="F124" i="32"/>
  <c r="F198" i="28"/>
  <c r="B198" i="18"/>
  <c r="G102" i="26"/>
  <c r="E137" i="27"/>
  <c r="F148" i="29"/>
  <c r="D98" i="31"/>
  <c r="B119" i="29"/>
  <c r="E120" i="31"/>
  <c r="I127" i="27"/>
  <c r="C85" i="18"/>
  <c r="F177" i="14"/>
  <c r="B101" i="26"/>
  <c r="C166" i="29"/>
  <c r="D85" i="14"/>
  <c r="H87" i="14"/>
  <c r="I191" i="28"/>
  <c r="G84" i="28"/>
  <c r="C183" i="18"/>
  <c r="C82" i="29"/>
  <c r="H85" i="34"/>
  <c r="C142" i="27"/>
  <c r="B81" i="27"/>
  <c r="E150" i="32"/>
  <c r="E68" i="32"/>
  <c r="I136" i="26"/>
  <c r="B156" i="14"/>
  <c r="C147" i="14"/>
  <c r="C121" i="26"/>
  <c r="G99" i="14"/>
  <c r="D181" i="18"/>
  <c r="H147" i="18"/>
  <c r="G189" i="34"/>
  <c r="I104" i="26"/>
  <c r="B188" i="14"/>
  <c r="B148" i="18"/>
  <c r="C152" i="34"/>
  <c r="C80" i="32"/>
  <c r="G112" i="14"/>
  <c r="B141" i="26"/>
  <c r="H148" i="28"/>
  <c r="C111" i="18"/>
  <c r="I150" i="28"/>
  <c r="F158" i="31"/>
  <c r="C95" i="26"/>
  <c r="H90" i="18"/>
  <c r="D152" i="27"/>
  <c r="H145" i="26"/>
  <c r="F125" i="29"/>
  <c r="G171" i="34"/>
  <c r="C146" i="28"/>
  <c r="H156" i="32"/>
  <c r="I166" i="18"/>
  <c r="E168" i="29"/>
  <c r="C44" i="31"/>
  <c r="G133" i="27"/>
  <c r="H182" i="27"/>
  <c r="D146" i="31"/>
  <c r="E182" i="14"/>
  <c r="D170" i="27"/>
  <c r="D172" i="28"/>
  <c r="H130" i="29"/>
  <c r="E85" i="34"/>
  <c r="I155" i="27"/>
  <c r="B181" i="27"/>
  <c r="E89" i="26"/>
  <c r="H157" i="34"/>
  <c r="E170" i="34"/>
  <c r="E139" i="34"/>
  <c r="H90" i="32"/>
  <c r="D164" i="18"/>
  <c r="H139" i="14"/>
  <c r="E160" i="31"/>
  <c r="C85" i="31"/>
  <c r="F152" i="29"/>
  <c r="I175" i="34"/>
  <c r="G29" i="31"/>
  <c r="D182" i="26"/>
  <c r="D96" i="29"/>
  <c r="H92" i="29"/>
  <c r="C172" i="28"/>
  <c r="B140" i="18"/>
  <c r="H153" i="18"/>
  <c r="E100" i="27"/>
  <c r="G132" i="29"/>
  <c r="H82" i="28"/>
  <c r="C75" i="27"/>
  <c r="D125" i="18"/>
  <c r="B127" i="27"/>
  <c r="B120" i="29"/>
  <c r="E111" i="29"/>
  <c r="H131" i="26"/>
  <c r="B154" i="14"/>
  <c r="I125" i="26"/>
  <c r="F114" i="31"/>
  <c r="B190" i="29"/>
  <c r="H77" i="14"/>
  <c r="F193" i="29"/>
  <c r="C151" i="18"/>
  <c r="D153" i="26"/>
  <c r="E50" i="31"/>
  <c r="H79" i="34"/>
  <c r="B129" i="29"/>
  <c r="E78" i="14"/>
  <c r="G166" i="34"/>
  <c r="I185" i="18"/>
  <c r="H171" i="18"/>
  <c r="D80" i="14"/>
  <c r="B76" i="32"/>
  <c r="H102" i="34"/>
  <c r="H51" i="32"/>
  <c r="G146" i="34"/>
  <c r="G50" i="31"/>
  <c r="C105" i="31"/>
  <c r="G120" i="28"/>
  <c r="G163" i="32"/>
  <c r="E125" i="32"/>
  <c r="D89" i="34"/>
  <c r="B146" i="31"/>
  <c r="I190" i="18"/>
  <c r="C140" i="28"/>
  <c r="E89" i="27"/>
  <c r="C50" i="31"/>
  <c r="E76" i="26"/>
  <c r="G138" i="14"/>
  <c r="H108" i="18"/>
  <c r="C102" i="26"/>
  <c r="I60" i="14"/>
  <c r="C92" i="29"/>
  <c r="H144" i="26"/>
  <c r="B89" i="29"/>
  <c r="F108" i="28"/>
  <c r="I178" i="26"/>
  <c r="H183" i="26"/>
  <c r="E162" i="29"/>
  <c r="I161" i="26"/>
  <c r="F54" i="14"/>
  <c r="H135" i="29"/>
  <c r="G165" i="34"/>
  <c r="H134" i="34"/>
  <c r="B167" i="18"/>
  <c r="I96" i="26"/>
  <c r="C151" i="14"/>
  <c r="E135" i="26"/>
  <c r="C129" i="28"/>
  <c r="G77" i="14"/>
  <c r="G181" i="31"/>
  <c r="D178" i="14"/>
  <c r="E156" i="14"/>
  <c r="B89" i="18"/>
  <c r="I148" i="26"/>
  <c r="C161" i="31"/>
  <c r="I144" i="14"/>
  <c r="G144" i="18"/>
  <c r="C180" i="32"/>
  <c r="G94" i="31"/>
  <c r="B106" i="29"/>
  <c r="E171" i="34"/>
  <c r="G115" i="32"/>
  <c r="C115" i="34"/>
  <c r="H145" i="14"/>
  <c r="I133" i="14"/>
  <c r="E131" i="34"/>
  <c r="D106" i="29"/>
  <c r="E99" i="14"/>
  <c r="B94" i="27"/>
  <c r="C148" i="31"/>
  <c r="B138" i="14"/>
  <c r="C184" i="34"/>
  <c r="E185" i="34"/>
  <c r="E90" i="29"/>
  <c r="G167" i="31"/>
  <c r="F79" i="31"/>
  <c r="D80" i="26"/>
  <c r="I180" i="34"/>
  <c r="I118" i="29"/>
  <c r="F146" i="29"/>
  <c r="B159" i="31"/>
  <c r="I90" i="27"/>
  <c r="H175" i="18"/>
  <c r="D105" i="34"/>
  <c r="B172" i="18"/>
  <c r="H127" i="18"/>
  <c r="E8" i="31"/>
  <c r="F132" i="29"/>
  <c r="E137" i="14"/>
  <c r="I132" i="18"/>
  <c r="B135" i="32"/>
  <c r="E105" i="31"/>
  <c r="H118" i="18"/>
  <c r="C140" i="26"/>
  <c r="D88" i="14"/>
  <c r="H117" i="28"/>
  <c r="I85" i="26"/>
  <c r="H132" i="34"/>
  <c r="C90" i="32"/>
  <c r="B149" i="29"/>
  <c r="B129" i="34"/>
  <c r="C143" i="28"/>
  <c r="F137" i="14"/>
  <c r="E75" i="26"/>
  <c r="H144" i="14"/>
  <c r="D103" i="18"/>
  <c r="C155" i="28"/>
  <c r="F179" i="32"/>
  <c r="H132" i="18"/>
  <c r="I88" i="18"/>
  <c r="G158" i="18"/>
  <c r="G153" i="34"/>
  <c r="D190" i="28"/>
  <c r="C159" i="28"/>
  <c r="C81" i="28"/>
  <c r="F91" i="32"/>
  <c r="C158" i="18"/>
  <c r="H106" i="32"/>
  <c r="F96" i="28"/>
  <c r="C119" i="26"/>
  <c r="G185" i="29"/>
  <c r="D105" i="31"/>
  <c r="F97" i="28"/>
  <c r="D162" i="34"/>
  <c r="D165" i="14"/>
  <c r="F84" i="31"/>
  <c r="B157" i="29"/>
  <c r="G114" i="14"/>
  <c r="H100" i="14"/>
  <c r="G193" i="28"/>
  <c r="G127" i="28"/>
  <c r="I86" i="28"/>
  <c r="C160" i="28"/>
  <c r="G177" i="26"/>
  <c r="C72" i="27"/>
  <c r="H111" i="34"/>
  <c r="C73" i="14"/>
  <c r="E132" i="34"/>
  <c r="D66" i="32"/>
  <c r="C105" i="14"/>
  <c r="F145" i="26"/>
  <c r="E151" i="26"/>
  <c r="C142" i="32"/>
  <c r="E96" i="34"/>
  <c r="C103" i="34"/>
  <c r="G187" i="29"/>
  <c r="D124" i="27"/>
  <c r="D170" i="28"/>
  <c r="H157" i="14"/>
  <c r="G105" i="14"/>
  <c r="G128" i="29"/>
  <c r="F196" i="28"/>
  <c r="B116" i="34"/>
  <c r="B102" i="34"/>
  <c r="E78" i="32"/>
  <c r="I170" i="14"/>
  <c r="C113" i="29"/>
  <c r="H179" i="34"/>
  <c r="C147" i="34"/>
  <c r="D114" i="14"/>
  <c r="F172" i="14"/>
  <c r="C20" i="31"/>
  <c r="I172" i="29"/>
  <c r="H156" i="14"/>
  <c r="B138" i="27"/>
  <c r="H39" i="31"/>
  <c r="H169" i="31"/>
  <c r="B83" i="27"/>
  <c r="B110" i="27"/>
  <c r="F134" i="14"/>
  <c r="D103" i="26"/>
  <c r="C137" i="27"/>
  <c r="F8" i="31"/>
  <c r="E146" i="27"/>
  <c r="D142" i="32"/>
  <c r="E181" i="14"/>
  <c r="I173" i="26"/>
  <c r="D46" i="31"/>
  <c r="G54" i="14"/>
  <c r="I110" i="26"/>
  <c r="D121" i="27"/>
  <c r="B91" i="26"/>
  <c r="E104" i="26"/>
  <c r="B132" i="18"/>
  <c r="D79" i="29"/>
  <c r="G158" i="29"/>
  <c r="E101" i="14"/>
  <c r="F111" i="29"/>
  <c r="I98" i="18"/>
  <c r="C53" i="31"/>
  <c r="F58" i="32"/>
  <c r="D126" i="28"/>
  <c r="F98" i="31"/>
  <c r="G110" i="26"/>
  <c r="G106" i="14"/>
  <c r="E94" i="26"/>
  <c r="I174" i="26"/>
  <c r="C54" i="14"/>
  <c r="G176" i="14"/>
  <c r="B162" i="31"/>
  <c r="G170" i="26"/>
  <c r="D134" i="26"/>
  <c r="D132" i="27"/>
  <c r="F99" i="29"/>
  <c r="D99" i="29"/>
  <c r="G69" i="32"/>
  <c r="H150" i="28"/>
  <c r="C110" i="27"/>
  <c r="E103" i="34"/>
  <c r="G172" i="31"/>
  <c r="E128" i="26"/>
  <c r="C161" i="26"/>
  <c r="C151" i="27"/>
  <c r="H160" i="34"/>
  <c r="F161" i="28"/>
  <c r="H184" i="27"/>
  <c r="I149" i="28"/>
  <c r="G154" i="27"/>
  <c r="B35" i="32"/>
  <c r="D136" i="34"/>
  <c r="E148" i="14"/>
  <c r="H81" i="29"/>
  <c r="G176" i="27"/>
  <c r="B108" i="14"/>
  <c r="D106" i="26"/>
  <c r="I185" i="26"/>
  <c r="H102" i="27"/>
  <c r="I87" i="18"/>
  <c r="C176" i="32"/>
  <c r="F159" i="29"/>
  <c r="D40" i="32"/>
  <c r="H98" i="28"/>
  <c r="H134" i="32"/>
  <c r="G168" i="32"/>
  <c r="C137" i="18"/>
  <c r="D86" i="14"/>
  <c r="E121" i="31"/>
  <c r="H157" i="29"/>
  <c r="B99" i="26"/>
  <c r="G146" i="28"/>
  <c r="D87" i="28"/>
  <c r="E150" i="26"/>
  <c r="H157" i="28"/>
  <c r="B98" i="26"/>
  <c r="I149" i="26"/>
  <c r="I146" i="26"/>
  <c r="D178" i="31"/>
  <c r="H101" i="14"/>
  <c r="H103" i="14"/>
  <c r="D158" i="18"/>
  <c r="D122" i="31"/>
  <c r="C138" i="31"/>
  <c r="C181" i="29"/>
  <c r="G179" i="31"/>
  <c r="D168" i="28"/>
  <c r="C152" i="31"/>
  <c r="H79" i="18"/>
  <c r="B100" i="14"/>
  <c r="F160" i="29"/>
  <c r="G149" i="28"/>
  <c r="B78" i="18"/>
  <c r="H166" i="34"/>
  <c r="E173" i="29"/>
  <c r="D186" i="14"/>
  <c r="G66" i="31"/>
  <c r="C183" i="14"/>
  <c r="I131" i="26"/>
  <c r="F158" i="26"/>
  <c r="G105" i="28"/>
  <c r="C154" i="31"/>
  <c r="B156" i="34"/>
  <c r="I119" i="34"/>
  <c r="C148" i="29"/>
  <c r="E190" i="28"/>
  <c r="Q186" i="34" s="1"/>
  <c r="F100" i="18"/>
  <c r="E87" i="28"/>
  <c r="Q86" i="34" s="1"/>
  <c r="F92" i="27"/>
  <c r="F125" i="28"/>
  <c r="F198" i="18"/>
  <c r="E98" i="18"/>
  <c r="Z98" i="18" s="1"/>
  <c r="AB98" i="18" s="1"/>
  <c r="Z125" i="32" s="1"/>
  <c r="F155" i="18"/>
  <c r="E101" i="18"/>
  <c r="Q101" i="18" s="1"/>
  <c r="R101" i="18" s="1"/>
  <c r="X35" i="32" s="1"/>
  <c r="E172" i="28"/>
  <c r="Q170" i="34" s="1"/>
  <c r="F113" i="18"/>
  <c r="F82" i="18"/>
  <c r="F81" i="18"/>
  <c r="F95" i="18"/>
  <c r="E161" i="28"/>
  <c r="Z161" i="28" s="1"/>
  <c r="F170" i="18"/>
  <c r="E91" i="18"/>
  <c r="Q91" i="18" s="1"/>
  <c r="R91" i="18" s="1"/>
  <c r="X88" i="32" s="1"/>
  <c r="E197" i="28"/>
  <c r="E194" i="28"/>
  <c r="Q190" i="34" s="1"/>
  <c r="E90" i="28"/>
  <c r="Q89" i="34" s="1"/>
  <c r="F92" i="18"/>
  <c r="E155" i="28"/>
  <c r="Q153" i="34" s="1"/>
  <c r="E138" i="28"/>
  <c r="Q138" i="28" s="1"/>
  <c r="F189" i="18"/>
  <c r="E171" i="28"/>
  <c r="Q171" i="28" s="1"/>
  <c r="E80" i="28"/>
  <c r="E78" i="18"/>
  <c r="P78" i="18" s="1"/>
  <c r="F136" i="18"/>
  <c r="E91" i="28"/>
  <c r="Q90" i="34" s="1"/>
  <c r="E84" i="28"/>
  <c r="Q84" i="28" s="1"/>
  <c r="E186" i="18"/>
  <c r="Z186" i="18" s="1"/>
  <c r="AB186" i="18" s="1"/>
  <c r="Z131" i="32" s="1"/>
  <c r="E126" i="28"/>
  <c r="Q126" i="28" s="1"/>
  <c r="R126" i="28" s="1"/>
  <c r="Q187" i="32" s="1"/>
  <c r="E120" i="18"/>
  <c r="Q120" i="18" s="1"/>
  <c r="R120" i="18" s="1"/>
  <c r="X118" i="32" s="1"/>
  <c r="F53" i="26"/>
  <c r="E165" i="18"/>
  <c r="Q164" i="18" s="1"/>
  <c r="R164" i="18" s="1"/>
  <c r="X21" i="32" s="1"/>
  <c r="E156" i="28"/>
  <c r="Q154" i="34" s="1"/>
  <c r="E149" i="28"/>
  <c r="Q147" i="34" s="1"/>
  <c r="E145" i="18"/>
  <c r="Z145" i="18" s="1"/>
  <c r="AB145" i="18" s="1"/>
  <c r="Z143" i="32" s="1"/>
  <c r="E153" i="18"/>
  <c r="Q152" i="34" l="1"/>
  <c r="Q154" i="28"/>
  <c r="Q135" i="34"/>
  <c r="Q137" i="28"/>
  <c r="Q87" i="34"/>
  <c r="Q88" i="28"/>
  <c r="R88" i="28" s="1"/>
  <c r="AL87" i="34" s="1"/>
  <c r="Q142" i="34"/>
  <c r="Q144" i="28"/>
  <c r="Q112" i="34"/>
  <c r="Q113" i="28"/>
  <c r="Q185" i="34"/>
  <c r="Q189" i="28"/>
  <c r="Q144" i="34"/>
  <c r="Q146" i="28"/>
  <c r="Q193" i="34"/>
  <c r="Q197" i="28"/>
  <c r="Q178" i="34"/>
  <c r="Q181" i="28"/>
  <c r="Q143" i="34"/>
  <c r="Q145" i="28"/>
  <c r="R145" i="28" s="1"/>
  <c r="Q127" i="28"/>
  <c r="R125" i="34" s="1"/>
  <c r="Q184" i="34"/>
  <c r="Q188" i="28"/>
  <c r="R188" i="28" s="1"/>
  <c r="B191" i="14"/>
  <c r="Q146" i="18"/>
  <c r="R146" i="18" s="1"/>
  <c r="X29" i="32" s="1"/>
  <c r="S100" i="18"/>
  <c r="Y80" i="32" s="1"/>
  <c r="S92" i="18"/>
  <c r="Y89" i="32" s="1"/>
  <c r="S81" i="18"/>
  <c r="Y66" i="32" s="1"/>
  <c r="Q174" i="18"/>
  <c r="P174" i="18"/>
  <c r="Z180" i="18"/>
  <c r="AB180" i="18" s="1"/>
  <c r="Z172" i="32" s="1"/>
  <c r="P180" i="18"/>
  <c r="Q113" i="18"/>
  <c r="P113" i="18"/>
  <c r="Z152" i="18"/>
  <c r="AB152" i="18" s="1"/>
  <c r="Z148" i="32" s="1"/>
  <c r="Z188" i="18"/>
  <c r="AB188" i="18" s="1"/>
  <c r="Z179" i="32" s="1"/>
  <c r="P188" i="18"/>
  <c r="R188" i="18" s="1"/>
  <c r="X179" i="32" s="1"/>
  <c r="Z95" i="18"/>
  <c r="AB95" i="18" s="1"/>
  <c r="Z92" i="32" s="1"/>
  <c r="P95" i="18"/>
  <c r="Z154" i="18"/>
  <c r="AB154" i="18" s="1"/>
  <c r="Z150" i="32" s="1"/>
  <c r="P154" i="18"/>
  <c r="Z132" i="18"/>
  <c r="AB132" i="18" s="1"/>
  <c r="Z129" i="32" s="1"/>
  <c r="P132" i="18"/>
  <c r="Q92" i="18"/>
  <c r="P92" i="18"/>
  <c r="Z93" i="18"/>
  <c r="AB93" i="18" s="1"/>
  <c r="Z90" i="32" s="1"/>
  <c r="P93" i="18"/>
  <c r="Z137" i="18"/>
  <c r="AB137" i="18" s="1"/>
  <c r="Z134" i="32" s="1"/>
  <c r="P137" i="18"/>
  <c r="Z104" i="18"/>
  <c r="AB104" i="18" s="1"/>
  <c r="Z86" i="32" s="1"/>
  <c r="Q103" i="18"/>
  <c r="P103" i="18"/>
  <c r="R103" i="18" s="1"/>
  <c r="X101" i="32" s="1"/>
  <c r="Q128" i="28"/>
  <c r="P128" i="28"/>
  <c r="Q104" i="28"/>
  <c r="P104" i="28"/>
  <c r="Q188" i="34"/>
  <c r="P192" i="28"/>
  <c r="Q95" i="34"/>
  <c r="P96" i="28"/>
  <c r="Q94" i="28"/>
  <c r="P94" i="28"/>
  <c r="Q80" i="28"/>
  <c r="P80" i="28"/>
  <c r="Q93" i="28"/>
  <c r="P93" i="28"/>
  <c r="Q114" i="28"/>
  <c r="P114" i="28"/>
  <c r="Q139" i="28"/>
  <c r="P139" i="28"/>
  <c r="Z183" i="28"/>
  <c r="AB183" i="28" s="1"/>
  <c r="S194" i="32" s="1"/>
  <c r="P183" i="28"/>
  <c r="Q181" i="34"/>
  <c r="P184" i="28"/>
  <c r="Q155" i="34"/>
  <c r="P157" i="28"/>
  <c r="Q134" i="28"/>
  <c r="P134" i="28"/>
  <c r="Q83" i="28"/>
  <c r="R83" i="28" s="1"/>
  <c r="Q154" i="32" s="1"/>
  <c r="Z141" i="18"/>
  <c r="AB141" i="18" s="1"/>
  <c r="Z69" i="32" s="1"/>
  <c r="Q98" i="18"/>
  <c r="R98" i="18" s="1"/>
  <c r="X125" i="32" s="1"/>
  <c r="Z107" i="18"/>
  <c r="AB107" i="18" s="1"/>
  <c r="Z9" i="32" s="1"/>
  <c r="Z187" i="18"/>
  <c r="AB187" i="18" s="1"/>
  <c r="Z166" i="32" s="1"/>
  <c r="J95" i="18"/>
  <c r="Q101" i="34"/>
  <c r="Q155" i="28"/>
  <c r="R153" i="34" s="1"/>
  <c r="S113" i="18"/>
  <c r="Y111" i="32" s="1"/>
  <c r="AL185" i="28"/>
  <c r="Q195" i="32"/>
  <c r="V195" i="32" s="1"/>
  <c r="S82" i="18"/>
  <c r="Y154" i="32" s="1"/>
  <c r="Q180" i="34"/>
  <c r="Q96" i="28"/>
  <c r="Q179" i="34"/>
  <c r="Q129" i="28"/>
  <c r="R127" i="34" s="1"/>
  <c r="Q136" i="34"/>
  <c r="Q109" i="28"/>
  <c r="R108" i="34" s="1"/>
  <c r="R178" i="34"/>
  <c r="Q151" i="28"/>
  <c r="R149" i="34" s="1"/>
  <c r="Q140" i="28"/>
  <c r="Q195" i="28"/>
  <c r="Q125" i="34"/>
  <c r="Q148" i="34"/>
  <c r="R152" i="34"/>
  <c r="Z181" i="18"/>
  <c r="AB181" i="18" s="1"/>
  <c r="Q179" i="28"/>
  <c r="R176" i="34" s="1"/>
  <c r="AL177" i="28"/>
  <c r="Q192" i="32"/>
  <c r="V192" i="32" s="1"/>
  <c r="AE192" i="32" s="1"/>
  <c r="K185" i="27"/>
  <c r="M185" i="27" s="1"/>
  <c r="S156" i="31" s="1"/>
  <c r="W156" i="31" s="1"/>
  <c r="Q125" i="28"/>
  <c r="R124" i="34" s="1"/>
  <c r="Q118" i="34"/>
  <c r="Q192" i="28"/>
  <c r="Q173" i="34"/>
  <c r="Z113" i="18"/>
  <c r="AB113" i="18" s="1"/>
  <c r="Z111" i="32" s="1"/>
  <c r="Q111" i="34"/>
  <c r="Q162" i="28"/>
  <c r="Z134" i="28"/>
  <c r="AB132" i="34" s="1"/>
  <c r="Q100" i="28"/>
  <c r="R99" i="34" s="1"/>
  <c r="Q115" i="18"/>
  <c r="R115" i="18" s="1"/>
  <c r="X159" i="32" s="1"/>
  <c r="R98" i="34"/>
  <c r="R99" i="28"/>
  <c r="Q125" i="32" s="1"/>
  <c r="V125" i="32" s="1"/>
  <c r="R133" i="28"/>
  <c r="AL133" i="28" s="1"/>
  <c r="R131" i="34"/>
  <c r="Z126" i="28"/>
  <c r="AB126" i="28" s="1"/>
  <c r="Q90" i="28"/>
  <c r="R89" i="34" s="1"/>
  <c r="K152" i="27"/>
  <c r="M152" i="27" s="1"/>
  <c r="S28" i="31" s="1"/>
  <c r="V28" i="31" s="1"/>
  <c r="Q170" i="28"/>
  <c r="R170" i="28" s="1"/>
  <c r="AL168" i="34" s="1"/>
  <c r="Z131" i="18"/>
  <c r="AB131" i="18" s="1"/>
  <c r="Z128" i="32" s="1"/>
  <c r="Q131" i="34"/>
  <c r="Q143" i="28"/>
  <c r="Q180" i="28"/>
  <c r="Z138" i="18"/>
  <c r="AB138" i="18" s="1"/>
  <c r="Z135" i="32" s="1"/>
  <c r="Z124" i="28"/>
  <c r="AB123" i="34" s="1"/>
  <c r="J155" i="18"/>
  <c r="W190" i="32" s="1"/>
  <c r="Q132" i="34"/>
  <c r="Q98" i="34"/>
  <c r="J136" i="18"/>
  <c r="W160" i="32" s="1"/>
  <c r="S170" i="18"/>
  <c r="Y25" i="32" s="1"/>
  <c r="S198" i="18"/>
  <c r="Y196" i="32" s="1"/>
  <c r="Q156" i="28"/>
  <c r="R154" i="34" s="1"/>
  <c r="Z120" i="18"/>
  <c r="AB120" i="18" s="1"/>
  <c r="Z118" i="32" s="1"/>
  <c r="S189" i="18"/>
  <c r="Y180" i="32" s="1"/>
  <c r="S155" i="18"/>
  <c r="Y190" i="32" s="1"/>
  <c r="Q134" i="34"/>
  <c r="Q97" i="28"/>
  <c r="R97" i="28" s="1"/>
  <c r="AL96" i="34" s="1"/>
  <c r="Z143" i="18"/>
  <c r="AB143" i="18" s="1"/>
  <c r="Z140" i="32" s="1"/>
  <c r="Q137" i="18"/>
  <c r="Q165" i="28"/>
  <c r="Q115" i="28"/>
  <c r="Q183" i="34"/>
  <c r="Q153" i="28"/>
  <c r="R151" i="34" s="1"/>
  <c r="Q85" i="28"/>
  <c r="Q110" i="28"/>
  <c r="Q118" i="28"/>
  <c r="R117" i="34" s="1"/>
  <c r="Q93" i="34"/>
  <c r="Q176" i="28"/>
  <c r="Q135" i="28"/>
  <c r="R133" i="34" s="1"/>
  <c r="Q192" i="34"/>
  <c r="Q164" i="28"/>
  <c r="R162" i="34" s="1"/>
  <c r="J118" i="18"/>
  <c r="W62" i="32" s="1"/>
  <c r="J92" i="18"/>
  <c r="W89" i="32" s="1"/>
  <c r="Z119" i="18"/>
  <c r="AB119" i="18" s="1"/>
  <c r="Z100" i="18"/>
  <c r="AB100" i="18" s="1"/>
  <c r="Z80" i="32" s="1"/>
  <c r="Z88" i="18"/>
  <c r="AB88" i="18" s="1"/>
  <c r="Z85" i="32" s="1"/>
  <c r="Z122" i="18"/>
  <c r="AB122" i="18" s="1"/>
  <c r="Z108" i="32" s="1"/>
  <c r="Z92" i="18"/>
  <c r="AB92" i="18" s="1"/>
  <c r="Z89" i="32" s="1"/>
  <c r="Q129" i="18"/>
  <c r="R129" i="18" s="1"/>
  <c r="X113" i="32" s="1"/>
  <c r="Z168" i="18"/>
  <c r="AB168" i="18" s="1"/>
  <c r="Z34" i="32" s="1"/>
  <c r="Z136" i="18"/>
  <c r="AB136" i="18" s="1"/>
  <c r="Z160" i="32" s="1"/>
  <c r="Z123" i="18"/>
  <c r="AB123" i="18" s="1"/>
  <c r="Z147" i="18"/>
  <c r="AB147" i="18" s="1"/>
  <c r="Z189" i="32" s="1"/>
  <c r="Q197" i="18"/>
  <c r="R197" i="18" s="1"/>
  <c r="X193" i="32" s="1"/>
  <c r="Q185" i="18"/>
  <c r="R185" i="18" s="1"/>
  <c r="X176" i="32" s="1"/>
  <c r="Z175" i="18"/>
  <c r="AB175" i="18" s="1"/>
  <c r="Z30" i="32" s="1"/>
  <c r="Q127" i="18"/>
  <c r="R127" i="18" s="1"/>
  <c r="X124" i="32" s="1"/>
  <c r="Q189" i="18"/>
  <c r="R189" i="18" s="1"/>
  <c r="X180" i="32" s="1"/>
  <c r="Q83" i="18"/>
  <c r="R83" i="18" s="1"/>
  <c r="X142" i="32" s="1"/>
  <c r="Q97" i="18"/>
  <c r="R97" i="18" s="1"/>
  <c r="X94" i="32" s="1"/>
  <c r="Z109" i="18"/>
  <c r="AB109" i="18" s="1"/>
  <c r="Z20" i="32" s="1"/>
  <c r="Q154" i="18"/>
  <c r="R154" i="18" s="1"/>
  <c r="X150" i="32" s="1"/>
  <c r="Z134" i="18"/>
  <c r="AB134" i="18" s="1"/>
  <c r="Z47" i="32" s="1"/>
  <c r="Q116" i="18"/>
  <c r="R116" i="18" s="1"/>
  <c r="X114" i="32" s="1"/>
  <c r="Q93" i="18"/>
  <c r="Z140" i="18"/>
  <c r="AB140" i="18" s="1"/>
  <c r="Z121" i="32" s="1"/>
  <c r="Q179" i="18"/>
  <c r="R179" i="18" s="1"/>
  <c r="X194" i="32" s="1"/>
  <c r="Q156" i="18"/>
  <c r="R156" i="18" s="1"/>
  <c r="X138" i="32" s="1"/>
  <c r="Q82" i="18"/>
  <c r="R82" i="18" s="1"/>
  <c r="X154" i="32" s="1"/>
  <c r="Q95" i="18"/>
  <c r="R95" i="18" s="1"/>
  <c r="X92" i="32" s="1"/>
  <c r="Z91" i="18"/>
  <c r="AB91" i="18" s="1"/>
  <c r="Z88" i="32" s="1"/>
  <c r="J100" i="18"/>
  <c r="W80" i="32" s="1"/>
  <c r="Z118" i="18"/>
  <c r="AB118" i="18" s="1"/>
  <c r="Z62" i="32" s="1"/>
  <c r="Z161" i="18"/>
  <c r="AB161" i="18" s="1"/>
  <c r="Z156" i="32" s="1"/>
  <c r="Q89" i="18"/>
  <c r="R89" i="18" s="1"/>
  <c r="X175" i="32" s="1"/>
  <c r="Z174" i="18"/>
  <c r="AB174" i="18" s="1"/>
  <c r="Q105" i="18"/>
  <c r="R105" i="18" s="1"/>
  <c r="X97" i="32" s="1"/>
  <c r="Q132" i="18"/>
  <c r="Q166" i="18"/>
  <c r="R166" i="18" s="1"/>
  <c r="X40" i="32" s="1"/>
  <c r="Z149" i="18"/>
  <c r="AB173" i="18"/>
  <c r="Z191" i="32" s="1"/>
  <c r="Q159" i="18"/>
  <c r="R159" i="18" s="1"/>
  <c r="X95" i="32" s="1"/>
  <c r="Q180" i="18"/>
  <c r="Z133" i="18"/>
  <c r="AB133" i="18" s="1"/>
  <c r="Z130" i="32" s="1"/>
  <c r="R136" i="34"/>
  <c r="R138" i="28"/>
  <c r="R169" i="34"/>
  <c r="R171" i="28"/>
  <c r="R81" i="34"/>
  <c r="R82" i="28"/>
  <c r="Q66" i="32" s="1"/>
  <c r="Q167" i="28"/>
  <c r="Q191" i="28"/>
  <c r="Z130" i="18"/>
  <c r="AB130" i="18" s="1"/>
  <c r="Q142" i="18"/>
  <c r="R142" i="18" s="1"/>
  <c r="X139" i="32" s="1"/>
  <c r="Z194" i="28"/>
  <c r="K80" i="27"/>
  <c r="M80" i="27" s="1"/>
  <c r="S66" i="31" s="1"/>
  <c r="S120" i="18"/>
  <c r="Y118" i="32" s="1"/>
  <c r="J120" i="18"/>
  <c r="Z94" i="18"/>
  <c r="AB94" i="18" s="1"/>
  <c r="Z116" i="32" s="1"/>
  <c r="Q94" i="18"/>
  <c r="R94" i="18" s="1"/>
  <c r="X116" i="32" s="1"/>
  <c r="Q105" i="32"/>
  <c r="V105" i="32" s="1"/>
  <c r="AE105" i="32" s="1"/>
  <c r="K53" i="27"/>
  <c r="R81" i="28"/>
  <c r="R80" i="34"/>
  <c r="K141" i="27"/>
  <c r="M141" i="27" s="1"/>
  <c r="Q169" i="34"/>
  <c r="K71" i="27"/>
  <c r="M71" i="27" s="1"/>
  <c r="S11" i="31" s="1"/>
  <c r="K92" i="27"/>
  <c r="M92" i="27" s="1"/>
  <c r="S18" i="31" s="1"/>
  <c r="Q149" i="28"/>
  <c r="K62" i="27"/>
  <c r="M62" i="27" s="1"/>
  <c r="S68" i="31" s="1"/>
  <c r="Q83" i="34"/>
  <c r="Q91" i="28"/>
  <c r="S136" i="18"/>
  <c r="Y160" i="32" s="1"/>
  <c r="J189" i="18"/>
  <c r="J170" i="18"/>
  <c r="S95" i="18"/>
  <c r="Y92" i="32" s="1"/>
  <c r="J81" i="18"/>
  <c r="J113" i="18"/>
  <c r="Q87" i="28"/>
  <c r="Q190" i="28"/>
  <c r="J103" i="18"/>
  <c r="Q123" i="28"/>
  <c r="Q122" i="34"/>
  <c r="Z82" i="28"/>
  <c r="Q81" i="34"/>
  <c r="Q124" i="18"/>
  <c r="R124" i="18" s="1"/>
  <c r="X187" i="32" s="1"/>
  <c r="Z124" i="18"/>
  <c r="AB124" i="18" s="1"/>
  <c r="Z187" i="32" s="1"/>
  <c r="Z117" i="18"/>
  <c r="AB117" i="18" s="1"/>
  <c r="Z36" i="32" s="1"/>
  <c r="Q186" i="18"/>
  <c r="R186" i="18" s="1"/>
  <c r="X131" i="32" s="1"/>
  <c r="Q117" i="18"/>
  <c r="R117" i="18" s="1"/>
  <c r="X36" i="32" s="1"/>
  <c r="Q91" i="34"/>
  <c r="Q92" i="28"/>
  <c r="K95" i="27"/>
  <c r="M95" i="27" s="1"/>
  <c r="S33" i="31" s="1"/>
  <c r="K63" i="27"/>
  <c r="M63" i="27" s="1"/>
  <c r="S69" i="31" s="1"/>
  <c r="S128" i="18"/>
  <c r="Y78" i="32" s="1"/>
  <c r="S161" i="18"/>
  <c r="Y156" i="32" s="1"/>
  <c r="J196" i="18"/>
  <c r="W188" i="32" s="1"/>
  <c r="J88" i="18"/>
  <c r="Z153" i="18"/>
  <c r="AB153" i="18" s="1"/>
  <c r="Z115" i="32" s="1"/>
  <c r="Q171" i="18"/>
  <c r="R171" i="18" s="1"/>
  <c r="X65" i="32" s="1"/>
  <c r="Z78" i="18"/>
  <c r="AB78" i="18" s="1"/>
  <c r="Q78" i="18"/>
  <c r="Q172" i="28"/>
  <c r="M177" i="34"/>
  <c r="P177" i="34"/>
  <c r="O177" i="34"/>
  <c r="O136" i="34"/>
  <c r="N177" i="34"/>
  <c r="M136" i="34"/>
  <c r="P187" i="34"/>
  <c r="O187" i="34"/>
  <c r="O138" i="34"/>
  <c r="O126" i="34"/>
  <c r="N91" i="34"/>
  <c r="P89" i="34"/>
  <c r="O89" i="34"/>
  <c r="P136" i="34"/>
  <c r="O192" i="34"/>
  <c r="M187" i="34"/>
  <c r="N136" i="34"/>
  <c r="N187" i="34"/>
  <c r="N138" i="34"/>
  <c r="M138" i="34"/>
  <c r="N126" i="34"/>
  <c r="M127" i="34"/>
  <c r="P91" i="34"/>
  <c r="O91" i="34"/>
  <c r="N89" i="34"/>
  <c r="M91" i="34"/>
  <c r="O107" i="34"/>
  <c r="O155" i="34"/>
  <c r="O190" i="34"/>
  <c r="N152" i="34"/>
  <c r="O146" i="34"/>
  <c r="N100" i="34"/>
  <c r="P155" i="34"/>
  <c r="M190" i="34"/>
  <c r="N146" i="34"/>
  <c r="N87" i="34"/>
  <c r="P176" i="34"/>
  <c r="M162" i="34"/>
  <c r="O132" i="34"/>
  <c r="N172" i="34"/>
  <c r="O163" i="34"/>
  <c r="M121" i="34"/>
  <c r="O121" i="34"/>
  <c r="N94" i="34"/>
  <c r="N112" i="34"/>
  <c r="P112" i="34"/>
  <c r="M95" i="34"/>
  <c r="O95" i="34"/>
  <c r="M113" i="34"/>
  <c r="P113" i="34"/>
  <c r="P100" i="34"/>
  <c r="N107" i="34"/>
  <c r="P190" i="34"/>
  <c r="M152" i="34"/>
  <c r="P146" i="34"/>
  <c r="M176" i="34"/>
  <c r="O162" i="34"/>
  <c r="N170" i="34"/>
  <c r="P107" i="34"/>
  <c r="N155" i="34"/>
  <c r="O152" i="34"/>
  <c r="M146" i="34"/>
  <c r="O87" i="34"/>
  <c r="N176" i="34"/>
  <c r="P184" i="34"/>
  <c r="N157" i="34"/>
  <c r="O169" i="34"/>
  <c r="M154" i="34"/>
  <c r="P132" i="34"/>
  <c r="O101" i="34"/>
  <c r="O172" i="34"/>
  <c r="P172" i="34"/>
  <c r="P163" i="34"/>
  <c r="N121" i="34"/>
  <c r="N144" i="34"/>
  <c r="M94" i="34"/>
  <c r="P94" i="34"/>
  <c r="O100" i="34"/>
  <c r="M107" i="34"/>
  <c r="M155" i="34"/>
  <c r="N190" i="34"/>
  <c r="P152" i="34"/>
  <c r="M87" i="34"/>
  <c r="P162" i="34"/>
  <c r="N162" i="34"/>
  <c r="M172" i="34"/>
  <c r="N163" i="34"/>
  <c r="O94" i="34"/>
  <c r="O189" i="34"/>
  <c r="P166" i="34"/>
  <c r="N165" i="34"/>
  <c r="P194" i="34"/>
  <c r="P95" i="34"/>
  <c r="N113" i="34"/>
  <c r="P180" i="34"/>
  <c r="N189" i="34"/>
  <c r="M194" i="34"/>
  <c r="P117" i="34"/>
  <c r="N120" i="34"/>
  <c r="M99" i="34"/>
  <c r="P189" i="34"/>
  <c r="M166" i="34"/>
  <c r="M165" i="34"/>
  <c r="N194" i="34"/>
  <c r="P99" i="34"/>
  <c r="O98" i="34"/>
  <c r="P98" i="34"/>
  <c r="M179" i="34"/>
  <c r="O179" i="34"/>
  <c r="P80" i="34"/>
  <c r="M80" i="34"/>
  <c r="O109" i="34"/>
  <c r="N109" i="34"/>
  <c r="M183" i="34"/>
  <c r="P183" i="34"/>
  <c r="N122" i="34"/>
  <c r="P122" i="34"/>
  <c r="O193" i="34"/>
  <c r="P193" i="34"/>
  <c r="N166" i="34"/>
  <c r="O165" i="34"/>
  <c r="N186" i="34"/>
  <c r="M117" i="34"/>
  <c r="N117" i="34"/>
  <c r="O134" i="34"/>
  <c r="M84" i="34"/>
  <c r="M120" i="34"/>
  <c r="P120" i="34"/>
  <c r="M140" i="34"/>
  <c r="O112" i="34"/>
  <c r="M189" i="34"/>
  <c r="O166" i="34"/>
  <c r="P165" i="34"/>
  <c r="O194" i="34"/>
  <c r="O117" i="34"/>
  <c r="M134" i="34"/>
  <c r="O84" i="34"/>
  <c r="M119" i="34"/>
  <c r="O120" i="34"/>
  <c r="N140" i="34"/>
  <c r="N99" i="34"/>
  <c r="O99" i="34"/>
  <c r="N131" i="34"/>
  <c r="O151" i="34"/>
  <c r="M105" i="34"/>
  <c r="N98" i="34"/>
  <c r="O175" i="34"/>
  <c r="P179" i="34"/>
  <c r="P137" i="34"/>
  <c r="P131" i="34"/>
  <c r="N151" i="34"/>
  <c r="M109" i="34"/>
  <c r="O183" i="34"/>
  <c r="M111" i="34"/>
  <c r="M122" i="34"/>
  <c r="M193" i="34"/>
  <c r="M106" i="34"/>
  <c r="O105" i="34"/>
  <c r="P175" i="34"/>
  <c r="M153" i="34"/>
  <c r="M137" i="34"/>
  <c r="N80" i="34"/>
  <c r="P133" i="34"/>
  <c r="P159" i="34"/>
  <c r="N183" i="34"/>
  <c r="P115" i="34"/>
  <c r="M191" i="34"/>
  <c r="N193" i="34"/>
  <c r="O106" i="34"/>
  <c r="N168" i="34"/>
  <c r="O168" i="34"/>
  <c r="M131" i="34"/>
  <c r="M125" i="34"/>
  <c r="O80" i="34"/>
  <c r="O133" i="34"/>
  <c r="O159" i="34"/>
  <c r="P111" i="34"/>
  <c r="O191" i="34"/>
  <c r="N149" i="34"/>
  <c r="P96" i="34"/>
  <c r="N96" i="34"/>
  <c r="Q142" i="28"/>
  <c r="N105" i="34"/>
  <c r="M98" i="34"/>
  <c r="M175" i="34"/>
  <c r="N179" i="34"/>
  <c r="N137" i="34"/>
  <c r="O143" i="34"/>
  <c r="M133" i="34"/>
  <c r="P109" i="34"/>
  <c r="N159" i="34"/>
  <c r="N111" i="34"/>
  <c r="O115" i="34"/>
  <c r="O122" i="34"/>
  <c r="P191" i="34"/>
  <c r="P106" i="34"/>
  <c r="N106" i="34"/>
  <c r="O79" i="34"/>
  <c r="O174" i="34"/>
  <c r="P174" i="34"/>
  <c r="O149" i="34"/>
  <c r="O92" i="34"/>
  <c r="M92" i="34"/>
  <c r="M96" i="34"/>
  <c r="P168" i="34"/>
  <c r="P158" i="34"/>
  <c r="N116" i="34"/>
  <c r="O188" i="34"/>
  <c r="P188" i="34"/>
  <c r="P97" i="34"/>
  <c r="N124" i="34"/>
  <c r="P129" i="34"/>
  <c r="N188" i="34"/>
  <c r="P116" i="34"/>
  <c r="M188" i="34"/>
  <c r="M97" i="34"/>
  <c r="P124" i="34"/>
  <c r="M168" i="34"/>
  <c r="M116" i="34"/>
  <c r="O97" i="34"/>
  <c r="O124" i="34"/>
  <c r="S173" i="18"/>
  <c r="Y191" i="32" s="1"/>
  <c r="S179" i="18"/>
  <c r="Y194" i="32" s="1"/>
  <c r="S130" i="18"/>
  <c r="Y107" i="32" s="1"/>
  <c r="S195" i="18"/>
  <c r="Y186" i="32" s="1"/>
  <c r="J145" i="18"/>
  <c r="S178" i="18"/>
  <c r="Y168" i="32" s="1"/>
  <c r="S147" i="18"/>
  <c r="Y189" i="32" s="1"/>
  <c r="J106" i="18"/>
  <c r="J166" i="18"/>
  <c r="S165" i="18"/>
  <c r="Y177" i="32" s="1"/>
  <c r="J127" i="18"/>
  <c r="J188" i="18"/>
  <c r="J90" i="18"/>
  <c r="J184" i="18"/>
  <c r="J79" i="18"/>
  <c r="S197" i="18"/>
  <c r="Y193" i="32" s="1"/>
  <c r="J134" i="18"/>
  <c r="J151" i="18"/>
  <c r="J101" i="18"/>
  <c r="J133" i="18"/>
  <c r="J129" i="18"/>
  <c r="S129" i="18"/>
  <c r="Y113" i="32" s="1"/>
  <c r="J141" i="18"/>
  <c r="J144" i="18"/>
  <c r="S125" i="18"/>
  <c r="Y122" i="32" s="1"/>
  <c r="J84" i="18"/>
  <c r="J157" i="18"/>
  <c r="J154" i="18"/>
  <c r="J110" i="18"/>
  <c r="J187" i="18"/>
  <c r="J97" i="18"/>
  <c r="J117" i="18"/>
  <c r="J162" i="18"/>
  <c r="S99" i="18"/>
  <c r="Y45" i="32" s="1"/>
  <c r="J111" i="18"/>
  <c r="S83" i="18"/>
  <c r="Y142" i="32" s="1"/>
  <c r="J137" i="18"/>
  <c r="J86" i="18"/>
  <c r="J140" i="18"/>
  <c r="J102" i="18"/>
  <c r="J85" i="18"/>
  <c r="S108" i="18"/>
  <c r="Y106" i="32" s="1"/>
  <c r="J104" i="18"/>
  <c r="J159" i="18"/>
  <c r="J180" i="18"/>
  <c r="S104" i="18"/>
  <c r="Y86" i="32" s="1"/>
  <c r="J126" i="18"/>
  <c r="J177" i="18"/>
  <c r="J192" i="18"/>
  <c r="J128" i="18"/>
  <c r="J158" i="18"/>
  <c r="S196" i="18"/>
  <c r="Y188" i="32" s="1"/>
  <c r="J80" i="18"/>
  <c r="J163" i="18"/>
  <c r="S143" i="18"/>
  <c r="Y140" i="32" s="1"/>
  <c r="S167" i="18"/>
  <c r="Y105" i="32" s="1"/>
  <c r="J172" i="18"/>
  <c r="S103" i="18"/>
  <c r="Y101" i="32" s="1"/>
  <c r="S118" i="18"/>
  <c r="Y62" i="32" s="1"/>
  <c r="J160" i="18"/>
  <c r="R111" i="34"/>
  <c r="R112" i="28"/>
  <c r="R126" i="34"/>
  <c r="K182" i="27"/>
  <c r="M182" i="27" s="1"/>
  <c r="S10" i="31" s="1"/>
  <c r="R186" i="28"/>
  <c r="R182" i="34"/>
  <c r="S142" i="18"/>
  <c r="Y139" i="32" s="1"/>
  <c r="R92" i="34"/>
  <c r="R93" i="28"/>
  <c r="K130" i="27"/>
  <c r="M130" i="27" s="1"/>
  <c r="S84" i="31" s="1"/>
  <c r="K158" i="27"/>
  <c r="M158" i="27" s="1"/>
  <c r="S48" i="31" s="1"/>
  <c r="K148" i="27"/>
  <c r="M148" i="27" s="1"/>
  <c r="S151" i="31" s="1"/>
  <c r="K100" i="27"/>
  <c r="M100" i="27" s="1"/>
  <c r="AB161" i="28"/>
  <c r="AB159" i="34"/>
  <c r="K75" i="27"/>
  <c r="M75" i="27" s="1"/>
  <c r="S41" i="31" s="1"/>
  <c r="K129" i="27"/>
  <c r="M129" i="27" s="1"/>
  <c r="S22" i="31" s="1"/>
  <c r="K81" i="27"/>
  <c r="M81" i="27" s="1"/>
  <c r="S110" i="31" s="1"/>
  <c r="K139" i="27"/>
  <c r="M139" i="27" s="1"/>
  <c r="S77" i="31" s="1"/>
  <c r="K98" i="27"/>
  <c r="M98" i="27" s="1"/>
  <c r="S50" i="31" s="1"/>
  <c r="K178" i="27"/>
  <c r="M178" i="27" s="1"/>
  <c r="S179" i="31" s="1"/>
  <c r="K128" i="27"/>
  <c r="M128" i="27" s="1"/>
  <c r="S125" i="31" s="1"/>
  <c r="K120" i="27"/>
  <c r="M120" i="27" s="1"/>
  <c r="S120" i="31" s="1"/>
  <c r="K156" i="27"/>
  <c r="M156" i="27" s="1"/>
  <c r="S100" i="31" s="1"/>
  <c r="K143" i="27"/>
  <c r="M143" i="27" s="1"/>
  <c r="S162" i="31" s="1"/>
  <c r="K85" i="27"/>
  <c r="M85" i="27" s="1"/>
  <c r="S164" i="31" s="1"/>
  <c r="K183" i="27"/>
  <c r="M183" i="27" s="1"/>
  <c r="S146" i="31" s="1"/>
  <c r="K78" i="27"/>
  <c r="M78" i="27" s="1"/>
  <c r="S82" i="31" s="1"/>
  <c r="K57" i="27"/>
  <c r="M57" i="27" s="1"/>
  <c r="S59" i="31" s="1"/>
  <c r="K174" i="27"/>
  <c r="M174" i="27" s="1"/>
  <c r="S174" i="31" s="1"/>
  <c r="K149" i="27"/>
  <c r="M149" i="27" s="1"/>
  <c r="S152" i="31" s="1"/>
  <c r="K147" i="27"/>
  <c r="M147" i="27" s="1"/>
  <c r="S144" i="31" s="1"/>
  <c r="K104" i="27"/>
  <c r="M104" i="27" s="1"/>
  <c r="S57" i="31" s="1"/>
  <c r="K118" i="27"/>
  <c r="M118" i="27" s="1"/>
  <c r="S117" i="31" s="1"/>
  <c r="K106" i="27"/>
  <c r="M106" i="27" s="1"/>
  <c r="S108" i="31" s="1"/>
  <c r="K165" i="27"/>
  <c r="M165" i="27" s="1"/>
  <c r="S170" i="31" s="1"/>
  <c r="K138" i="27"/>
  <c r="M138" i="27" s="1"/>
  <c r="S183" i="31" s="1"/>
  <c r="K144" i="27"/>
  <c r="M144" i="27" s="1"/>
  <c r="S171" i="31" s="1"/>
  <c r="K127" i="27"/>
  <c r="M127" i="27" s="1"/>
  <c r="S121" i="31" s="1"/>
  <c r="K155" i="27"/>
  <c r="M155" i="27" s="1"/>
  <c r="S114" i="31" s="1"/>
  <c r="K69" i="27"/>
  <c r="M69" i="27" s="1"/>
  <c r="S111" i="31" s="1"/>
  <c r="K89" i="27"/>
  <c r="M89" i="27" s="1"/>
  <c r="S134" i="31" s="1"/>
  <c r="K121" i="27"/>
  <c r="M121" i="27" s="1"/>
  <c r="S8" i="31" s="1"/>
  <c r="K73" i="27"/>
  <c r="M73" i="27" s="1"/>
  <c r="K58" i="27"/>
  <c r="M58" i="27" s="1"/>
  <c r="S65" i="31" s="1"/>
  <c r="K132" i="27"/>
  <c r="M132" i="27" s="1"/>
  <c r="S92" i="31" s="1"/>
  <c r="K180" i="27"/>
  <c r="M180" i="27" s="1"/>
  <c r="S133" i="31" s="1"/>
  <c r="K67" i="27"/>
  <c r="M67" i="27" s="1"/>
  <c r="S128" i="31" s="1"/>
  <c r="K77" i="27"/>
  <c r="M77" i="27" s="1"/>
  <c r="S44" i="31" s="1"/>
  <c r="K101" i="27"/>
  <c r="M101" i="27" s="1"/>
  <c r="S103" i="31" s="1"/>
  <c r="K140" i="27"/>
  <c r="M140" i="27" s="1"/>
  <c r="S178" i="31" s="1"/>
  <c r="K79" i="27"/>
  <c r="M79" i="27" s="1"/>
  <c r="S83" i="31" s="1"/>
  <c r="K70" i="27"/>
  <c r="M70" i="27" s="1"/>
  <c r="S74" i="31" s="1"/>
  <c r="K82" i="27"/>
  <c r="M82" i="27" s="1"/>
  <c r="S86" i="31" s="1"/>
  <c r="K154" i="27"/>
  <c r="M154" i="27" s="1"/>
  <c r="S173" i="31" s="1"/>
  <c r="K117" i="27"/>
  <c r="M117" i="27" s="1"/>
  <c r="S115" i="31" s="1"/>
  <c r="K133" i="27"/>
  <c r="M133" i="27" s="1"/>
  <c r="S148" i="31" s="1"/>
  <c r="K136" i="27"/>
  <c r="M136" i="27" s="1"/>
  <c r="S138" i="31" s="1"/>
  <c r="K162" i="27"/>
  <c r="M162" i="27" s="1"/>
  <c r="S60" i="31" s="1"/>
  <c r="K66" i="27"/>
  <c r="M66" i="27" s="1"/>
  <c r="S72" i="31" s="1"/>
  <c r="K61" i="27"/>
  <c r="M61" i="27" s="1"/>
  <c r="S67" i="31" s="1"/>
  <c r="K68" i="27"/>
  <c r="M68" i="27" s="1"/>
  <c r="S31" i="31" s="1"/>
  <c r="K64" i="27"/>
  <c r="M64" i="27" s="1"/>
  <c r="S70" i="31" s="1"/>
  <c r="K124" i="27"/>
  <c r="M124" i="27" s="1"/>
  <c r="S124" i="31" s="1"/>
  <c r="K113" i="27"/>
  <c r="M113" i="27" s="1"/>
  <c r="S160" i="31" s="1"/>
  <c r="K74" i="27"/>
  <c r="M74" i="27" s="1"/>
  <c r="S123" i="31" s="1"/>
  <c r="K65" i="27"/>
  <c r="M65" i="27" s="1"/>
  <c r="S135" i="31" s="1"/>
  <c r="K119" i="27"/>
  <c r="M119" i="27" s="1"/>
  <c r="S94" i="31" s="1"/>
  <c r="K97" i="27"/>
  <c r="M97" i="27" s="1"/>
  <c r="S158" i="31" s="1"/>
  <c r="R83" i="34"/>
  <c r="R84" i="28"/>
  <c r="Q142" i="32" s="1"/>
  <c r="Q153" i="18"/>
  <c r="R153" i="18" s="1"/>
  <c r="X115" i="32" s="1"/>
  <c r="Q145" i="18"/>
  <c r="R145" i="18" s="1"/>
  <c r="X143" i="32" s="1"/>
  <c r="R156" i="28"/>
  <c r="Z165" i="18"/>
  <c r="AB165" i="18" s="1"/>
  <c r="K54" i="27"/>
  <c r="M54" i="27" s="1"/>
  <c r="S147" i="31" s="1"/>
  <c r="Q187" i="18"/>
  <c r="R187" i="18" s="1"/>
  <c r="X166" i="32" s="1"/>
  <c r="Z80" i="28"/>
  <c r="Q79" i="34"/>
  <c r="R155" i="28"/>
  <c r="Q194" i="28"/>
  <c r="Q159" i="34"/>
  <c r="W92" i="32"/>
  <c r="J82" i="18"/>
  <c r="Z101" i="18"/>
  <c r="AB101" i="18" s="1"/>
  <c r="Z35" i="32" s="1"/>
  <c r="J198" i="18"/>
  <c r="W196" i="32" s="1"/>
  <c r="R154" i="28"/>
  <c r="R181" i="28"/>
  <c r="Z67" i="32"/>
  <c r="K157" i="27"/>
  <c r="M157" i="27" s="1"/>
  <c r="S159" i="31" s="1"/>
  <c r="R136" i="28"/>
  <c r="R134" i="34"/>
  <c r="Q102" i="34"/>
  <c r="Z126" i="18"/>
  <c r="AB126" i="18" s="1"/>
  <c r="Z123" i="32" s="1"/>
  <c r="Q126" i="18"/>
  <c r="R126" i="18" s="1"/>
  <c r="X123" i="32" s="1"/>
  <c r="K99" i="27"/>
  <c r="M99" i="27" s="1"/>
  <c r="S102" i="31" s="1"/>
  <c r="J148" i="18"/>
  <c r="R167" i="34"/>
  <c r="R169" i="28"/>
  <c r="R117" i="28"/>
  <c r="R116" i="34"/>
  <c r="R164" i="34"/>
  <c r="R166" i="28"/>
  <c r="J131" i="18"/>
  <c r="R79" i="28"/>
  <c r="R78" i="34"/>
  <c r="Q101" i="28"/>
  <c r="S87" i="18"/>
  <c r="Y84" i="32" s="1"/>
  <c r="S160" i="18"/>
  <c r="Y155" i="32" s="1"/>
  <c r="S176" i="18"/>
  <c r="Y26" i="32" s="1"/>
  <c r="Z163" i="18"/>
  <c r="AB163" i="18" s="1"/>
  <c r="Z158" i="32" s="1"/>
  <c r="Q164" i="34"/>
  <c r="J122" i="18"/>
  <c r="J161" i="18"/>
  <c r="S169" i="18"/>
  <c r="Y164" i="32" s="1"/>
  <c r="J169" i="18"/>
  <c r="S78" i="18"/>
  <c r="Q159" i="28"/>
  <c r="Q157" i="34"/>
  <c r="Z128" i="28"/>
  <c r="Q105" i="34"/>
  <c r="Q106" i="28"/>
  <c r="Q78" i="34"/>
  <c r="R191" i="34"/>
  <c r="R195" i="28"/>
  <c r="Q196" i="32" s="1"/>
  <c r="V196" i="32" s="1"/>
  <c r="M114" i="34"/>
  <c r="M118" i="34"/>
  <c r="J114" i="18"/>
  <c r="O78" i="34"/>
  <c r="N174" i="34"/>
  <c r="M141" i="34"/>
  <c r="Q126" i="34"/>
  <c r="Z135" i="18"/>
  <c r="AB135" i="18" s="1"/>
  <c r="Z132" i="32" s="1"/>
  <c r="Q135" i="18"/>
  <c r="R135" i="18" s="1"/>
  <c r="X132" i="32" s="1"/>
  <c r="Q92" i="34"/>
  <c r="S172" i="18"/>
  <c r="Y51" i="32" s="1"/>
  <c r="J167" i="18"/>
  <c r="K131" i="27"/>
  <c r="M131" i="27" s="1"/>
  <c r="S129" i="31" s="1"/>
  <c r="R173" i="34"/>
  <c r="R175" i="28"/>
  <c r="R143" i="34"/>
  <c r="Q184" i="28"/>
  <c r="K83" i="27"/>
  <c r="M83" i="27" s="1"/>
  <c r="S87" i="31" s="1"/>
  <c r="M167" i="27"/>
  <c r="S184" i="31" s="1"/>
  <c r="M129" i="34"/>
  <c r="AB102" i="28"/>
  <c r="K122" i="27"/>
  <c r="M122" i="27" s="1"/>
  <c r="S56" i="31" s="1"/>
  <c r="O96" i="34"/>
  <c r="J115" i="18"/>
  <c r="M149" i="34"/>
  <c r="Q103" i="34"/>
  <c r="Z104" i="28"/>
  <c r="J143" i="18"/>
  <c r="S163" i="18"/>
  <c r="Y158" i="32" s="1"/>
  <c r="S80" i="18"/>
  <c r="Y77" i="32" s="1"/>
  <c r="Z175" i="32"/>
  <c r="Q167" i="34"/>
  <c r="Q183" i="28"/>
  <c r="Q182" i="34"/>
  <c r="Q116" i="34"/>
  <c r="R168" i="34"/>
  <c r="S148" i="18"/>
  <c r="Y144" i="32" s="1"/>
  <c r="M124" i="34"/>
  <c r="N97" i="34"/>
  <c r="Q152" i="28"/>
  <c r="O116" i="34"/>
  <c r="Q120" i="28"/>
  <c r="Q119" i="34"/>
  <c r="Q80" i="34"/>
  <c r="M158" i="34"/>
  <c r="S183" i="18"/>
  <c r="Y178" i="32" s="1"/>
  <c r="R107" i="34"/>
  <c r="R108" i="28"/>
  <c r="N92" i="34"/>
  <c r="N135" i="34"/>
  <c r="B186" i="27"/>
  <c r="AB118" i="34"/>
  <c r="AB119" i="28"/>
  <c r="J176" i="18"/>
  <c r="J142" i="18"/>
  <c r="Q95" i="28"/>
  <c r="Z155" i="18"/>
  <c r="AB155" i="18" s="1"/>
  <c r="Q163" i="28"/>
  <c r="S131" i="18"/>
  <c r="Y128" i="32" s="1"/>
  <c r="S122" i="18"/>
  <c r="Y108" i="32" s="1"/>
  <c r="S121" i="18"/>
  <c r="Y119" i="32" s="1"/>
  <c r="J121" i="18"/>
  <c r="J78" i="18"/>
  <c r="Q177" i="18"/>
  <c r="R177" i="18" s="1"/>
  <c r="X170" i="32" s="1"/>
  <c r="Q178" i="18"/>
  <c r="R178" i="18" s="1"/>
  <c r="X168" i="32" s="1"/>
  <c r="J87" i="18"/>
  <c r="S192" i="18"/>
  <c r="Y183" i="32" s="1"/>
  <c r="Z96" i="18"/>
  <c r="AB96" i="18" s="1"/>
  <c r="Q96" i="18"/>
  <c r="R96" i="18" s="1"/>
  <c r="X93" i="32" s="1"/>
  <c r="Z87" i="18"/>
  <c r="AB87" i="18" s="1"/>
  <c r="Z84" i="32" s="1"/>
  <c r="Z90" i="18"/>
  <c r="AB90" i="18" s="1"/>
  <c r="Z87" i="32" s="1"/>
  <c r="Q90" i="18"/>
  <c r="R90" i="18" s="1"/>
  <c r="X87" i="32" s="1"/>
  <c r="R127" i="28"/>
  <c r="R183" i="34"/>
  <c r="R187" i="28"/>
  <c r="B186" i="26"/>
  <c r="K145" i="27"/>
  <c r="M145" i="27" s="1"/>
  <c r="S149" i="31" s="1"/>
  <c r="S168" i="18"/>
  <c r="Y34" i="32" s="1"/>
  <c r="M81" i="34"/>
  <c r="O160" i="34"/>
  <c r="P114" i="34"/>
  <c r="O114" i="34"/>
  <c r="N103" i="34"/>
  <c r="N195" i="34" s="1"/>
  <c r="O103" i="34"/>
  <c r="M103" i="34"/>
  <c r="S116" i="18"/>
  <c r="Y114" i="32" s="1"/>
  <c r="Q191" i="18"/>
  <c r="R191" i="18" s="1"/>
  <c r="X182" i="32" s="1"/>
  <c r="Q132" i="28"/>
  <c r="O118" i="34"/>
  <c r="P118" i="34"/>
  <c r="Z114" i="28"/>
  <c r="Q122" i="28"/>
  <c r="J112" i="18"/>
  <c r="Q113" i="34"/>
  <c r="P81" i="34"/>
  <c r="N150" i="34"/>
  <c r="P164" i="34"/>
  <c r="M164" i="34"/>
  <c r="N164" i="34"/>
  <c r="P141" i="34"/>
  <c r="O108" i="34"/>
  <c r="M108" i="34"/>
  <c r="R150" i="28"/>
  <c r="Q189" i="32" s="1"/>
  <c r="V189" i="32" s="1"/>
  <c r="AE189" i="32" s="1"/>
  <c r="O130" i="34"/>
  <c r="M130" i="34"/>
  <c r="P130" i="34"/>
  <c r="K76" i="27"/>
  <c r="M76" i="27" s="1"/>
  <c r="S24" i="31" s="1"/>
  <c r="N125" i="34"/>
  <c r="P151" i="34"/>
  <c r="M104" i="34"/>
  <c r="K87" i="27"/>
  <c r="M87" i="27" s="1"/>
  <c r="S85" i="31" s="1"/>
  <c r="J183" i="18"/>
  <c r="S114" i="18"/>
  <c r="Y112" i="32" s="1"/>
  <c r="S115" i="18"/>
  <c r="Y159" i="32" s="1"/>
  <c r="S177" i="18"/>
  <c r="Y170" i="32" s="1"/>
  <c r="N78" i="34"/>
  <c r="S126" i="18"/>
  <c r="Y123" i="32" s="1"/>
  <c r="P135" i="34"/>
  <c r="S180" i="18"/>
  <c r="Y172" i="32" s="1"/>
  <c r="P79" i="34"/>
  <c r="Q105" i="28"/>
  <c r="Q104" i="34"/>
  <c r="J168" i="18"/>
  <c r="S109" i="18"/>
  <c r="Y20" i="32" s="1"/>
  <c r="J109" i="18"/>
  <c r="M150" i="34"/>
  <c r="Q160" i="28"/>
  <c r="Q158" i="34"/>
  <c r="Z85" i="18"/>
  <c r="AB85" i="18" s="1"/>
  <c r="Z68" i="32" s="1"/>
  <c r="O164" i="34"/>
  <c r="P108" i="34"/>
  <c r="N130" i="34"/>
  <c r="O137" i="34"/>
  <c r="P153" i="34"/>
  <c r="Q141" i="28"/>
  <c r="N175" i="34"/>
  <c r="O181" i="34"/>
  <c r="M181" i="34"/>
  <c r="P181" i="34"/>
  <c r="N181" i="34"/>
  <c r="M173" i="34"/>
  <c r="N173" i="34"/>
  <c r="P173" i="34"/>
  <c r="O173" i="34"/>
  <c r="K107" i="27"/>
  <c r="M107" i="27" s="1"/>
  <c r="S79" i="31" s="1"/>
  <c r="N129" i="34"/>
  <c r="S158" i="18"/>
  <c r="Y58" i="32" s="1"/>
  <c r="N158" i="34"/>
  <c r="N114" i="34"/>
  <c r="S159" i="18"/>
  <c r="Y95" i="32" s="1"/>
  <c r="N118" i="34"/>
  <c r="J108" i="18"/>
  <c r="P92" i="34"/>
  <c r="P78" i="34"/>
  <c r="M135" i="34"/>
  <c r="P149" i="34"/>
  <c r="M174" i="34"/>
  <c r="M79" i="34"/>
  <c r="N81" i="34"/>
  <c r="O150" i="34"/>
  <c r="O111" i="34"/>
  <c r="P160" i="34"/>
  <c r="M160" i="34"/>
  <c r="S85" i="18"/>
  <c r="Y68" i="32" s="1"/>
  <c r="P128" i="34"/>
  <c r="M128" i="34"/>
  <c r="N128" i="34"/>
  <c r="O128" i="34"/>
  <c r="O131" i="34"/>
  <c r="N167" i="34"/>
  <c r="P167" i="34"/>
  <c r="O167" i="34"/>
  <c r="M167" i="34"/>
  <c r="K173" i="27"/>
  <c r="M173" i="27" s="1"/>
  <c r="S102" i="18"/>
  <c r="Y100" i="32" s="1"/>
  <c r="S140" i="18"/>
  <c r="Y121" i="32" s="1"/>
  <c r="R132" i="18"/>
  <c r="X129" i="32" s="1"/>
  <c r="S86" i="18"/>
  <c r="Y163" i="32" s="1"/>
  <c r="Z150" i="18"/>
  <c r="AB150" i="18" s="1"/>
  <c r="Z146" i="32" s="1"/>
  <c r="Q167" i="18"/>
  <c r="R167" i="18" s="1"/>
  <c r="X105" i="32" s="1"/>
  <c r="O129" i="34"/>
  <c r="Q130" i="28"/>
  <c r="O158" i="34"/>
  <c r="P103" i="34"/>
  <c r="J116" i="18"/>
  <c r="S137" i="18"/>
  <c r="Y134" i="32" s="1"/>
  <c r="Q107" i="34"/>
  <c r="M78" i="34"/>
  <c r="O135" i="34"/>
  <c r="Y110" i="32"/>
  <c r="J83" i="18"/>
  <c r="Z162" i="18"/>
  <c r="AB162" i="18" s="1"/>
  <c r="Z157" i="32" s="1"/>
  <c r="N79" i="34"/>
  <c r="Q160" i="18"/>
  <c r="R160" i="18" s="1"/>
  <c r="X155" i="32" s="1"/>
  <c r="O81" i="34"/>
  <c r="Q89" i="28"/>
  <c r="Q88" i="34"/>
  <c r="P150" i="34"/>
  <c r="R184" i="18"/>
  <c r="X120" i="32" s="1"/>
  <c r="Z184" i="18"/>
  <c r="AB184" i="18" s="1"/>
  <c r="Z120" i="32" s="1"/>
  <c r="O141" i="34"/>
  <c r="N141" i="34"/>
  <c r="N108" i="34"/>
  <c r="N191" i="34"/>
  <c r="K177" i="27"/>
  <c r="M177" i="27" s="1"/>
  <c r="S19" i="31" s="1"/>
  <c r="N115" i="34"/>
  <c r="M115" i="34"/>
  <c r="M159" i="34"/>
  <c r="N133" i="34"/>
  <c r="P143" i="34"/>
  <c r="M143" i="34"/>
  <c r="N143" i="34"/>
  <c r="N160" i="34"/>
  <c r="Q110" i="34"/>
  <c r="Q111" i="28"/>
  <c r="N82" i="34"/>
  <c r="M82" i="34"/>
  <c r="O82" i="34"/>
  <c r="P82" i="34"/>
  <c r="P105" i="34"/>
  <c r="K159" i="27"/>
  <c r="M159" i="27" s="1"/>
  <c r="S161" i="31" s="1"/>
  <c r="P90" i="34"/>
  <c r="N90" i="34"/>
  <c r="Q116" i="28"/>
  <c r="Q115" i="34"/>
  <c r="S186" i="18"/>
  <c r="Y131" i="32" s="1"/>
  <c r="S175" i="18"/>
  <c r="Y30" i="32" s="1"/>
  <c r="O186" i="34"/>
  <c r="P186" i="34"/>
  <c r="M186" i="34"/>
  <c r="O148" i="34"/>
  <c r="P148" i="34"/>
  <c r="N148" i="34"/>
  <c r="O156" i="34"/>
  <c r="M156" i="34"/>
  <c r="P156" i="34"/>
  <c r="P185" i="34"/>
  <c r="O185" i="34"/>
  <c r="M185" i="34"/>
  <c r="N185" i="34"/>
  <c r="O86" i="34"/>
  <c r="N86" i="34"/>
  <c r="P86" i="34"/>
  <c r="M86" i="34"/>
  <c r="P121" i="34"/>
  <c r="M101" i="34"/>
  <c r="K146" i="27"/>
  <c r="M146" i="27" s="1"/>
  <c r="S166" i="31" s="1"/>
  <c r="O154" i="34"/>
  <c r="P123" i="34"/>
  <c r="K142" i="27"/>
  <c r="M142" i="27" s="1"/>
  <c r="S139" i="31" s="1"/>
  <c r="P104" i="34"/>
  <c r="M148" i="34"/>
  <c r="N156" i="34"/>
  <c r="K150" i="27"/>
  <c r="M150" i="27" s="1"/>
  <c r="S153" i="31" s="1"/>
  <c r="O171" i="34"/>
  <c r="N171" i="34"/>
  <c r="P171" i="34"/>
  <c r="M171" i="34"/>
  <c r="M142" i="34"/>
  <c r="K86" i="27"/>
  <c r="M86" i="27" s="1"/>
  <c r="S101" i="31" s="1"/>
  <c r="K160" i="27"/>
  <c r="M160" i="27" s="1"/>
  <c r="S163" i="31" s="1"/>
  <c r="M169" i="34"/>
  <c r="O88" i="34"/>
  <c r="S162" i="18"/>
  <c r="Y157" i="32" s="1"/>
  <c r="O153" i="34"/>
  <c r="P125" i="34"/>
  <c r="M90" i="34"/>
  <c r="N104" i="34"/>
  <c r="O140" i="34"/>
  <c r="O119" i="34"/>
  <c r="P119" i="34"/>
  <c r="P84" i="34"/>
  <c r="P134" i="34"/>
  <c r="Q79" i="18"/>
  <c r="R79" i="18" s="1"/>
  <c r="X76" i="32" s="1"/>
  <c r="Z79" i="18"/>
  <c r="AB79" i="18" s="1"/>
  <c r="Z76" i="32" s="1"/>
  <c r="O145" i="34"/>
  <c r="M145" i="34"/>
  <c r="N145" i="34"/>
  <c r="Z114" i="18"/>
  <c r="AB114" i="18" s="1"/>
  <c r="Z112" i="32" s="1"/>
  <c r="Q114" i="18"/>
  <c r="R114" i="18" s="1"/>
  <c r="X112" i="32" s="1"/>
  <c r="M180" i="34"/>
  <c r="R94" i="28"/>
  <c r="R93" i="34"/>
  <c r="O113" i="34"/>
  <c r="N95" i="34"/>
  <c r="Q165" i="18"/>
  <c r="R165" i="18" s="1"/>
  <c r="X177" i="32" s="1"/>
  <c r="M132" i="34"/>
  <c r="J98" i="18"/>
  <c r="J164" i="18"/>
  <c r="R192" i="34"/>
  <c r="R196" i="28"/>
  <c r="K125" i="27"/>
  <c r="M125" i="27" s="1"/>
  <c r="S126" i="31" s="1"/>
  <c r="K175" i="27"/>
  <c r="M175" i="27" s="1"/>
  <c r="S175" i="31" s="1"/>
  <c r="J190" i="18"/>
  <c r="P178" i="34"/>
  <c r="P110" i="34"/>
  <c r="S111" i="18"/>
  <c r="Y109" i="32" s="1"/>
  <c r="S110" i="18"/>
  <c r="Y99" i="32" s="1"/>
  <c r="N153" i="34"/>
  <c r="O125" i="34"/>
  <c r="Q137" i="34"/>
  <c r="Z139" i="28"/>
  <c r="O90" i="34"/>
  <c r="O104" i="34"/>
  <c r="S154" i="18"/>
  <c r="Y150" i="32" s="1"/>
  <c r="P140" i="34"/>
  <c r="N119" i="34"/>
  <c r="N84" i="34"/>
  <c r="N134" i="34"/>
  <c r="J186" i="18"/>
  <c r="J175" i="18"/>
  <c r="P145" i="34"/>
  <c r="Q166" i="34"/>
  <c r="Q168" i="28"/>
  <c r="M112" i="34"/>
  <c r="M144" i="34"/>
  <c r="S171" i="18"/>
  <c r="Y65" i="32" s="1"/>
  <c r="K94" i="27"/>
  <c r="M94" i="27" s="1"/>
  <c r="S97" i="31" s="1"/>
  <c r="K112" i="27"/>
  <c r="M112" i="27" s="1"/>
  <c r="S154" i="31" s="1"/>
  <c r="K137" i="27"/>
  <c r="M137" i="27" s="1"/>
  <c r="S181" i="31" s="1"/>
  <c r="N180" i="34"/>
  <c r="O144" i="34"/>
  <c r="O142" i="34"/>
  <c r="N142" i="34"/>
  <c r="N101" i="34"/>
  <c r="S84" i="18"/>
  <c r="Y91" i="32" s="1"/>
  <c r="Q106" i="18"/>
  <c r="R106" i="18" s="1"/>
  <c r="X104" i="32" s="1"/>
  <c r="J125" i="18"/>
  <c r="S144" i="18"/>
  <c r="Y141" i="32" s="1"/>
  <c r="S141" i="18"/>
  <c r="Y69" i="32" s="1"/>
  <c r="Z128" i="18"/>
  <c r="AB128" i="18" s="1"/>
  <c r="Z78" i="32" s="1"/>
  <c r="Z183" i="18"/>
  <c r="AB183" i="18" s="1"/>
  <c r="Z178" i="32" s="1"/>
  <c r="N154" i="34"/>
  <c r="Q156" i="34"/>
  <c r="Q158" i="28"/>
  <c r="Z176" i="28"/>
  <c r="O147" i="34"/>
  <c r="N147" i="34"/>
  <c r="O157" i="34"/>
  <c r="M184" i="34"/>
  <c r="N184" i="34"/>
  <c r="O176" i="34"/>
  <c r="AB124" i="28"/>
  <c r="Q106" i="34"/>
  <c r="Q107" i="28"/>
  <c r="K176" i="27"/>
  <c r="M176" i="27" s="1"/>
  <c r="S176" i="31" s="1"/>
  <c r="O170" i="34"/>
  <c r="M170" i="34"/>
  <c r="P170" i="34"/>
  <c r="K108" i="27"/>
  <c r="M108" i="27" s="1"/>
  <c r="S119" i="31" s="1"/>
  <c r="K134" i="27"/>
  <c r="M134" i="27" s="1"/>
  <c r="S136" i="31" s="1"/>
  <c r="K102" i="27"/>
  <c r="M102" i="27" s="1"/>
  <c r="S39" i="31" s="1"/>
  <c r="S133" i="18"/>
  <c r="Y130" i="32" s="1"/>
  <c r="P138" i="34"/>
  <c r="N139" i="34"/>
  <c r="S98" i="18"/>
  <c r="Y125" i="32" s="1"/>
  <c r="M85" i="34"/>
  <c r="O85" i="34"/>
  <c r="S153" i="18"/>
  <c r="Y115" i="32" s="1"/>
  <c r="J153" i="18"/>
  <c r="J152" i="18"/>
  <c r="S152" i="18"/>
  <c r="Y148" i="32" s="1"/>
  <c r="S190" i="18"/>
  <c r="Y14" i="32" s="1"/>
  <c r="M123" i="34"/>
  <c r="P88" i="34"/>
  <c r="M147" i="34"/>
  <c r="O102" i="34"/>
  <c r="P102" i="34"/>
  <c r="M102" i="34"/>
  <c r="N83" i="34"/>
  <c r="O83" i="34"/>
  <c r="M83" i="34"/>
  <c r="Q129" i="34"/>
  <c r="Q131" i="28"/>
  <c r="O93" i="34"/>
  <c r="N93" i="34"/>
  <c r="M93" i="34"/>
  <c r="K105" i="27"/>
  <c r="M105" i="27" s="1"/>
  <c r="S96" i="31" s="1"/>
  <c r="M100" i="34"/>
  <c r="S182" i="18"/>
  <c r="Y12" i="32" s="1"/>
  <c r="J182" i="18"/>
  <c r="J185" i="18"/>
  <c r="K90" i="27"/>
  <c r="M90" i="27" s="1"/>
  <c r="S140" i="31" s="1"/>
  <c r="M89" i="34"/>
  <c r="P127" i="34"/>
  <c r="K171" i="27"/>
  <c r="M171" i="27" s="1"/>
  <c r="S62" i="31" s="1"/>
  <c r="J93" i="18"/>
  <c r="J107" i="18"/>
  <c r="S150" i="18"/>
  <c r="Y146" i="32" s="1"/>
  <c r="N192" i="34"/>
  <c r="S117" i="18"/>
  <c r="Y36" i="32" s="1"/>
  <c r="S97" i="18"/>
  <c r="Y94" i="32" s="1"/>
  <c r="S187" i="18"/>
  <c r="Y166" i="32" s="1"/>
  <c r="O180" i="34"/>
  <c r="P144" i="34"/>
  <c r="P142" i="34"/>
  <c r="P101" i="34"/>
  <c r="J171" i="18"/>
  <c r="R135" i="28"/>
  <c r="Q148" i="18"/>
  <c r="R148" i="18" s="1"/>
  <c r="X144" i="32" s="1"/>
  <c r="Q173" i="28"/>
  <c r="Z151" i="18"/>
  <c r="AB151" i="18" s="1"/>
  <c r="Z147" i="32" s="1"/>
  <c r="P154" i="34"/>
  <c r="P169" i="34"/>
  <c r="N85" i="34"/>
  <c r="S157" i="18"/>
  <c r="Y174" i="32" s="1"/>
  <c r="Q85" i="34"/>
  <c r="Q86" i="28"/>
  <c r="O123" i="34"/>
  <c r="M88" i="34"/>
  <c r="P147" i="34"/>
  <c r="P157" i="34"/>
  <c r="O184" i="34"/>
  <c r="N102" i="34"/>
  <c r="P87" i="34"/>
  <c r="P83" i="34"/>
  <c r="P93" i="34"/>
  <c r="N161" i="34"/>
  <c r="P161" i="34"/>
  <c r="M161" i="34"/>
  <c r="S193" i="18"/>
  <c r="Y4" i="32" s="1"/>
  <c r="P126" i="34"/>
  <c r="J91" i="18"/>
  <c r="K96" i="27"/>
  <c r="M96" i="27" s="1"/>
  <c r="S99" i="31" s="1"/>
  <c r="S191" i="18"/>
  <c r="Y182" i="32" s="1"/>
  <c r="S164" i="18"/>
  <c r="Y21" i="32" s="1"/>
  <c r="N169" i="34"/>
  <c r="P85" i="34"/>
  <c r="N123" i="34"/>
  <c r="N88" i="34"/>
  <c r="Z108" i="18"/>
  <c r="AB108" i="18" s="1"/>
  <c r="Z106" i="32" s="1"/>
  <c r="Q108" i="18"/>
  <c r="R108" i="18" s="1"/>
  <c r="X106" i="32" s="1"/>
  <c r="M157" i="34"/>
  <c r="M178" i="34"/>
  <c r="O178" i="34"/>
  <c r="N178" i="34"/>
  <c r="N110" i="34"/>
  <c r="O110" i="34"/>
  <c r="M110" i="34"/>
  <c r="S149" i="18"/>
  <c r="Y54" i="32" s="1"/>
  <c r="J149" i="18"/>
  <c r="K59" i="27"/>
  <c r="M59" i="27" s="1"/>
  <c r="S143" i="31" s="1"/>
  <c r="O161" i="34"/>
  <c r="K84" i="27"/>
  <c r="M84" i="27" s="1"/>
  <c r="S168" i="31" s="1"/>
  <c r="J156" i="18"/>
  <c r="J139" i="18"/>
  <c r="J94" i="18"/>
  <c r="P182" i="34"/>
  <c r="S151" i="18"/>
  <c r="Y147" i="32" s="1"/>
  <c r="S185" i="18"/>
  <c r="Y176" i="32" s="1"/>
  <c r="S134" i="18"/>
  <c r="Y47" i="32" s="1"/>
  <c r="J193" i="18"/>
  <c r="N127" i="34"/>
  <c r="J197" i="18"/>
  <c r="S79" i="18"/>
  <c r="Y76" i="32" s="1"/>
  <c r="S184" i="18"/>
  <c r="Y120" i="32" s="1"/>
  <c r="S90" i="18"/>
  <c r="Y87" i="32" s="1"/>
  <c r="Z84" i="18"/>
  <c r="AB84" i="18" s="1"/>
  <c r="Z91" i="32" s="1"/>
  <c r="S188" i="18"/>
  <c r="Y179" i="32" s="1"/>
  <c r="Q144" i="18"/>
  <c r="R144" i="18" s="1"/>
  <c r="X141" i="32" s="1"/>
  <c r="Q81" i="18"/>
  <c r="R81" i="18" s="1"/>
  <c r="X66" i="32" s="1"/>
  <c r="Q121" i="28"/>
  <c r="S127" i="18"/>
  <c r="Y124" i="32" s="1"/>
  <c r="K172" i="27"/>
  <c r="M172" i="27" s="1"/>
  <c r="S6" i="31" s="1"/>
  <c r="K111" i="27"/>
  <c r="M111" i="27" s="1"/>
  <c r="S113" i="31" s="1"/>
  <c r="K72" i="27"/>
  <c r="M72" i="27" s="1"/>
  <c r="S29" i="31" s="1"/>
  <c r="K110" i="27"/>
  <c r="M110" i="27" s="1"/>
  <c r="S112" i="31" s="1"/>
  <c r="K153" i="27"/>
  <c r="M153" i="27" s="1"/>
  <c r="S27" i="31" s="1"/>
  <c r="S156" i="18"/>
  <c r="Y138" i="32" s="1"/>
  <c r="S91" i="18"/>
  <c r="Y88" i="32" s="1"/>
  <c r="S107" i="18"/>
  <c r="Y9" i="32" s="1"/>
  <c r="J191" i="18"/>
  <c r="S94" i="18"/>
  <c r="Y116" i="32" s="1"/>
  <c r="J150" i="18"/>
  <c r="O182" i="34"/>
  <c r="M139" i="34"/>
  <c r="M192" i="34"/>
  <c r="S96" i="18"/>
  <c r="Y93" i="32" s="1"/>
  <c r="K135" i="27"/>
  <c r="M135" i="27" s="1"/>
  <c r="S91" i="31" s="1"/>
  <c r="R148" i="28"/>
  <c r="Q188" i="32" s="1"/>
  <c r="V188" i="32" s="1"/>
  <c r="AE188" i="32" s="1"/>
  <c r="R146" i="34"/>
  <c r="Z181" i="32"/>
  <c r="Z139" i="18"/>
  <c r="AB139" i="18" s="1"/>
  <c r="Z136" i="32" s="1"/>
  <c r="Q157" i="28"/>
  <c r="O127" i="34"/>
  <c r="Q98" i="28"/>
  <c r="Z171" i="18"/>
  <c r="AB171" i="18" s="1"/>
  <c r="Z65" i="32" s="1"/>
  <c r="R179" i="34"/>
  <c r="R182" i="28"/>
  <c r="Q110" i="18"/>
  <c r="R110" i="18" s="1"/>
  <c r="X99" i="32" s="1"/>
  <c r="M182" i="34"/>
  <c r="P139" i="34"/>
  <c r="S132" i="18"/>
  <c r="Y129" i="32" s="1"/>
  <c r="K115" i="27"/>
  <c r="M115" i="27" s="1"/>
  <c r="S155" i="31" s="1"/>
  <c r="K169" i="27"/>
  <c r="M169" i="27" s="1"/>
  <c r="S172" i="31" s="1"/>
  <c r="K166" i="27"/>
  <c r="M166" i="27" s="1"/>
  <c r="S122" i="31" s="1"/>
  <c r="S139" i="18"/>
  <c r="Y136" i="32" s="1"/>
  <c r="S93" i="18"/>
  <c r="Y90" i="32" s="1"/>
  <c r="N182" i="34"/>
  <c r="O139" i="34"/>
  <c r="K103" i="27"/>
  <c r="M103" i="27" s="1"/>
  <c r="S105" i="31" s="1"/>
  <c r="J146" i="18"/>
  <c r="S89" i="18"/>
  <c r="Y175" i="32" s="1"/>
  <c r="K109" i="27"/>
  <c r="M109" i="27" s="1"/>
  <c r="S141" i="31" s="1"/>
  <c r="S101" i="18"/>
  <c r="Y35" i="32" s="1"/>
  <c r="Q198" i="18"/>
  <c r="R198" i="18" s="1"/>
  <c r="X196" i="32" s="1"/>
  <c r="Q178" i="28"/>
  <c r="Z80" i="18"/>
  <c r="AB80" i="18" s="1"/>
  <c r="Z77" i="32" s="1"/>
  <c r="Z195" i="18"/>
  <c r="AB195" i="18" s="1"/>
  <c r="Z186" i="32" s="1"/>
  <c r="Z112" i="18"/>
  <c r="AB112" i="18" s="1"/>
  <c r="Z110" i="32" s="1"/>
  <c r="Q125" i="18"/>
  <c r="R125" i="18" s="1"/>
  <c r="X122" i="32" s="1"/>
  <c r="Z172" i="18"/>
  <c r="AB172" i="18" s="1"/>
  <c r="Z51" i="32" s="1"/>
  <c r="Q111" i="18"/>
  <c r="R111" i="18" s="1"/>
  <c r="X109" i="32" s="1"/>
  <c r="J147" i="18"/>
  <c r="S138" i="18"/>
  <c r="Y135" i="32" s="1"/>
  <c r="J138" i="18"/>
  <c r="S145" i="18"/>
  <c r="Y143" i="32" s="1"/>
  <c r="K164" i="27"/>
  <c r="M164" i="27" s="1"/>
  <c r="S169" i="31" s="1"/>
  <c r="K184" i="27"/>
  <c r="M184" i="27" s="1"/>
  <c r="S53" i="31" s="1"/>
  <c r="K123" i="27"/>
  <c r="M123" i="27" s="1"/>
  <c r="S98" i="31" s="1"/>
  <c r="S146" i="18"/>
  <c r="Y29" i="32" s="1"/>
  <c r="Q193" i="28"/>
  <c r="Q192" i="18"/>
  <c r="R192" i="18" s="1"/>
  <c r="X183" i="32" s="1"/>
  <c r="Z192" i="18"/>
  <c r="AB192" i="18" s="1"/>
  <c r="Z183" i="32" s="1"/>
  <c r="J195" i="18"/>
  <c r="K126" i="27"/>
  <c r="M126" i="27" s="1"/>
  <c r="S78" i="31" s="1"/>
  <c r="J179" i="18"/>
  <c r="Q146" i="34"/>
  <c r="Z190" i="18"/>
  <c r="AB190" i="18" s="1"/>
  <c r="Z14" i="32" s="1"/>
  <c r="Q190" i="18"/>
  <c r="R190" i="18" s="1"/>
  <c r="X14" i="32" s="1"/>
  <c r="Q102" i="18"/>
  <c r="R102" i="18" s="1"/>
  <c r="X100" i="32" s="1"/>
  <c r="K114" i="27"/>
  <c r="M114" i="27" s="1"/>
  <c r="S185" i="31" s="1"/>
  <c r="K163" i="27"/>
  <c r="M163" i="27" s="1"/>
  <c r="S167" i="31" s="1"/>
  <c r="J105" i="18"/>
  <c r="S166" i="18"/>
  <c r="Y40" i="32" s="1"/>
  <c r="Z196" i="18"/>
  <c r="AB196" i="18" s="1"/>
  <c r="Z188" i="32" s="1"/>
  <c r="J135" i="18"/>
  <c r="S106" i="18"/>
  <c r="Y104" i="32" s="1"/>
  <c r="Z121" i="18"/>
  <c r="AB121" i="18" s="1"/>
  <c r="Z119" i="32" s="1"/>
  <c r="Q169" i="18"/>
  <c r="R169" i="18" s="1"/>
  <c r="X164" i="32" s="1"/>
  <c r="Q99" i="18"/>
  <c r="R99" i="18" s="1"/>
  <c r="X45" i="32" s="1"/>
  <c r="S135" i="18"/>
  <c r="Y132" i="32" s="1"/>
  <c r="Z103" i="18"/>
  <c r="AB103" i="18" s="1"/>
  <c r="Z101" i="32" s="1"/>
  <c r="Z45" i="32"/>
  <c r="S119" i="18"/>
  <c r="Y67" i="32" s="1"/>
  <c r="J173" i="18"/>
  <c r="Z168" i="32"/>
  <c r="K116" i="27"/>
  <c r="M116" i="27" s="1"/>
  <c r="S42" i="31" s="1"/>
  <c r="Q182" i="18"/>
  <c r="R182" i="18" s="1"/>
  <c r="X12" i="32" s="1"/>
  <c r="K170" i="27"/>
  <c r="M170" i="27" s="1"/>
  <c r="S105" i="18"/>
  <c r="Y97" i="32" s="1"/>
  <c r="S123" i="18"/>
  <c r="Y181" i="32" s="1"/>
  <c r="Z86" i="18"/>
  <c r="AB86" i="18" s="1"/>
  <c r="Z163" i="32" s="1"/>
  <c r="R93" i="18" l="1"/>
  <c r="X90" i="32" s="1"/>
  <c r="AL98" i="34"/>
  <c r="R192" i="28"/>
  <c r="R96" i="34"/>
  <c r="Q93" i="32"/>
  <c r="V93" i="32" s="1"/>
  <c r="AE93" i="32" s="1"/>
  <c r="AL97" i="28"/>
  <c r="AL99" i="28"/>
  <c r="Q140" i="32"/>
  <c r="V140" i="32" s="1"/>
  <c r="AE140" i="32" s="1"/>
  <c r="AL143" i="34"/>
  <c r="AL145" i="28"/>
  <c r="AL170" i="28"/>
  <c r="Q120" i="32"/>
  <c r="V120" i="32" s="1"/>
  <c r="AD120" i="32" s="1"/>
  <c r="AL188" i="28"/>
  <c r="AL184" i="34"/>
  <c r="R184" i="34"/>
  <c r="AB180" i="34"/>
  <c r="V156" i="31"/>
  <c r="R96" i="28"/>
  <c r="AL96" i="28" s="1"/>
  <c r="R95" i="34"/>
  <c r="AL131" i="34"/>
  <c r="R164" i="28"/>
  <c r="AL164" i="28" s="1"/>
  <c r="R100" i="28"/>
  <c r="Q45" i="32" s="1"/>
  <c r="V45" i="32" s="1"/>
  <c r="AE45" i="32" s="1"/>
  <c r="R188" i="34"/>
  <c r="R113" i="18"/>
  <c r="X111" i="32" s="1"/>
  <c r="R134" i="28"/>
  <c r="Q129" i="32" s="1"/>
  <c r="R137" i="34"/>
  <c r="R139" i="28"/>
  <c r="Q134" i="32" s="1"/>
  <c r="P200" i="28"/>
  <c r="R114" i="28"/>
  <c r="Q110" i="32" s="1"/>
  <c r="R80" i="28"/>
  <c r="Q76" i="32" s="1"/>
  <c r="R104" i="28"/>
  <c r="Q101" i="32" s="1"/>
  <c r="R132" i="34"/>
  <c r="W28" i="31"/>
  <c r="R153" i="28"/>
  <c r="Q146" i="32" s="1"/>
  <c r="V146" i="32" s="1"/>
  <c r="AE146" i="32" s="1"/>
  <c r="Q128" i="32"/>
  <c r="V128" i="32" s="1"/>
  <c r="AE128" i="32" s="1"/>
  <c r="R118" i="28"/>
  <c r="AL117" i="34" s="1"/>
  <c r="R103" i="34"/>
  <c r="R82" i="34"/>
  <c r="R151" i="28"/>
  <c r="AL149" i="34" s="1"/>
  <c r="R92" i="18"/>
  <c r="X89" i="32" s="1"/>
  <c r="AC89" i="32" s="1"/>
  <c r="AC80" i="32"/>
  <c r="R137" i="18"/>
  <c r="X134" i="32" s="1"/>
  <c r="R180" i="18"/>
  <c r="X172" i="32" s="1"/>
  <c r="R173" i="18"/>
  <c r="X191" i="32" s="1"/>
  <c r="R174" i="18"/>
  <c r="X192" i="32" s="1"/>
  <c r="R113" i="34"/>
  <c r="R79" i="34"/>
  <c r="R128" i="28"/>
  <c r="Q123" i="32" s="1"/>
  <c r="AL181" i="18"/>
  <c r="Z195" i="32"/>
  <c r="AC195" i="32" s="1"/>
  <c r="AF195" i="32" s="1"/>
  <c r="AC67" i="32"/>
  <c r="O195" i="34"/>
  <c r="R90" i="28"/>
  <c r="Q175" i="32" s="1"/>
  <c r="V175" i="32" s="1"/>
  <c r="AE175" i="32" s="1"/>
  <c r="R179" i="28"/>
  <c r="Q30" i="32" s="1"/>
  <c r="V30" i="32" s="1"/>
  <c r="AE30" i="32" s="1"/>
  <c r="AB134" i="28"/>
  <c r="AC175" i="32"/>
  <c r="AC196" i="32"/>
  <c r="AF196" i="32" s="1"/>
  <c r="AL178" i="18"/>
  <c r="Q84" i="32"/>
  <c r="V84" i="32" s="1"/>
  <c r="AE84" i="32" s="1"/>
  <c r="R129" i="28"/>
  <c r="R87" i="34"/>
  <c r="AL88" i="28"/>
  <c r="R125" i="28"/>
  <c r="AL92" i="18"/>
  <c r="AL100" i="18"/>
  <c r="Q195" i="34"/>
  <c r="AL136" i="18"/>
  <c r="AD195" i="32"/>
  <c r="AE195" i="32"/>
  <c r="AE196" i="32"/>
  <c r="AD196" i="32"/>
  <c r="R109" i="28"/>
  <c r="AL179" i="18"/>
  <c r="W194" i="32"/>
  <c r="AC194" i="32" s="1"/>
  <c r="AD125" i="32"/>
  <c r="AE125" i="32"/>
  <c r="R140" i="28"/>
  <c r="R138" i="34"/>
  <c r="AL155" i="18"/>
  <c r="Z190" i="32"/>
  <c r="AC190" i="32" s="1"/>
  <c r="AC187" i="32"/>
  <c r="AL197" i="18"/>
  <c r="W193" i="32"/>
  <c r="AC193" i="32" s="1"/>
  <c r="W191" i="32"/>
  <c r="AL174" i="18"/>
  <c r="Z192" i="32"/>
  <c r="R162" i="28"/>
  <c r="R160" i="34"/>
  <c r="AD192" i="32"/>
  <c r="AD189" i="32"/>
  <c r="R112" i="34"/>
  <c r="R113" i="28"/>
  <c r="R163" i="34"/>
  <c r="R165" i="28"/>
  <c r="R177" i="34"/>
  <c r="R180" i="28"/>
  <c r="AL147" i="18"/>
  <c r="W189" i="32"/>
  <c r="AC189" i="32" s="1"/>
  <c r="AG189" i="32" s="1"/>
  <c r="AL195" i="18"/>
  <c r="W186" i="32"/>
  <c r="AC186" i="32" s="1"/>
  <c r="R141" i="34"/>
  <c r="R143" i="28"/>
  <c r="R176" i="28"/>
  <c r="Q191" i="32" s="1"/>
  <c r="R174" i="34"/>
  <c r="R110" i="28"/>
  <c r="R109" i="34"/>
  <c r="R185" i="34"/>
  <c r="R189" i="28"/>
  <c r="AD188" i="32"/>
  <c r="AC188" i="32"/>
  <c r="AG188" i="32" s="1"/>
  <c r="R85" i="28"/>
  <c r="R84" i="34"/>
  <c r="R115" i="28"/>
  <c r="R114" i="34"/>
  <c r="AL126" i="28"/>
  <c r="S187" i="32"/>
  <c r="V187" i="32" s="1"/>
  <c r="AE187" i="32" s="1"/>
  <c r="AC181" i="32"/>
  <c r="AC92" i="32"/>
  <c r="AC160" i="32"/>
  <c r="AC45" i="32"/>
  <c r="W132" i="32"/>
  <c r="AC132" i="32" s="1"/>
  <c r="AL135" i="18"/>
  <c r="V167" i="31"/>
  <c r="W167" i="31"/>
  <c r="V53" i="31"/>
  <c r="W53" i="31"/>
  <c r="R178" i="28"/>
  <c r="Q193" i="32" s="1"/>
  <c r="V193" i="32" s="1"/>
  <c r="AE193" i="32" s="1"/>
  <c r="R175" i="34"/>
  <c r="V141" i="31"/>
  <c r="W141" i="31"/>
  <c r="W113" i="31"/>
  <c r="V113" i="31"/>
  <c r="W138" i="32"/>
  <c r="AC138" i="32" s="1"/>
  <c r="AL156" i="18"/>
  <c r="AL91" i="18"/>
  <c r="W88" i="32"/>
  <c r="AC88" i="32" s="1"/>
  <c r="R85" i="34"/>
  <c r="R86" i="28"/>
  <c r="W12" i="32"/>
  <c r="AC12" i="32" s="1"/>
  <c r="AL182" i="18"/>
  <c r="AL152" i="18"/>
  <c r="W148" i="32"/>
  <c r="AC148" i="32" s="1"/>
  <c r="R106" i="34"/>
  <c r="R107" i="28"/>
  <c r="V97" i="31"/>
  <c r="W97" i="31"/>
  <c r="R166" i="34"/>
  <c r="R168" i="28"/>
  <c r="W131" i="32"/>
  <c r="AC131" i="32" s="1"/>
  <c r="AL186" i="18"/>
  <c r="AB139" i="28"/>
  <c r="AB137" i="34"/>
  <c r="Q182" i="32"/>
  <c r="V182" i="32" s="1"/>
  <c r="AE182" i="32" s="1"/>
  <c r="AL192" i="34"/>
  <c r="AL196" i="28"/>
  <c r="W153" i="31"/>
  <c r="V153" i="31"/>
  <c r="W139" i="31"/>
  <c r="V139" i="31"/>
  <c r="R115" i="34"/>
  <c r="R116" i="28"/>
  <c r="R88" i="34"/>
  <c r="R89" i="28"/>
  <c r="P195" i="34"/>
  <c r="M195" i="34"/>
  <c r="Q178" i="32"/>
  <c r="V178" i="32" s="1"/>
  <c r="AE178" i="32" s="1"/>
  <c r="AL187" i="28"/>
  <c r="AL183" i="34"/>
  <c r="AC168" i="32"/>
  <c r="W119" i="32"/>
  <c r="AC119" i="32" s="1"/>
  <c r="AL121" i="18"/>
  <c r="R161" i="34"/>
  <c r="R163" i="28"/>
  <c r="R95" i="28"/>
  <c r="R94" i="34"/>
  <c r="R119" i="34"/>
  <c r="R120" i="28"/>
  <c r="AB104" i="28"/>
  <c r="AB103" i="34"/>
  <c r="W184" i="31"/>
  <c r="V184" i="31"/>
  <c r="W129" i="31"/>
  <c r="V129" i="31"/>
  <c r="AB126" i="34"/>
  <c r="AB128" i="28"/>
  <c r="S200" i="18"/>
  <c r="Y75" i="32"/>
  <c r="Y197" i="32" s="1"/>
  <c r="W108" i="32"/>
  <c r="AC108" i="32" s="1"/>
  <c r="AL122" i="18"/>
  <c r="AL79" i="28"/>
  <c r="Q75" i="32"/>
  <c r="V75" i="32" s="1"/>
  <c r="AE75" i="32" s="1"/>
  <c r="AL78" i="34"/>
  <c r="V102" i="31"/>
  <c r="W102" i="31"/>
  <c r="AL119" i="18"/>
  <c r="Q147" i="32"/>
  <c r="V147" i="32" s="1"/>
  <c r="AE147" i="32" s="1"/>
  <c r="AL152" i="34"/>
  <c r="AL154" i="28"/>
  <c r="Z200" i="28"/>
  <c r="AB80" i="28"/>
  <c r="AB79" i="34"/>
  <c r="W94" i="31"/>
  <c r="V94" i="31"/>
  <c r="V124" i="31"/>
  <c r="W124" i="31"/>
  <c r="V72" i="31"/>
  <c r="W72" i="31"/>
  <c r="V115" i="31"/>
  <c r="W115" i="31"/>
  <c r="W83" i="31"/>
  <c r="V83" i="31"/>
  <c r="V128" i="31"/>
  <c r="W128" i="31"/>
  <c r="AA83" i="28"/>
  <c r="S116" i="31"/>
  <c r="V114" i="31"/>
  <c r="W114" i="31"/>
  <c r="V170" i="31"/>
  <c r="W144" i="31"/>
  <c r="V144" i="31"/>
  <c r="W82" i="31"/>
  <c r="V82" i="31"/>
  <c r="W100" i="31"/>
  <c r="V100" i="31"/>
  <c r="W50" i="31"/>
  <c r="V50" i="31"/>
  <c r="W41" i="31"/>
  <c r="V41" i="31"/>
  <c r="V151" i="31"/>
  <c r="W151" i="31"/>
  <c r="Q99" i="32"/>
  <c r="V99" i="32" s="1"/>
  <c r="AE99" i="32" s="1"/>
  <c r="AL111" i="34"/>
  <c r="AL112" i="28"/>
  <c r="AL158" i="18"/>
  <c r="W58" i="32"/>
  <c r="AC58" i="32" s="1"/>
  <c r="W123" i="32"/>
  <c r="AC123" i="32" s="1"/>
  <c r="AL126" i="18"/>
  <c r="W86" i="32"/>
  <c r="AC86" i="32" s="1"/>
  <c r="AL104" i="18"/>
  <c r="W121" i="32"/>
  <c r="AC121" i="32" s="1"/>
  <c r="AL140" i="18"/>
  <c r="W109" i="32"/>
  <c r="AC109" i="32" s="1"/>
  <c r="AL111" i="18"/>
  <c r="W94" i="32"/>
  <c r="AC94" i="32" s="1"/>
  <c r="AL97" i="18"/>
  <c r="W174" i="32"/>
  <c r="AC174" i="32" s="1"/>
  <c r="AL157" i="18"/>
  <c r="W69" i="32"/>
  <c r="AC69" i="32" s="1"/>
  <c r="AL141" i="18"/>
  <c r="W35" i="32"/>
  <c r="AC35" i="32" s="1"/>
  <c r="AL101" i="18"/>
  <c r="AL79" i="18"/>
  <c r="W76" i="32"/>
  <c r="AC76" i="32" s="1"/>
  <c r="AL127" i="18"/>
  <c r="W124" i="32"/>
  <c r="AC124" i="32" s="1"/>
  <c r="R170" i="34"/>
  <c r="R172" i="28"/>
  <c r="W69" i="31"/>
  <c r="V69" i="31"/>
  <c r="AL151" i="28"/>
  <c r="Q144" i="32"/>
  <c r="V144" i="32" s="1"/>
  <c r="AE144" i="32" s="1"/>
  <c r="W101" i="32"/>
  <c r="AC101" i="32" s="1"/>
  <c r="AL103" i="18"/>
  <c r="R190" i="28"/>
  <c r="R186" i="34"/>
  <c r="W25" i="32"/>
  <c r="AC25" i="32" s="1"/>
  <c r="AL170" i="18"/>
  <c r="R90" i="34"/>
  <c r="R91" i="28"/>
  <c r="V18" i="31"/>
  <c r="W18" i="31"/>
  <c r="S46" i="31"/>
  <c r="AA149" i="18"/>
  <c r="AB149" i="18" s="1"/>
  <c r="Z54" i="32" s="1"/>
  <c r="AL81" i="28"/>
  <c r="Q77" i="32"/>
  <c r="V77" i="32" s="1"/>
  <c r="AE77" i="32" s="1"/>
  <c r="AL80" i="34"/>
  <c r="AD105" i="32"/>
  <c r="AL120" i="18"/>
  <c r="W118" i="32"/>
  <c r="AC118" i="32" s="1"/>
  <c r="W66" i="31"/>
  <c r="V66" i="31"/>
  <c r="AL118" i="18"/>
  <c r="W42" i="31"/>
  <c r="V42" i="31"/>
  <c r="W169" i="31"/>
  <c r="V169" i="31"/>
  <c r="V122" i="31"/>
  <c r="W122" i="31"/>
  <c r="AL182" i="28"/>
  <c r="AL179" i="34"/>
  <c r="Q168" i="32"/>
  <c r="V168" i="32" s="1"/>
  <c r="AE168" i="32" s="1"/>
  <c r="R98" i="28"/>
  <c r="R97" i="34"/>
  <c r="AL148" i="28"/>
  <c r="AL146" i="34"/>
  <c r="AL191" i="18"/>
  <c r="W182" i="32"/>
  <c r="AC182" i="32" s="1"/>
  <c r="W27" i="31"/>
  <c r="V27" i="31"/>
  <c r="W6" i="31"/>
  <c r="V6" i="31"/>
  <c r="AL193" i="18"/>
  <c r="W4" i="32"/>
  <c r="W168" i="31"/>
  <c r="V168" i="31"/>
  <c r="V143" i="31"/>
  <c r="W143" i="31"/>
  <c r="AL162" i="34"/>
  <c r="Q156" i="32"/>
  <c r="V156" i="32" s="1"/>
  <c r="AE156" i="32" s="1"/>
  <c r="Q130" i="32"/>
  <c r="V130" i="32" s="1"/>
  <c r="AE130" i="32" s="1"/>
  <c r="AL133" i="34"/>
  <c r="AL135" i="28"/>
  <c r="AL107" i="18"/>
  <c r="W9" i="32"/>
  <c r="AC9" i="32" s="1"/>
  <c r="W115" i="32"/>
  <c r="AC115" i="32" s="1"/>
  <c r="AL153" i="18"/>
  <c r="W39" i="31"/>
  <c r="V39" i="31"/>
  <c r="AL190" i="18"/>
  <c r="W14" i="32"/>
  <c r="AC14" i="32" s="1"/>
  <c r="Q90" i="32"/>
  <c r="V90" i="32" s="1"/>
  <c r="AE90" i="32" s="1"/>
  <c r="AL93" i="34"/>
  <c r="AL94" i="28"/>
  <c r="W163" i="31"/>
  <c r="V163" i="31"/>
  <c r="R111" i="28"/>
  <c r="R110" i="34"/>
  <c r="W142" i="32"/>
  <c r="AL168" i="18"/>
  <c r="W34" i="32"/>
  <c r="AC34" i="32" s="1"/>
  <c r="AL183" i="18"/>
  <c r="W178" i="32"/>
  <c r="AC178" i="32" s="1"/>
  <c r="R144" i="34"/>
  <c r="R146" i="28"/>
  <c r="R121" i="34"/>
  <c r="R122" i="28"/>
  <c r="R132" i="28"/>
  <c r="R130" i="34"/>
  <c r="W139" i="32"/>
  <c r="AC139" i="32" s="1"/>
  <c r="AL142" i="18"/>
  <c r="R150" i="34"/>
  <c r="R152" i="28"/>
  <c r="R180" i="34"/>
  <c r="R183" i="28"/>
  <c r="Q194" i="32" s="1"/>
  <c r="V194" i="32" s="1"/>
  <c r="W56" i="31"/>
  <c r="V56" i="31"/>
  <c r="W87" i="31"/>
  <c r="V87" i="31"/>
  <c r="W105" i="32"/>
  <c r="AC105" i="32" s="1"/>
  <c r="AG105" i="32" s="1"/>
  <c r="AL167" i="18"/>
  <c r="W164" i="32"/>
  <c r="AC164" i="32" s="1"/>
  <c r="AL169" i="18"/>
  <c r="AL192" i="28"/>
  <c r="Q179" i="32"/>
  <c r="V179" i="32" s="1"/>
  <c r="AE179" i="32" s="1"/>
  <c r="AL188" i="34"/>
  <c r="R101" i="28"/>
  <c r="R100" i="34"/>
  <c r="W128" i="32"/>
  <c r="AC128" i="32" s="1"/>
  <c r="AL131" i="18"/>
  <c r="AL117" i="28"/>
  <c r="Q159" i="32"/>
  <c r="V159" i="32" s="1"/>
  <c r="AE159" i="32" s="1"/>
  <c r="AL116" i="34"/>
  <c r="AL167" i="34"/>
  <c r="AL169" i="28"/>
  <c r="Q40" i="32"/>
  <c r="V40" i="32" s="1"/>
  <c r="AE40" i="32" s="1"/>
  <c r="AL198" i="18"/>
  <c r="AL156" i="28"/>
  <c r="AL154" i="34"/>
  <c r="Q115" i="32"/>
  <c r="V115" i="32" s="1"/>
  <c r="AE115" i="32" s="1"/>
  <c r="V135" i="31"/>
  <c r="W135" i="31"/>
  <c r="W70" i="31"/>
  <c r="V70" i="31"/>
  <c r="V60" i="31"/>
  <c r="W60" i="31"/>
  <c r="W173" i="31"/>
  <c r="V173" i="31"/>
  <c r="W178" i="31"/>
  <c r="V178" i="31"/>
  <c r="W133" i="31"/>
  <c r="V133" i="31"/>
  <c r="V8" i="31"/>
  <c r="W8" i="31"/>
  <c r="W121" i="31"/>
  <c r="V121" i="31"/>
  <c r="W108" i="31"/>
  <c r="V108" i="31"/>
  <c r="W152" i="31"/>
  <c r="V152" i="31"/>
  <c r="W146" i="31"/>
  <c r="V146" i="31"/>
  <c r="V120" i="31"/>
  <c r="W120" i="31"/>
  <c r="W77" i="31"/>
  <c r="V77" i="31"/>
  <c r="W48" i="31"/>
  <c r="V48" i="31"/>
  <c r="AL163" i="18"/>
  <c r="W158" i="32"/>
  <c r="AC158" i="32" s="1"/>
  <c r="W78" i="32"/>
  <c r="AC78" i="32" s="1"/>
  <c r="AL128" i="18"/>
  <c r="W163" i="32"/>
  <c r="AC163" i="32" s="1"/>
  <c r="AL86" i="18"/>
  <c r="W166" i="32"/>
  <c r="AC166" i="32" s="1"/>
  <c r="AL187" i="18"/>
  <c r="W91" i="32"/>
  <c r="AC91" i="32" s="1"/>
  <c r="AL84" i="18"/>
  <c r="W147" i="32"/>
  <c r="AC147" i="32" s="1"/>
  <c r="AL151" i="18"/>
  <c r="W120" i="32"/>
  <c r="AC120" i="32" s="1"/>
  <c r="AL184" i="18"/>
  <c r="Q200" i="18"/>
  <c r="AL88" i="18"/>
  <c r="W85" i="32"/>
  <c r="AC85" i="32" s="1"/>
  <c r="W33" i="31"/>
  <c r="V33" i="31"/>
  <c r="AL113" i="18"/>
  <c r="W111" i="32"/>
  <c r="AL189" i="18"/>
  <c r="W180" i="32"/>
  <c r="AC180" i="32" s="1"/>
  <c r="W11" i="31"/>
  <c r="V11" i="31"/>
  <c r="K186" i="27"/>
  <c r="M53" i="27"/>
  <c r="AB194" i="28"/>
  <c r="AB190" i="34"/>
  <c r="R187" i="34"/>
  <c r="R191" i="28"/>
  <c r="R78" i="18"/>
  <c r="AL78" i="18" s="1"/>
  <c r="V185" i="31"/>
  <c r="W185" i="31"/>
  <c r="W29" i="32"/>
  <c r="AC29" i="32" s="1"/>
  <c r="AL146" i="18"/>
  <c r="V172" i="31"/>
  <c r="W172" i="31"/>
  <c r="AL123" i="18"/>
  <c r="W91" i="31"/>
  <c r="V91" i="31"/>
  <c r="W112" i="31"/>
  <c r="V112" i="31"/>
  <c r="AL94" i="18"/>
  <c r="W116" i="32"/>
  <c r="AC116" i="32" s="1"/>
  <c r="W54" i="32"/>
  <c r="AL171" i="18"/>
  <c r="W65" i="32"/>
  <c r="AC65" i="32" s="1"/>
  <c r="AG65" i="32" s="1"/>
  <c r="W90" i="32"/>
  <c r="W140" i="31"/>
  <c r="V140" i="31"/>
  <c r="V136" i="31"/>
  <c r="W136" i="31"/>
  <c r="AB174" i="34"/>
  <c r="AB176" i="28"/>
  <c r="S191" i="32" s="1"/>
  <c r="AL125" i="18"/>
  <c r="W122" i="32"/>
  <c r="AC122" i="32" s="1"/>
  <c r="W181" i="31"/>
  <c r="V181" i="31"/>
  <c r="V175" i="31"/>
  <c r="W175" i="31"/>
  <c r="W21" i="32"/>
  <c r="AC21" i="32" s="1"/>
  <c r="AL164" i="18"/>
  <c r="AL95" i="34"/>
  <c r="Q92" i="32"/>
  <c r="V92" i="32" s="1"/>
  <c r="AE92" i="32" s="1"/>
  <c r="V101" i="31"/>
  <c r="W101" i="31"/>
  <c r="R130" i="28"/>
  <c r="R128" i="34"/>
  <c r="AL108" i="18"/>
  <c r="W106" i="32"/>
  <c r="AC106" i="32" s="1"/>
  <c r="AL132" i="18"/>
  <c r="R139" i="34"/>
  <c r="R141" i="28"/>
  <c r="W20" i="32"/>
  <c r="AC20" i="32" s="1"/>
  <c r="AL109" i="18"/>
  <c r="W85" i="31"/>
  <c r="V85" i="31"/>
  <c r="W24" i="31"/>
  <c r="V24" i="31"/>
  <c r="AL150" i="28"/>
  <c r="AL148" i="34"/>
  <c r="AL112" i="18"/>
  <c r="W110" i="32"/>
  <c r="AC110" i="32" s="1"/>
  <c r="AB114" i="28"/>
  <c r="AB113" i="34"/>
  <c r="W149" i="31"/>
  <c r="V149" i="31"/>
  <c r="AL125" i="34"/>
  <c r="Q122" i="32"/>
  <c r="V122" i="32" s="1"/>
  <c r="AE122" i="32" s="1"/>
  <c r="AL127" i="28"/>
  <c r="AL176" i="18"/>
  <c r="W26" i="32"/>
  <c r="AC26" i="32" s="1"/>
  <c r="S36" i="32"/>
  <c r="V36" i="32" s="1"/>
  <c r="AE36" i="32" s="1"/>
  <c r="AL119" i="28"/>
  <c r="AL118" i="34"/>
  <c r="Q104" i="32"/>
  <c r="V104" i="32" s="1"/>
  <c r="AE104" i="32" s="1"/>
  <c r="AL107" i="34"/>
  <c r="AL108" i="28"/>
  <c r="AL102" i="28"/>
  <c r="AL101" i="34"/>
  <c r="S35" i="32"/>
  <c r="V35" i="32" s="1"/>
  <c r="AE35" i="32" s="1"/>
  <c r="R184" i="28"/>
  <c r="R181" i="34"/>
  <c r="AL173" i="34"/>
  <c r="Q51" i="32"/>
  <c r="V51" i="32" s="1"/>
  <c r="AE51" i="32" s="1"/>
  <c r="AL175" i="28"/>
  <c r="AL195" i="28"/>
  <c r="AL191" i="34"/>
  <c r="R105" i="34"/>
  <c r="R106" i="28"/>
  <c r="R157" i="34"/>
  <c r="R159" i="28"/>
  <c r="AL166" i="28"/>
  <c r="Q158" i="32"/>
  <c r="V158" i="32" s="1"/>
  <c r="AE158" i="32" s="1"/>
  <c r="AL164" i="34"/>
  <c r="AL134" i="34"/>
  <c r="Q47" i="32"/>
  <c r="V47" i="32" s="1"/>
  <c r="AE47" i="32" s="1"/>
  <c r="AL136" i="28"/>
  <c r="R137" i="28"/>
  <c r="R135" i="34"/>
  <c r="R193" i="34"/>
  <c r="R197" i="28"/>
  <c r="AL153" i="34"/>
  <c r="Q148" i="32"/>
  <c r="V148" i="32" s="1"/>
  <c r="AE148" i="32" s="1"/>
  <c r="AL155" i="28"/>
  <c r="V147" i="31"/>
  <c r="W147" i="31"/>
  <c r="W123" i="31"/>
  <c r="V123" i="31"/>
  <c r="V31" i="31"/>
  <c r="W31" i="31"/>
  <c r="W138" i="31"/>
  <c r="V138" i="31"/>
  <c r="W86" i="31"/>
  <c r="V86" i="31"/>
  <c r="V103" i="31"/>
  <c r="W103" i="31"/>
  <c r="V92" i="31"/>
  <c r="W92" i="31"/>
  <c r="V134" i="31"/>
  <c r="W134" i="31"/>
  <c r="V171" i="31"/>
  <c r="W171" i="31"/>
  <c r="V117" i="31"/>
  <c r="W117" i="31"/>
  <c r="W174" i="31"/>
  <c r="V174" i="31"/>
  <c r="V164" i="31"/>
  <c r="W164" i="31"/>
  <c r="W125" i="31"/>
  <c r="V125" i="31"/>
  <c r="V110" i="31"/>
  <c r="W110" i="31"/>
  <c r="AL161" i="28"/>
  <c r="S58" i="32"/>
  <c r="V58" i="32" s="1"/>
  <c r="AE58" i="32" s="1"/>
  <c r="AL159" i="34"/>
  <c r="V84" i="31"/>
  <c r="W84" i="31"/>
  <c r="W51" i="32"/>
  <c r="AC51" i="32" s="1"/>
  <c r="AL172" i="18"/>
  <c r="AL80" i="18"/>
  <c r="W77" i="32"/>
  <c r="AC77" i="32" s="1"/>
  <c r="W183" i="32"/>
  <c r="AC183" i="32" s="1"/>
  <c r="AL192" i="18"/>
  <c r="AL180" i="18"/>
  <c r="W172" i="32"/>
  <c r="AL85" i="18"/>
  <c r="W68" i="32"/>
  <c r="AC68" i="32" s="1"/>
  <c r="AL137" i="18"/>
  <c r="W134" i="32"/>
  <c r="AL162" i="18"/>
  <c r="W157" i="32"/>
  <c r="AC157" i="32" s="1"/>
  <c r="AL110" i="18"/>
  <c r="W99" i="32"/>
  <c r="AC99" i="32" s="1"/>
  <c r="W113" i="32"/>
  <c r="AC113" i="32" s="1"/>
  <c r="AL129" i="18"/>
  <c r="W47" i="32"/>
  <c r="AC47" i="32" s="1"/>
  <c r="AL134" i="18"/>
  <c r="W87" i="32"/>
  <c r="AC87" i="32" s="1"/>
  <c r="AL90" i="18"/>
  <c r="W40" i="32"/>
  <c r="AC40" i="32" s="1"/>
  <c r="AL166" i="18"/>
  <c r="W143" i="32"/>
  <c r="AC143" i="32" s="1"/>
  <c r="AG143" i="32" s="1"/>
  <c r="AL145" i="18"/>
  <c r="R142" i="28"/>
  <c r="R140" i="34"/>
  <c r="Z75" i="32"/>
  <c r="AL196" i="18"/>
  <c r="R92" i="28"/>
  <c r="R91" i="34"/>
  <c r="R86" i="34"/>
  <c r="R87" i="28"/>
  <c r="AL81" i="18"/>
  <c r="W66" i="32"/>
  <c r="AC66" i="32" s="1"/>
  <c r="V68" i="31"/>
  <c r="W68" i="31"/>
  <c r="R167" i="28"/>
  <c r="R165" i="34"/>
  <c r="Q34" i="32"/>
  <c r="V34" i="32" s="1"/>
  <c r="AE34" i="32" s="1"/>
  <c r="AL169" i="34"/>
  <c r="AL171" i="28"/>
  <c r="AL136" i="34"/>
  <c r="Q160" i="32"/>
  <c r="V160" i="32" s="1"/>
  <c r="AL138" i="28"/>
  <c r="W78" i="31"/>
  <c r="V78" i="31"/>
  <c r="R193" i="28"/>
  <c r="R189" i="34"/>
  <c r="AL99" i="18"/>
  <c r="AL105" i="18"/>
  <c r="W97" i="32"/>
  <c r="AC97" i="32" s="1"/>
  <c r="V98" i="31"/>
  <c r="W98" i="31"/>
  <c r="W135" i="32"/>
  <c r="AC135" i="32" s="1"/>
  <c r="AL138" i="18"/>
  <c r="V105" i="31"/>
  <c r="W105" i="31"/>
  <c r="W155" i="31"/>
  <c r="V155" i="31"/>
  <c r="R155" i="34"/>
  <c r="R157" i="28"/>
  <c r="AL150" i="18"/>
  <c r="W146" i="32"/>
  <c r="AC146" i="32" s="1"/>
  <c r="V29" i="31"/>
  <c r="W29" i="31"/>
  <c r="R120" i="34"/>
  <c r="R121" i="28"/>
  <c r="W136" i="32"/>
  <c r="AC136" i="32" s="1"/>
  <c r="AL139" i="18"/>
  <c r="W99" i="31"/>
  <c r="V99" i="31"/>
  <c r="R173" i="28"/>
  <c r="R171" i="34"/>
  <c r="W62" i="31"/>
  <c r="V62" i="31"/>
  <c r="AL185" i="18"/>
  <c r="W176" i="32"/>
  <c r="AC176" i="32" s="1"/>
  <c r="V96" i="31"/>
  <c r="W96" i="31"/>
  <c r="R129" i="34"/>
  <c r="R131" i="28"/>
  <c r="V119" i="31"/>
  <c r="W119" i="31"/>
  <c r="V176" i="31"/>
  <c r="W176" i="31"/>
  <c r="S108" i="32"/>
  <c r="V108" i="32" s="1"/>
  <c r="AE108" i="32" s="1"/>
  <c r="AL124" i="28"/>
  <c r="AL123" i="34"/>
  <c r="R156" i="34"/>
  <c r="R158" i="28"/>
  <c r="Q190" i="32" s="1"/>
  <c r="V190" i="32" s="1"/>
  <c r="AE190" i="32" s="1"/>
  <c r="V154" i="31"/>
  <c r="W154" i="31"/>
  <c r="W30" i="32"/>
  <c r="AC30" i="32" s="1"/>
  <c r="AL175" i="18"/>
  <c r="V126" i="31"/>
  <c r="W126" i="31"/>
  <c r="AL98" i="18"/>
  <c r="W125" i="32"/>
  <c r="AC125" i="32" s="1"/>
  <c r="AG125" i="32" s="1"/>
  <c r="W166" i="31"/>
  <c r="V166" i="31"/>
  <c r="V161" i="31"/>
  <c r="W161" i="31"/>
  <c r="W19" i="31"/>
  <c r="V19" i="31"/>
  <c r="W114" i="32"/>
  <c r="AC114" i="32" s="1"/>
  <c r="AL116" i="18"/>
  <c r="AC129" i="32"/>
  <c r="AL151" i="34"/>
  <c r="V79" i="31"/>
  <c r="W79" i="31"/>
  <c r="R158" i="34"/>
  <c r="R160" i="28"/>
  <c r="R105" i="28"/>
  <c r="Q186" i="32" s="1"/>
  <c r="V186" i="32" s="1"/>
  <c r="AE186" i="32" s="1"/>
  <c r="R104" i="34"/>
  <c r="AL96" i="18"/>
  <c r="Z93" i="32"/>
  <c r="AC93" i="32" s="1"/>
  <c r="AG93" i="32" s="1"/>
  <c r="AL87" i="18"/>
  <c r="W84" i="32"/>
  <c r="AC84" i="32" s="1"/>
  <c r="J200" i="18"/>
  <c r="W75" i="32"/>
  <c r="R144" i="28"/>
  <c r="R142" i="34"/>
  <c r="AL89" i="18"/>
  <c r="AL143" i="18"/>
  <c r="W140" i="32"/>
  <c r="AC140" i="32" s="1"/>
  <c r="AL115" i="18"/>
  <c r="W159" i="32"/>
  <c r="AC159" i="32" s="1"/>
  <c r="W112" i="32"/>
  <c r="AC112" i="32" s="1"/>
  <c r="AL114" i="18"/>
  <c r="AL161" i="18"/>
  <c r="W156" i="32"/>
  <c r="AC156" i="32" s="1"/>
  <c r="Q200" i="28"/>
  <c r="AL148" i="18"/>
  <c r="W144" i="32"/>
  <c r="AC144" i="32" s="1"/>
  <c r="R103" i="28"/>
  <c r="R102" i="34"/>
  <c r="V159" i="31"/>
  <c r="W159" i="31"/>
  <c r="Q170" i="32"/>
  <c r="V170" i="32" s="1"/>
  <c r="AE170" i="32" s="1"/>
  <c r="AL178" i="34"/>
  <c r="AL181" i="28"/>
  <c r="AL82" i="18"/>
  <c r="W154" i="32"/>
  <c r="AC154" i="32" s="1"/>
  <c r="R194" i="28"/>
  <c r="Q14" i="32" s="1"/>
  <c r="R190" i="34"/>
  <c r="Z177" i="32"/>
  <c r="AC177" i="32" s="1"/>
  <c r="AL165" i="18"/>
  <c r="W158" i="31"/>
  <c r="V158" i="31"/>
  <c r="V160" i="31"/>
  <c r="W160" i="31"/>
  <c r="V67" i="31"/>
  <c r="W67" i="31"/>
  <c r="V148" i="31"/>
  <c r="W148" i="31"/>
  <c r="W74" i="31"/>
  <c r="V74" i="31"/>
  <c r="W44" i="31"/>
  <c r="V44" i="31"/>
  <c r="W65" i="31"/>
  <c r="V65" i="31"/>
  <c r="V111" i="31"/>
  <c r="W111" i="31"/>
  <c r="W183" i="31"/>
  <c r="V183" i="31"/>
  <c r="V57" i="31"/>
  <c r="W57" i="31"/>
  <c r="V59" i="31"/>
  <c r="W59" i="31"/>
  <c r="W162" i="31"/>
  <c r="V162" i="31"/>
  <c r="V179" i="31"/>
  <c r="W179" i="31"/>
  <c r="W22" i="31"/>
  <c r="V22" i="31"/>
  <c r="AA83" i="18"/>
  <c r="AB83" i="18" s="1"/>
  <c r="Z142" i="32" s="1"/>
  <c r="AA84" i="28"/>
  <c r="S131" i="31"/>
  <c r="AL92" i="34"/>
  <c r="AL93" i="28"/>
  <c r="Q89" i="32"/>
  <c r="V89" i="32" s="1"/>
  <c r="AE89" i="32" s="1"/>
  <c r="AL186" i="28"/>
  <c r="AL182" i="34"/>
  <c r="Q12" i="32"/>
  <c r="V10" i="31"/>
  <c r="W10" i="31"/>
  <c r="W155" i="32"/>
  <c r="AC155" i="32" s="1"/>
  <c r="AL160" i="18"/>
  <c r="W170" i="32"/>
  <c r="AC170" i="32" s="1"/>
  <c r="AL177" i="18"/>
  <c r="W95" i="32"/>
  <c r="AC95" i="32" s="1"/>
  <c r="AL159" i="18"/>
  <c r="W100" i="32"/>
  <c r="AC100" i="32" s="1"/>
  <c r="AL102" i="18"/>
  <c r="W36" i="32"/>
  <c r="AC36" i="32" s="1"/>
  <c r="AL117" i="18"/>
  <c r="W150" i="32"/>
  <c r="AC150" i="32" s="1"/>
  <c r="AL154" i="18"/>
  <c r="AL144" i="18"/>
  <c r="W141" i="32"/>
  <c r="AC141" i="32" s="1"/>
  <c r="W130" i="32"/>
  <c r="AC130" i="32" s="1"/>
  <c r="AL133" i="18"/>
  <c r="W179" i="32"/>
  <c r="AC179" i="32" s="1"/>
  <c r="AL188" i="18"/>
  <c r="W104" i="32"/>
  <c r="AC104" i="32" s="1"/>
  <c r="AL106" i="18"/>
  <c r="AL124" i="18"/>
  <c r="AB81" i="34"/>
  <c r="AB82" i="28"/>
  <c r="R122" i="34"/>
  <c r="R123" i="28"/>
  <c r="Q181" i="32"/>
  <c r="V181" i="32" s="1"/>
  <c r="AL125" i="28"/>
  <c r="AL124" i="34"/>
  <c r="R147" i="34"/>
  <c r="R149" i="28"/>
  <c r="AL95" i="18"/>
  <c r="Z107" i="32"/>
  <c r="AC107" i="32" s="1"/>
  <c r="AL130" i="18"/>
  <c r="AC62" i="32"/>
  <c r="AG140" i="32" l="1"/>
  <c r="AD140" i="32"/>
  <c r="AD93" i="32"/>
  <c r="AL93" i="18"/>
  <c r="AC90" i="32"/>
  <c r="AG90" i="32" s="1"/>
  <c r="AE120" i="32"/>
  <c r="AG120" i="32"/>
  <c r="AL89" i="34"/>
  <c r="AL118" i="28"/>
  <c r="Q114" i="32"/>
  <c r="V114" i="32" s="1"/>
  <c r="AE114" i="32" s="1"/>
  <c r="AD128" i="32"/>
  <c r="AL173" i="18"/>
  <c r="AL179" i="28"/>
  <c r="AL176" i="34"/>
  <c r="AL100" i="28"/>
  <c r="AL99" i="34"/>
  <c r="AL153" i="28"/>
  <c r="AC134" i="32"/>
  <c r="AC111" i="32"/>
  <c r="AG147" i="32"/>
  <c r="R195" i="34"/>
  <c r="AG130" i="32"/>
  <c r="AG128" i="32"/>
  <c r="AG30" i="32"/>
  <c r="AC191" i="32"/>
  <c r="AL90" i="28"/>
  <c r="AL149" i="18"/>
  <c r="AC192" i="32"/>
  <c r="AF192" i="32" s="1"/>
  <c r="AC172" i="32"/>
  <c r="AG195" i="32"/>
  <c r="AG84" i="32"/>
  <c r="AD84" i="32"/>
  <c r="AG196" i="32"/>
  <c r="AG47" i="32"/>
  <c r="AL180" i="34"/>
  <c r="AL134" i="28"/>
  <c r="S129" i="32"/>
  <c r="V129" i="32" s="1"/>
  <c r="AG129" i="32" s="1"/>
  <c r="AL132" i="34"/>
  <c r="AG77" i="32"/>
  <c r="AL129" i="28"/>
  <c r="Q124" i="32"/>
  <c r="V124" i="32" s="1"/>
  <c r="AG124" i="32" s="1"/>
  <c r="AL127" i="34"/>
  <c r="AG51" i="32"/>
  <c r="AG182" i="32"/>
  <c r="AG36" i="32"/>
  <c r="AG144" i="32"/>
  <c r="AL183" i="28"/>
  <c r="AG40" i="32"/>
  <c r="AG122" i="32"/>
  <c r="AG179" i="32"/>
  <c r="AG156" i="32"/>
  <c r="AC54" i="32"/>
  <c r="AE194" i="32"/>
  <c r="AD194" i="32"/>
  <c r="AG58" i="32"/>
  <c r="AG92" i="32"/>
  <c r="AG187" i="32"/>
  <c r="AG170" i="32"/>
  <c r="AG146" i="32"/>
  <c r="AG194" i="32"/>
  <c r="AF194" i="32"/>
  <c r="AG104" i="32"/>
  <c r="Q9" i="32"/>
  <c r="V9" i="32" s="1"/>
  <c r="AF9" i="32" s="1"/>
  <c r="AL109" i="28"/>
  <c r="AL108" i="34"/>
  <c r="AG178" i="32"/>
  <c r="AG115" i="32"/>
  <c r="AG35" i="32"/>
  <c r="AG168" i="32"/>
  <c r="AG89" i="32"/>
  <c r="AG158" i="32"/>
  <c r="AG108" i="32"/>
  <c r="AG45" i="32"/>
  <c r="AG181" i="32"/>
  <c r="AG190" i="32"/>
  <c r="AG193" i="32"/>
  <c r="AG159" i="32"/>
  <c r="AG99" i="32"/>
  <c r="AG34" i="32"/>
  <c r="AG148" i="32"/>
  <c r="AG160" i="32"/>
  <c r="AG186" i="32"/>
  <c r="AG175" i="32"/>
  <c r="AE160" i="32"/>
  <c r="AE181" i="32"/>
  <c r="AL138" i="34"/>
  <c r="Q135" i="32"/>
  <c r="V135" i="32" s="1"/>
  <c r="AE135" i="32" s="1"/>
  <c r="AL140" i="28"/>
  <c r="AF190" i="32"/>
  <c r="AD190" i="32"/>
  <c r="AD193" i="32"/>
  <c r="V191" i="32"/>
  <c r="AL160" i="34"/>
  <c r="Q95" i="32"/>
  <c r="V95" i="32" s="1"/>
  <c r="AG95" i="32" s="1"/>
  <c r="AL162" i="28"/>
  <c r="AF193" i="32"/>
  <c r="AD187" i="32"/>
  <c r="Q69" i="32"/>
  <c r="V69" i="32" s="1"/>
  <c r="AE69" i="32" s="1"/>
  <c r="AL143" i="28"/>
  <c r="AL141" i="34"/>
  <c r="AF186" i="32"/>
  <c r="Q26" i="32"/>
  <c r="V26" i="32" s="1"/>
  <c r="AG26" i="32" s="1"/>
  <c r="AL177" i="34"/>
  <c r="AL180" i="28"/>
  <c r="Q109" i="32"/>
  <c r="V109" i="32" s="1"/>
  <c r="AE109" i="32" s="1"/>
  <c r="AL113" i="28"/>
  <c r="AL112" i="34"/>
  <c r="AD186" i="32"/>
  <c r="AL85" i="28"/>
  <c r="Q91" i="32"/>
  <c r="V91" i="32" s="1"/>
  <c r="AE91" i="32" s="1"/>
  <c r="AL84" i="34"/>
  <c r="AF188" i="32"/>
  <c r="Q106" i="32"/>
  <c r="V106" i="32" s="1"/>
  <c r="AG106" i="32" s="1"/>
  <c r="AL110" i="28"/>
  <c r="AL109" i="34"/>
  <c r="AL189" i="28"/>
  <c r="AL185" i="34"/>
  <c r="Q176" i="32"/>
  <c r="V176" i="32" s="1"/>
  <c r="AG176" i="32" s="1"/>
  <c r="AF187" i="32"/>
  <c r="AF189" i="32"/>
  <c r="Q157" i="32"/>
  <c r="V157" i="32" s="1"/>
  <c r="AE157" i="32" s="1"/>
  <c r="AL165" i="28"/>
  <c r="AL163" i="34"/>
  <c r="AL114" i="34"/>
  <c r="AL115" i="28"/>
  <c r="Q111" i="32"/>
  <c r="V111" i="32" s="1"/>
  <c r="AE111" i="32" s="1"/>
  <c r="Z197" i="32"/>
  <c r="AF93" i="32"/>
  <c r="AL82" i="28"/>
  <c r="AL81" i="34"/>
  <c r="S66" i="32"/>
  <c r="V66" i="32" s="1"/>
  <c r="AG66" i="32" s="1"/>
  <c r="AF144" i="32"/>
  <c r="AF125" i="32"/>
  <c r="AL156" i="34"/>
  <c r="AL158" i="28"/>
  <c r="Q21" i="32"/>
  <c r="V21" i="32" s="1"/>
  <c r="AG21" i="32" s="1"/>
  <c r="AL167" i="28"/>
  <c r="AL165" i="34"/>
  <c r="AB200" i="18"/>
  <c r="AF143" i="32"/>
  <c r="AF51" i="32"/>
  <c r="AD58" i="32"/>
  <c r="AL137" i="28"/>
  <c r="Q132" i="32"/>
  <c r="V132" i="32" s="1"/>
  <c r="AG132" i="32" s="1"/>
  <c r="AL135" i="34"/>
  <c r="AD51" i="32"/>
  <c r="AD35" i="32"/>
  <c r="S110" i="32"/>
  <c r="V110" i="32" s="1"/>
  <c r="AG110" i="32" s="1"/>
  <c r="AL113" i="34"/>
  <c r="AL114" i="28"/>
  <c r="AD92" i="32"/>
  <c r="AF120" i="32"/>
  <c r="AL100" i="34"/>
  <c r="AL101" i="28"/>
  <c r="Q80" i="32"/>
  <c r="V80" i="32" s="1"/>
  <c r="AD30" i="32"/>
  <c r="AL130" i="34"/>
  <c r="Q107" i="32"/>
  <c r="V107" i="32" s="1"/>
  <c r="AE107" i="32" s="1"/>
  <c r="AL132" i="28"/>
  <c r="AC142" i="32"/>
  <c r="AD90" i="32"/>
  <c r="AD130" i="32"/>
  <c r="W197" i="32"/>
  <c r="AC4" i="32"/>
  <c r="AG4" i="32" s="1"/>
  <c r="AD168" i="32"/>
  <c r="W46" i="31"/>
  <c r="V46" i="31"/>
  <c r="AL190" i="28"/>
  <c r="Q131" i="32"/>
  <c r="V131" i="32" s="1"/>
  <c r="AE131" i="32" s="1"/>
  <c r="AL186" i="34"/>
  <c r="Q164" i="32"/>
  <c r="V164" i="32" s="1"/>
  <c r="AG164" i="32" s="1"/>
  <c r="AL170" i="34"/>
  <c r="AL172" i="28"/>
  <c r="AA200" i="28"/>
  <c r="AB82" i="34"/>
  <c r="AB83" i="28"/>
  <c r="S76" i="32"/>
  <c r="V76" i="32" s="1"/>
  <c r="AE76" i="32" s="1"/>
  <c r="AL80" i="28"/>
  <c r="AL79" i="34"/>
  <c r="AD175" i="32"/>
  <c r="AL88" i="34"/>
  <c r="AL89" i="28"/>
  <c r="Q85" i="32"/>
  <c r="V85" i="32" s="1"/>
  <c r="AE85" i="32" s="1"/>
  <c r="S134" i="32"/>
  <c r="V134" i="32" s="1"/>
  <c r="AL139" i="28"/>
  <c r="AL137" i="34"/>
  <c r="AL175" i="34"/>
  <c r="AL178" i="28"/>
  <c r="AF104" i="32"/>
  <c r="AF130" i="32"/>
  <c r="Q29" i="32"/>
  <c r="V29" i="32" s="1"/>
  <c r="AG29" i="32" s="1"/>
  <c r="AL147" i="34"/>
  <c r="AL149" i="28"/>
  <c r="V12" i="32"/>
  <c r="AG12" i="32" s="1"/>
  <c r="AD146" i="32"/>
  <c r="AD108" i="32"/>
  <c r="AL123" i="28"/>
  <c r="Q119" i="32"/>
  <c r="V119" i="32" s="1"/>
  <c r="AG119" i="32" s="1"/>
  <c r="AL122" i="34"/>
  <c r="AF179" i="32"/>
  <c r="AF36" i="32"/>
  <c r="AD170" i="32"/>
  <c r="AL103" i="28"/>
  <c r="AL102" i="34"/>
  <c r="Q100" i="32"/>
  <c r="V100" i="32" s="1"/>
  <c r="AG100" i="32" s="1"/>
  <c r="AF156" i="32"/>
  <c r="AF159" i="32"/>
  <c r="Q139" i="32"/>
  <c r="V139" i="32" s="1"/>
  <c r="AG139" i="32" s="1"/>
  <c r="AL144" i="28"/>
  <c r="AL142" i="34"/>
  <c r="AF30" i="32"/>
  <c r="Q113" i="32"/>
  <c r="V113" i="32" s="1"/>
  <c r="AE113" i="32" s="1"/>
  <c r="AL131" i="28"/>
  <c r="AL129" i="34"/>
  <c r="AL157" i="28"/>
  <c r="AL155" i="34"/>
  <c r="Q150" i="32"/>
  <c r="V150" i="32" s="1"/>
  <c r="AG150" i="32" s="1"/>
  <c r="AL91" i="34"/>
  <c r="AL92" i="28"/>
  <c r="Q88" i="32"/>
  <c r="V88" i="32" s="1"/>
  <c r="AG88" i="32" s="1"/>
  <c r="AF99" i="32"/>
  <c r="AF77" i="32"/>
  <c r="Q183" i="32"/>
  <c r="V183" i="32" s="1"/>
  <c r="AE183" i="32" s="1"/>
  <c r="AL197" i="28"/>
  <c r="AL193" i="34"/>
  <c r="Q138" i="32"/>
  <c r="V138" i="32" s="1"/>
  <c r="AG138" i="32" s="1"/>
  <c r="AL159" i="28"/>
  <c r="AL157" i="34"/>
  <c r="AL128" i="34"/>
  <c r="AL130" i="28"/>
  <c r="Q78" i="32"/>
  <c r="V78" i="32" s="1"/>
  <c r="AG78" i="32" s="1"/>
  <c r="AF122" i="32"/>
  <c r="R200" i="18"/>
  <c r="X75" i="32"/>
  <c r="X197" i="32" s="1"/>
  <c r="AL194" i="28"/>
  <c r="S14" i="32"/>
  <c r="V14" i="32" s="1"/>
  <c r="AG14" i="32" s="1"/>
  <c r="AL190" i="34"/>
  <c r="AL150" i="34"/>
  <c r="Q54" i="32"/>
  <c r="V54" i="32" s="1"/>
  <c r="AL152" i="28"/>
  <c r="Q118" i="32"/>
  <c r="V118" i="32" s="1"/>
  <c r="AE118" i="32" s="1"/>
  <c r="AL121" i="34"/>
  <c r="AL122" i="28"/>
  <c r="AF178" i="32"/>
  <c r="AL83" i="18"/>
  <c r="AD156" i="32"/>
  <c r="AD77" i="32"/>
  <c r="AF92" i="32"/>
  <c r="AD147" i="32"/>
  <c r="AL126" i="34"/>
  <c r="S123" i="32"/>
  <c r="V123" i="32" s="1"/>
  <c r="AE123" i="32" s="1"/>
  <c r="AL128" i="28"/>
  <c r="AB195" i="34"/>
  <c r="AF148" i="32"/>
  <c r="AL86" i="28"/>
  <c r="AL85" i="34"/>
  <c r="Q68" i="32"/>
  <c r="V68" i="32" s="1"/>
  <c r="AG68" i="32" s="1"/>
  <c r="AD181" i="32"/>
  <c r="V131" i="31"/>
  <c r="W131" i="31"/>
  <c r="AL104" i="34"/>
  <c r="AL105" i="28"/>
  <c r="AL173" i="28"/>
  <c r="AL171" i="34"/>
  <c r="Q25" i="32"/>
  <c r="V25" i="32" s="1"/>
  <c r="AG25" i="32" s="1"/>
  <c r="AD34" i="32"/>
  <c r="Q163" i="32"/>
  <c r="V163" i="32" s="1"/>
  <c r="AE163" i="32" s="1"/>
  <c r="AL87" i="28"/>
  <c r="AL86" i="34"/>
  <c r="Q121" i="32"/>
  <c r="V121" i="32" s="1"/>
  <c r="AG121" i="32" s="1"/>
  <c r="AL140" i="34"/>
  <c r="AL142" i="28"/>
  <c r="AF40" i="32"/>
  <c r="AF47" i="32"/>
  <c r="AD47" i="32"/>
  <c r="AD36" i="32"/>
  <c r="AF90" i="32"/>
  <c r="Q166" i="32"/>
  <c r="V166" i="32" s="1"/>
  <c r="AE166" i="32" s="1"/>
  <c r="AL187" i="34"/>
  <c r="AL191" i="28"/>
  <c r="S165" i="31"/>
  <c r="M186" i="27"/>
  <c r="AF147" i="32"/>
  <c r="AF128" i="32"/>
  <c r="AD179" i="32"/>
  <c r="AF105" i="32"/>
  <c r="AF182" i="32"/>
  <c r="AF58" i="32"/>
  <c r="AD99" i="32"/>
  <c r="R200" i="28"/>
  <c r="AF108" i="32"/>
  <c r="AL103" i="34"/>
  <c r="S101" i="32"/>
  <c r="V101" i="32" s="1"/>
  <c r="AE101" i="32" s="1"/>
  <c r="AL104" i="28"/>
  <c r="AL94" i="34"/>
  <c r="Q116" i="32"/>
  <c r="V116" i="32" s="1"/>
  <c r="AG116" i="32" s="1"/>
  <c r="AL95" i="28"/>
  <c r="AD178" i="32"/>
  <c r="AL115" i="34"/>
  <c r="Q112" i="32"/>
  <c r="V112" i="32" s="1"/>
  <c r="AE112" i="32" s="1"/>
  <c r="AL116" i="28"/>
  <c r="AD182" i="32"/>
  <c r="AF175" i="32"/>
  <c r="AF170" i="32"/>
  <c r="AD89" i="32"/>
  <c r="AF89" i="32"/>
  <c r="AB84" i="28"/>
  <c r="AB83" i="34"/>
  <c r="AF140" i="32"/>
  <c r="AF84" i="32"/>
  <c r="Q174" i="32"/>
  <c r="V174" i="32" s="1"/>
  <c r="AG174" i="32" s="1"/>
  <c r="AL158" i="34"/>
  <c r="AL160" i="28"/>
  <c r="AL121" i="28"/>
  <c r="AL120" i="34"/>
  <c r="Q67" i="32"/>
  <c r="V67" i="32" s="1"/>
  <c r="AF146" i="32"/>
  <c r="AL189" i="34"/>
  <c r="AL193" i="28"/>
  <c r="Q180" i="32"/>
  <c r="V180" i="32" s="1"/>
  <c r="AG180" i="32" s="1"/>
  <c r="AD160" i="32"/>
  <c r="AD148" i="32"/>
  <c r="AD158" i="32"/>
  <c r="Q86" i="32"/>
  <c r="V86" i="32" s="1"/>
  <c r="AE86" i="32" s="1"/>
  <c r="AL105" i="34"/>
  <c r="AL106" i="28"/>
  <c r="Q172" i="32"/>
  <c r="V172" i="32" s="1"/>
  <c r="AL184" i="28"/>
  <c r="AL181" i="34"/>
  <c r="AD104" i="32"/>
  <c r="AD122" i="32"/>
  <c r="AL139" i="34"/>
  <c r="AL141" i="28"/>
  <c r="Q136" i="32"/>
  <c r="V136" i="32" s="1"/>
  <c r="AG136" i="32" s="1"/>
  <c r="AL176" i="28"/>
  <c r="AL174" i="34"/>
  <c r="AF65" i="32"/>
  <c r="AF158" i="32"/>
  <c r="AD115" i="32"/>
  <c r="AD40" i="32"/>
  <c r="AD159" i="32"/>
  <c r="AL146" i="28"/>
  <c r="AL144" i="34"/>
  <c r="Q141" i="32"/>
  <c r="V141" i="32" s="1"/>
  <c r="AG141" i="32" s="1"/>
  <c r="AF34" i="32"/>
  <c r="Q20" i="32"/>
  <c r="V20" i="32" s="1"/>
  <c r="AG20" i="32" s="1"/>
  <c r="AL110" i="34"/>
  <c r="AL111" i="28"/>
  <c r="AF115" i="32"/>
  <c r="Q94" i="32"/>
  <c r="V94" i="32" s="1"/>
  <c r="AE94" i="32" s="1"/>
  <c r="AL97" i="34"/>
  <c r="AL98" i="28"/>
  <c r="Q87" i="32"/>
  <c r="V87" i="32" s="1"/>
  <c r="AG87" i="32" s="1"/>
  <c r="AL91" i="28"/>
  <c r="AL90" i="34"/>
  <c r="AD144" i="32"/>
  <c r="AF160" i="32"/>
  <c r="AF35" i="32"/>
  <c r="W116" i="31"/>
  <c r="V116" i="31"/>
  <c r="AD75" i="32"/>
  <c r="Q62" i="32"/>
  <c r="V62" i="32" s="1"/>
  <c r="AG62" i="32" s="1"/>
  <c r="AL119" i="34"/>
  <c r="AL120" i="28"/>
  <c r="AL163" i="28"/>
  <c r="AL161" i="34"/>
  <c r="Q155" i="32"/>
  <c r="V155" i="32" s="1"/>
  <c r="AG155" i="32" s="1"/>
  <c r="AF168" i="32"/>
  <c r="AD45" i="32"/>
  <c r="AL168" i="28"/>
  <c r="AL166" i="34"/>
  <c r="Q177" i="32"/>
  <c r="V177" i="32" s="1"/>
  <c r="AG177" i="32" s="1"/>
  <c r="AL107" i="28"/>
  <c r="Q97" i="32"/>
  <c r="V97" i="32" s="1"/>
  <c r="AE97" i="32" s="1"/>
  <c r="AL106" i="34"/>
  <c r="AF45" i="32"/>
  <c r="AF181" i="32"/>
  <c r="AG134" i="32" l="1"/>
  <c r="AD114" i="32"/>
  <c r="AF114" i="32"/>
  <c r="AG114" i="32"/>
  <c r="AL200" i="18"/>
  <c r="AB200" i="28"/>
  <c r="AG172" i="32"/>
  <c r="AF69" i="32"/>
  <c r="AG192" i="32"/>
  <c r="AG191" i="32"/>
  <c r="AF109" i="32"/>
  <c r="AF124" i="32"/>
  <c r="AF129" i="32"/>
  <c r="AE129" i="32"/>
  <c r="AD129" i="32"/>
  <c r="AE124" i="32"/>
  <c r="AD124" i="32"/>
  <c r="AG54" i="32"/>
  <c r="AF157" i="32"/>
  <c r="AF131" i="32"/>
  <c r="AF95" i="32"/>
  <c r="AF29" i="32"/>
  <c r="AF66" i="32"/>
  <c r="AF176" i="32"/>
  <c r="AF111" i="32"/>
  <c r="AF135" i="32"/>
  <c r="AE9" i="32"/>
  <c r="AD9" i="32"/>
  <c r="AG9" i="32"/>
  <c r="AF91" i="32"/>
  <c r="AE67" i="32"/>
  <c r="AG67" i="32"/>
  <c r="AG94" i="32"/>
  <c r="AG111" i="32"/>
  <c r="AG118" i="32"/>
  <c r="AG113" i="32"/>
  <c r="AG69" i="32"/>
  <c r="AG163" i="32"/>
  <c r="AG131" i="32"/>
  <c r="AG157" i="32"/>
  <c r="AG123" i="32"/>
  <c r="AG101" i="32"/>
  <c r="AG91" i="32"/>
  <c r="AG135" i="32"/>
  <c r="AG107" i="32"/>
  <c r="AG86" i="32"/>
  <c r="AG166" i="32"/>
  <c r="AG97" i="32"/>
  <c r="AE80" i="32"/>
  <c r="AG80" i="32"/>
  <c r="AG85" i="32"/>
  <c r="AG76" i="32"/>
  <c r="AG183" i="32"/>
  <c r="AG112" i="32"/>
  <c r="AG109" i="32"/>
  <c r="AF139" i="32"/>
  <c r="AE139" i="32"/>
  <c r="AF12" i="32"/>
  <c r="AE12" i="32"/>
  <c r="AE134" i="32"/>
  <c r="AF106" i="32"/>
  <c r="AE106" i="32"/>
  <c r="AF87" i="32"/>
  <c r="AE87" i="32"/>
  <c r="AE141" i="32"/>
  <c r="AF174" i="32"/>
  <c r="AE174" i="32"/>
  <c r="AE68" i="32"/>
  <c r="AF88" i="32"/>
  <c r="AE88" i="32"/>
  <c r="AE177" i="32"/>
  <c r="AE14" i="32"/>
  <c r="AE100" i="32"/>
  <c r="AE164" i="32"/>
  <c r="AF21" i="32"/>
  <c r="AE21" i="32"/>
  <c r="AE95" i="32"/>
  <c r="AE62" i="32"/>
  <c r="AE20" i="32"/>
  <c r="AE180" i="32"/>
  <c r="AE25" i="32"/>
  <c r="AE54" i="32"/>
  <c r="AE66" i="32"/>
  <c r="AF136" i="32"/>
  <c r="AE136" i="32"/>
  <c r="AF138" i="32"/>
  <c r="AE138" i="32"/>
  <c r="AF155" i="32"/>
  <c r="AE155" i="32"/>
  <c r="AE172" i="32"/>
  <c r="AE116" i="32"/>
  <c r="AF121" i="32"/>
  <c r="AE121" i="32"/>
  <c r="AF78" i="32"/>
  <c r="AE78" i="32"/>
  <c r="AF150" i="32"/>
  <c r="AE150" i="32"/>
  <c r="AE119" i="32"/>
  <c r="AE29" i="32"/>
  <c r="AE110" i="32"/>
  <c r="AF132" i="32"/>
  <c r="AE132" i="32"/>
  <c r="AE176" i="32"/>
  <c r="AE26" i="32"/>
  <c r="AE191" i="32"/>
  <c r="AF164" i="32"/>
  <c r="AF68" i="32"/>
  <c r="AF26" i="32"/>
  <c r="AF100" i="32"/>
  <c r="AF119" i="32"/>
  <c r="AD135" i="32"/>
  <c r="AD95" i="32"/>
  <c r="AL195" i="34"/>
  <c r="AF191" i="32"/>
  <c r="AD191" i="32"/>
  <c r="AD106" i="32"/>
  <c r="AD26" i="32"/>
  <c r="AD109" i="32"/>
  <c r="AD69" i="32"/>
  <c r="AD111" i="32"/>
  <c r="AD157" i="32"/>
  <c r="AD176" i="32"/>
  <c r="AD91" i="32"/>
  <c r="AF14" i="32"/>
  <c r="AF25" i="32"/>
  <c r="AF110" i="32"/>
  <c r="AF134" i="32"/>
  <c r="AD86" i="32"/>
  <c r="AD166" i="32"/>
  <c r="AD163" i="32"/>
  <c r="AD123" i="32"/>
  <c r="AD54" i="32"/>
  <c r="AD113" i="32"/>
  <c r="AD100" i="32"/>
  <c r="AD119" i="32"/>
  <c r="Q197" i="32"/>
  <c r="AD29" i="32"/>
  <c r="AD85" i="32"/>
  <c r="AD76" i="32"/>
  <c r="AD164" i="32"/>
  <c r="AD107" i="32"/>
  <c r="AF85" i="32"/>
  <c r="AD66" i="32"/>
  <c r="AD62" i="32"/>
  <c r="AD112" i="32"/>
  <c r="AD94" i="32"/>
  <c r="AD172" i="32"/>
  <c r="AD174" i="32"/>
  <c r="V165" i="31"/>
  <c r="W165" i="31"/>
  <c r="AD121" i="32"/>
  <c r="AD68" i="32"/>
  <c r="AF94" i="32"/>
  <c r="AD183" i="32"/>
  <c r="AF172" i="32"/>
  <c r="AD150" i="32"/>
  <c r="AD12" i="32"/>
  <c r="S154" i="32"/>
  <c r="V154" i="32" s="1"/>
  <c r="AL83" i="28"/>
  <c r="AL82" i="34"/>
  <c r="AF76" i="32"/>
  <c r="AD132" i="32"/>
  <c r="AC75" i="32"/>
  <c r="AD177" i="32"/>
  <c r="AD97" i="32"/>
  <c r="AF86" i="32"/>
  <c r="AD87" i="32"/>
  <c r="AD20" i="32"/>
  <c r="AD136" i="32"/>
  <c r="AF97" i="32"/>
  <c r="AD67" i="32"/>
  <c r="AF67" i="32"/>
  <c r="AD101" i="32"/>
  <c r="AF166" i="32"/>
  <c r="AF20" i="32"/>
  <c r="AD25" i="32"/>
  <c r="AD14" i="32"/>
  <c r="AF123" i="32"/>
  <c r="AD118" i="32"/>
  <c r="AD138" i="32"/>
  <c r="AD88" i="32"/>
  <c r="AD131" i="32"/>
  <c r="AF4" i="32"/>
  <c r="AD80" i="32"/>
  <c r="AF80" i="32"/>
  <c r="AF163" i="32"/>
  <c r="AF113" i="32"/>
  <c r="AD21" i="32"/>
  <c r="AF112" i="32"/>
  <c r="AF177" i="32"/>
  <c r="AD155" i="32"/>
  <c r="AD141" i="32"/>
  <c r="AD180" i="32"/>
  <c r="AL84" i="28"/>
  <c r="S142" i="32"/>
  <c r="V142" i="32" s="1"/>
  <c r="AG142" i="32" s="1"/>
  <c r="AL83" i="34"/>
  <c r="AD116" i="32"/>
  <c r="AF101" i="32"/>
  <c r="AF180" i="32"/>
  <c r="AF54" i="32"/>
  <c r="AD78" i="32"/>
  <c r="AD139" i="32"/>
  <c r="AD134" i="32"/>
  <c r="AF118" i="32"/>
  <c r="AF116" i="32"/>
  <c r="AD110" i="32"/>
  <c r="AF183" i="32"/>
  <c r="AF141" i="32"/>
  <c r="AF62" i="32"/>
  <c r="AF107" i="32"/>
  <c r="S186" i="31"/>
  <c r="AL200" i="28" l="1"/>
  <c r="AC197" i="32"/>
  <c r="AG75" i="32"/>
  <c r="AE154" i="32"/>
  <c r="AG154" i="32"/>
  <c r="AE142" i="32"/>
  <c r="V197" i="32"/>
  <c r="AF75" i="32"/>
  <c r="AD154" i="32"/>
  <c r="AF154" i="32"/>
  <c r="AD142" i="32"/>
  <c r="AF142" i="32"/>
  <c r="S197" i="32"/>
  <c r="AD197" i="32" l="1"/>
  <c r="AF197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marnould</author>
  </authors>
  <commentList>
    <comment ref="U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B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Changement de ventilation à compter de 2019 = P50 DNV GL</t>
        </r>
      </text>
    </comment>
    <comment ref="U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U1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3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marnould:07.05.21</t>
        </r>
        <r>
          <rPr>
            <sz val="9"/>
            <color indexed="81"/>
            <rFont val="Tahoma"/>
            <family val="2"/>
          </rPr>
          <t xml:space="preserve">
Vu avec Juliette pour modification du P90 suite débridage acoustique</t>
        </r>
      </text>
    </comment>
    <comment ref="R41" authorId="0" shapeId="0" xr:uid="{00000000-0006-0000-0000-000007000000}">
      <text>
        <r>
          <rPr>
            <b/>
            <sz val="9"/>
            <color indexed="10"/>
            <rFont val="Tahoma"/>
            <family val="2"/>
          </rPr>
          <t>marnould:(13.05.22)</t>
        </r>
        <r>
          <rPr>
            <sz val="9"/>
            <color indexed="10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caractère rouge</t>
        </r>
        <r>
          <rPr>
            <sz val="9"/>
            <color indexed="10"/>
            <rFont val="Tahoma"/>
            <family val="2"/>
          </rPr>
          <t xml:space="preserve"> = utilisation de réel historique et non étude perf.</t>
        </r>
      </text>
    </comment>
    <comment ref="U4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B5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voir dessous tableau commentaire du 01.03.2021</t>
        </r>
      </text>
    </comment>
    <comment ref="U5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5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7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7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7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7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8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8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8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8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9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0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0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1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1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B12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Changement de ventilation à compter de 2019 = P50 DNV GL
</t>
        </r>
        <r>
          <rPr>
            <b/>
            <sz val="9"/>
            <color indexed="81"/>
            <rFont val="Tahoma"/>
            <family val="2"/>
          </rPr>
          <t>marnould (23.02.22)</t>
        </r>
        <r>
          <rPr>
            <sz val="9"/>
            <color indexed="81"/>
            <rFont val="Tahoma"/>
            <family val="2"/>
          </rPr>
          <t xml:space="preserve">
Changement de ventilation à compter de l'année 2022 à la demande de Boris Kasabov</t>
        </r>
      </text>
    </comment>
    <comment ref="U12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B12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Changement de ventilation à compter de 2019 = P50 DNV GL
ATTENTION VENTILATION A MODIFIER POUR 2022</t>
        </r>
      </text>
    </comment>
    <comment ref="U126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U128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35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3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3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40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4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5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13.8 % de la Plane</t>
        </r>
      </text>
    </comment>
    <comment ref="U155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7.3 % de la Plane</t>
        </r>
      </text>
    </comment>
    <comment ref="U15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B16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Changement de ventilation à compter de 2019 = P50 DNV GL
</t>
        </r>
        <r>
          <rPr>
            <b/>
            <sz val="9"/>
            <color indexed="81"/>
            <rFont val="Tahoma"/>
            <family val="2"/>
          </rPr>
          <t>marnould (23.02.22)</t>
        </r>
        <r>
          <rPr>
            <sz val="9"/>
            <color indexed="81"/>
            <rFont val="Tahoma"/>
            <family val="2"/>
          </rPr>
          <t xml:space="preserve">
Changement de ventilation à compter de l'année 2022 à la demande de Boris Kasabov</t>
        </r>
      </text>
    </comment>
    <comment ref="U16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B16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aucune information.
Basée sur MTAR</t>
        </r>
      </text>
    </comment>
    <comment ref="U16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marnould:(03.04.2023)</t>
        </r>
        <r>
          <rPr>
            <sz val="9"/>
            <color indexed="81"/>
            <rFont val="Tahoma"/>
            <family val="2"/>
          </rPr>
          <t xml:space="preserve">
aucune information
Basé sur calcul : 
BN MTAR*23.6 % (Moyenne calculée sur les 3 dernières années)</t>
        </r>
      </text>
    </comment>
    <comment ref="U16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7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  <comment ref="U18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P75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tc={5BFD2A0B-0736-44D3-AFBE-2317BD9FD9D4}</author>
  </authors>
  <commentList>
    <comment ref="J119" authorId="0" shapeId="0" xr:uid="{00000000-0006-0000-01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Montant incorrect, j'ais mis le bon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Aubin EXBRAYAT</author>
    <author>tc={318FE080-FA30-46CD-B7C2-8FFD34ED1C7B}</author>
    <author>Simon CLEMENCEAU</author>
    <author>tc={4DD2F743-71CA-477C-AFC1-62D446C41AAD}</author>
    <author>Melanie SICARD</author>
    <author>tc={799D3171-CFEB-4277-AB92-950BB58EBD2C}</author>
    <author>tc={B5860B9E-B55C-4F40-B6A7-16824173F480}</author>
    <author>Othmane OUTAYEB</author>
    <author>Alejandro YAHUACA</author>
    <author>Aymeric BIGOURDAN</author>
    <author>Stephane ESTRABAUT</author>
    <author>tc={EBC99B74-A18D-499A-9270-CAE71F8183B4}</author>
    <author>Pierre MOUSQUE</author>
    <author>Barbara ATENE</author>
    <author>tc={F2E28B50-0A3C-4C6F-87EB-9B41FCB6CE76}</author>
    <author>tc={7DE664F9-CF36-4D3D-B561-65E7A8A01467}</author>
    <author>Paul FOURDINIER</author>
    <author>tc={29F44ECF-DE2B-4126-AFE3-9071AB0BACD0}</author>
    <author>tc={3C64B821-C045-4EEE-8150-4573670C1DAC}</author>
    <author>tc={C84C13E5-08C4-4501-97EE-BADA548579DD}</author>
    <author>Antoine NEELZ</author>
    <author>tc={CC82E941-C48D-4DB2-95A1-47918D24BAC9}</author>
    <author>tc={39C7D335-7834-49C7-8095-CE39AFAEC09F}</author>
    <author>Sarah Houdusse</author>
    <author>tc={04B5903B-AC72-4899-AADB-E459639E4E73}</author>
    <author>tc={E4D1A257-1D9F-4208-8DE2-50DB615A006A}</author>
    <author>tc={2CBA3A3D-8B00-4CBF-BE65-2F38336CB236}</author>
    <author>tc={B16EAD64-322C-4596-8A48-6C6F54CA68A4}</author>
    <author>tc={64B91DBB-DCEF-45D9-8D96-ED951F3858FD}</author>
    <author>tc={33E9E9FD-99D6-4C57-BC8B-3B67B8C94AC3}</author>
    <author>tc={016C9B14-C0DB-4C54-930F-A1D2094541AA}</author>
    <author>tc={99DEAB4F-989A-46A3-BB73-59547806C08E}</author>
    <author>Bastien Bodoville</author>
    <author>tc={19BF2E62-192C-4CB0-B832-10C146A23883}</author>
    <author>tc={15F50D67-70A6-4F35-950A-FC887B6FADE0}</author>
    <author>Monika ARNOULD</author>
    <author>tc={D9D996B9-271A-430F-802D-02A1B0DA2719}</author>
  </authors>
  <commentList>
    <comment ref="M5" authorId="0" shapeId="0" xr:uid="{00000000-0006-0000-0300-000001000000}">
      <text>
        <r>
          <rPr>
            <sz val="9"/>
            <color theme="1"/>
            <rFont val="Calibri"/>
            <family val="2"/>
            <scheme val="minor"/>
          </rPr>
          <t>Aubin EXBRAYAT:
Mise en place d'un SDA courant année 2023</t>
        </r>
      </text>
    </comment>
    <comment ref="L12" authorId="1" shapeId="0" xr:uid="{00000000-0006-0000-03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plus important que prévu, voir OPEX</t>
      </text>
    </comment>
    <comment ref="L23" authorId="2" shapeId="0" xr:uid="{00000000-0006-0000-0300-000003000000}">
      <text>
        <r>
          <rPr>
            <sz val="9"/>
            <color theme="1"/>
            <rFont val="Calibri"/>
            <family val="2"/>
            <scheme val="minor"/>
          </rPr>
          <t>Simon CLEMENCEAU:
ni bonus ni malus</t>
        </r>
      </text>
    </comment>
    <comment ref="L25" authorId="3" shapeId="0" xr:uid="{00000000-0006-0000-0300-00000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Vestas, en cours d'approbation</t>
      </text>
    </comment>
    <comment ref="L30" authorId="4" shapeId="0" xr:uid="{00000000-0006-0000-0300-000005000000}">
      <text>
        <r>
          <rPr>
            <sz val="9"/>
            <color theme="1"/>
            <rFont val="Calibri"/>
            <family val="2"/>
            <scheme val="minor"/>
          </rPr>
          <t xml:space="preserve">Melanie SICARD:
Mélanie Sicard (18/04/2023) : 
Remboursement RTE de 37 796€ dû à excédent de recette liée aux liaisons transfrontalière, dit "apurement du CRCP" : 37 796e
Remboursement contrat Amon J-1 2022 :  3542e
Remboursement  contrat Amont J-1 2023 : 5819 + 36617 + 2956 + 15792 = 61 186e
</t>
        </r>
      </text>
    </comment>
    <comment ref="J31" authorId="5" shapeId="0" xr:uid="{00000000-0006-0000-0300-00000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Perte bridage acoustique
Réponse :
    Mise à jour de la LE3 avec la production réelle avril. A revoir pour la perte bridage acoustique.
Réponse :
    J'ai remis un pourcentage de perte dans la formule de la case, mais je retombe sur le même résultat.
Réponse :
    c'est bon cette fois la mise à jour est faite. donc chiffre mis en gras</t>
      </text>
    </comment>
    <comment ref="J32" authorId="6" shapeId="0" xr:uid="{00000000-0006-0000-0300-00000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Rectification : 3 mois d'arrêt du parc suite à l'incendie sur la E36
Hypothèse : redémarrage fin juin
-&gt; Par la suite, retirer le productible d'une éolienne</t>
      </text>
    </comment>
    <comment ref="L32" authorId="7" shapeId="0" xr:uid="{00000000-0006-0000-0300-000008000000}">
      <text>
        <r>
          <rPr>
            <sz val="9"/>
            <color theme="1"/>
            <rFont val="Calibri"/>
            <family val="2"/>
            <scheme val="minor"/>
          </rPr>
          <t>Othmane OUTAYEB:
Indemnisation pour le sinistre sur la E36 à rajouter (sur la base du coût de remise en état)
-&gt; Prévoir franchise : Dommages 50K€ et Perte de revenus 2,36 M€ (30 jours)</t>
        </r>
      </text>
    </comment>
    <comment ref="L33" authorId="8" shapeId="0" xr:uid="{00000000-0006-0000-0300-000009000000}">
      <text>
        <r>
          <rPr>
            <sz val="9"/>
            <color theme="1"/>
            <rFont val="Calibri"/>
            <family val="2"/>
            <scheme val="minor"/>
          </rPr>
          <t>Alejandro YAHUACA:
04/05/2023: Remboursement de l'assurance (Fourniture de la pale E06 endommagé par la foudre (189k€), Recycalge de la pale par Suez (40,480 k€), Remplacement de la pale (66k€) moins la franchise (7,5k€) + pertes exploitation 288k€ - franchise 7 jours 13k€ =275k€
04/05/2023:
0€ provisioné en decembre 2022 (-6mois), penalité 2023 estimé à 3k€.</t>
        </r>
      </text>
    </comment>
    <comment ref="L35" authorId="9" shapeId="0" xr:uid="{00000000-0006-0000-0300-00000A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Malus valider avec GE pour l'année 2022</t>
        </r>
      </text>
    </comment>
    <comment ref="L40" authorId="10" shapeId="0" xr:uid="{00000000-0006-0000-0300-00000B000000}">
      <text>
        <r>
          <rPr>
            <sz val="9"/>
            <color theme="1"/>
            <rFont val="Calibri"/>
            <family val="2"/>
            <scheme val="minor"/>
          </rPr>
          <t>Stephane ESTRABAUT:
Claim ENEDIS en cours
Limitation à 4 600kW du 24/05/2022 au 01/09/202 de 8h30 à 18h22.</t>
        </r>
      </text>
    </comment>
    <comment ref="L43" authorId="11" shapeId="0" xr:uid="{00000000-0006-0000-0300-00000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dédommagement claim assurance datant du 12/01/2022 (FRN00013422BM)</t>
      </text>
    </comment>
    <comment ref="L47" authorId="12" shapeId="0" xr:uid="{00000000-0006-0000-0300-00000D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Au 26/04/23 : moins de 6 mois sur l'année contractuelle, pas de calcul de bonus/malus
180k€ : réclamation en cours auprès de Brault 66 suite au sinistre cable de 2022</t>
        </r>
      </text>
    </comment>
    <comment ref="K53" authorId="13" shapeId="0" xr:uid="{00000000-0006-0000-0300-00000E000000}">
      <text>
        <r>
          <rPr>
            <sz val="9"/>
            <color theme="1"/>
            <rFont val="Calibri"/>
            <family val="2"/>
            <scheme val="minor"/>
          </rPr>
          <t xml:space="preserve">Barbara ATENE:
28/04/2023 : Tarif de Saint Papoul égal à 65,80€ et pas à 72,78€
 </t>
        </r>
      </text>
    </comment>
    <comment ref="J55" authorId="10" shapeId="0" xr:uid="{00000000-0006-0000-0300-00000F000000}">
      <text>
        <r>
          <rPr>
            <sz val="9"/>
            <color theme="1"/>
            <rFont val="Calibri"/>
            <family val="2"/>
            <scheme val="minor"/>
          </rPr>
          <t>Stephane ESTRABAUT:
La production devrait être en augmentation par rapport à 2022. SPICA opérationnel Gain de 16% sur les arrêts acoustiques. Par contre des réparations de pâles en cours: turbines WT02 et WT03 en STOP pour 2 mois. WT07 à l'arrêt pour 2 mois: pb transfo
de 17k à 20k</t>
        </r>
      </text>
    </comment>
    <comment ref="L55" authorId="10" shapeId="0" xr:uid="{00000000-0006-0000-0300-000010000000}">
      <text>
        <r>
          <rPr>
            <sz val="9"/>
            <color theme="1"/>
            <rFont val="Calibri"/>
            <family val="2"/>
            <scheme val="minor"/>
          </rPr>
          <t>Stephane ESTRABAUT:
Malus estimé sur 2021-2022 en cours de négociation avec YL et JL Tiscar courant 05/23
Pénalité Coefficient = MIN [((97% - 0,5%) – DMM) * 10 ; 20%]
DMM: Dispo Mesurée
Capé : 20%
Du 01/08 au 31/07</t>
        </r>
      </text>
    </comment>
    <comment ref="L67" authorId="14" shapeId="0" xr:uid="{00000000-0006-0000-0300-00001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Energy Thrust SGRE</t>
      </text>
    </comment>
    <comment ref="J71" authorId="9" shapeId="0" xr:uid="{00000000-0006-0000-0300-000012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1200 MWh de perte de prod pour le MCR de E06 et la réparation de pale de E07</t>
        </r>
      </text>
    </comment>
    <comment ref="L71" authorId="9" shapeId="0" xr:uid="{00000000-0006-0000-0300-000013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Estimation indemnités assurance pour le MCR de E06 (perte de production -30 jours de franchise + cout des réparations 364k€ - 150k€ de franchise) + pénalité de disponibilité contractuelle estimé pour 2022-2023</t>
        </r>
      </text>
    </comment>
    <comment ref="L72" authorId="12" shapeId="0" xr:uid="{00000000-0006-0000-0300-000014000000}">
      <text>
        <r>
          <rPr>
            <sz val="9"/>
            <color theme="1"/>
            <rFont val="Calibri"/>
            <family val="2"/>
            <scheme val="minor"/>
          </rPr>
          <t>Pierre MOUSQUE:
-Estimation du malus Vestas à 105k€ 
(En avril 2023, estimation de la dispo contractuelle Vestas de l'année 2 à 92,65% vs 97
L'année contractuelle 2 va du 08/07/2022 au 07/07/2023)
-Indemnité assurance évalué à 445k€ (Pertes d'exploitation et remboursement dépense) pour le sinistre tête de cable</t>
        </r>
      </text>
    </comment>
    <comment ref="L74" authorId="15" shapeId="0" xr:uid="{00000000-0006-0000-0300-00001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Indemnité assurance suite au sinistre géné. Bonus estimé = bonus réel (4831.60 euros)donc delta = 0</t>
      </text>
    </comment>
    <comment ref="J75" authorId="16" shapeId="0" xr:uid="{00000000-0006-0000-0300-000016000000}">
      <text>
        <r>
          <rPr>
            <sz val="9"/>
            <color theme="1"/>
            <rFont val="Calibri"/>
            <family val="2"/>
            <scheme val="minor"/>
          </rPr>
          <t xml:space="preserve">Paul FOURDINIER:
4 mois réel + 8 mois budget perf corrigé du sillage SARA/Eurowatt -11,9% </t>
        </r>
      </text>
    </comment>
    <comment ref="L76" authorId="17" shapeId="0" xr:uid="{00000000-0006-0000-0300-00001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112539€: Dédommagement claim assurance datant du 15/06/2021 (FRE00098321BM)
40263.31€ de Malus 2022</t>
      </text>
    </comment>
    <comment ref="L77" authorId="18" shapeId="0" xr:uid="{00000000-0006-0000-0300-00001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MaA 26/04/2023
Estimation Malus 2022 : 11072€
Malus réel 2022 : 20383€</t>
      </text>
    </comment>
    <comment ref="L80" authorId="19" shapeId="0" xr:uid="{00000000-0006-0000-03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 bonus, ni malus 2022, pas d'autres produits.</t>
      </text>
    </comment>
    <comment ref="L86" authorId="4" shapeId="0" xr:uid="{00000000-0006-0000-0300-00001A000000}">
      <text>
        <r>
          <rPr>
            <sz val="9"/>
            <color theme="1"/>
            <rFont val="Calibri"/>
            <family val="2"/>
            <scheme val="minor"/>
          </rPr>
          <t>Melanie SICARD:
Melanie SICARD:
Mélanie Sicard 25/04/2023 : 9662€ de Malus prévisionné à Services, finalement 0€</t>
        </r>
      </text>
    </comment>
    <comment ref="K89" authorId="7" shapeId="0" xr:uid="{00000000-0006-0000-0300-00001B000000}">
      <text>
        <r>
          <rPr>
            <sz val="9"/>
            <color theme="1"/>
            <rFont val="Calibri"/>
            <family val="2"/>
            <scheme val="minor"/>
          </rPr>
          <t>Othmane OUTAYEB:
Sortie d'OA en 05/22, tarif rectifié ?
-&gt; Même contrat Agregio que Veulettes</t>
        </r>
      </text>
    </comment>
    <comment ref="L89" authorId="20" shapeId="0" xr:uid="{00000000-0006-0000-0300-00001C000000}">
      <text>
        <r>
          <rPr>
            <sz val="9"/>
            <color theme="1"/>
            <rFont val="Calibri"/>
            <family val="2"/>
            <scheme val="minor"/>
          </rPr>
          <t>Antoine NEELZ:
AnN le 24/04/2023 : 
Malus EDFRS années contractuelles 20-21 (10891,78€) et 21-22 (10945,62€)</t>
        </r>
      </text>
    </comment>
    <comment ref="J90" authorId="21" shapeId="0" xr:uid="{00000000-0006-0000-0300-00001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bridage SDA</t>
      </text>
    </comment>
    <comment ref="L90" authorId="22" shapeId="0" xr:uid="{00000000-0006-0000-0300-00001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Vestas réestimé. Donnée manquante pour cloturer le calcul.</t>
      </text>
    </comment>
    <comment ref="L93" authorId="2" shapeId="0" xr:uid="{00000000-0006-0000-0300-00001F000000}">
      <text>
        <r>
          <rPr>
            <sz val="9"/>
            <color theme="1"/>
            <rFont val="Calibri"/>
            <family val="2"/>
            <scheme val="minor"/>
          </rPr>
          <t>Simon CLEMENCEAU:
ni bonus ni malus</t>
        </r>
      </text>
    </comment>
    <comment ref="K95" authorId="23" shapeId="0" xr:uid="{00000000-0006-0000-0300-000020000000}">
      <text>
        <r>
          <rPr>
            <sz val="9"/>
            <color theme="1"/>
            <rFont val="Calibri"/>
            <family val="2"/>
            <scheme val="minor"/>
          </rPr>
          <t>Sarah Houdusse:
Prix contrat Gazel du 01/23 au 06/23 à 60€
estimation à 100€ pour le deuxième semestre 
--&gt; soit 80€</t>
        </r>
      </text>
    </comment>
    <comment ref="L95" authorId="23" shapeId="0" xr:uid="{00000000-0006-0000-0300-000021000000}">
      <text>
        <r>
          <rPr>
            <sz val="9"/>
            <color theme="1"/>
            <rFont val="Calibri"/>
            <family val="2"/>
            <scheme val="minor"/>
          </rPr>
          <t>Sarah Houdusse:
Pénalité facturé suite à la fin de l'année contractuelle 01/01 -&gt; 31/12 (96,44% -&gt;1640,98€)</t>
        </r>
      </text>
    </comment>
    <comment ref="L97" authorId="24" shapeId="0" xr:uid="{00000000-0006-0000-0300-00002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estimé = malus réel = 40,263.31 euros donc delta = 0 , pas d'autres produits.</t>
      </text>
    </comment>
    <comment ref="J98" authorId="8" shapeId="0" xr:uid="{00000000-0006-0000-0300-000023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04/05/2023: Arrivé d'un bridage chiroptere à partir d'août et jusqu'à septembre, perte estimé de 0,85% de l'AEP</t>
        </r>
      </text>
    </comment>
    <comment ref="L98" authorId="8" shapeId="0" xr:uid="{00000000-0006-0000-0300-000024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05/05/2023: Calcul estimé et proratisé au 31.12 donnant un bonus de : -21 k€ . Calcul final estimé sur la période total de l’année d’exploitation donnant un malus de : +29,5 k€.</t>
        </r>
      </text>
    </comment>
    <comment ref="L102" authorId="25" shapeId="0" xr:uid="{00000000-0006-0000-0300-00002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10065.83€ Malus 2022</t>
      </text>
    </comment>
    <comment ref="L104" authorId="26" shapeId="0" xr:uid="{00000000-0006-0000-0300-00002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Bonus plus faible qu'estimé</t>
      </text>
    </comment>
    <comment ref="L108" authorId="27" shapeId="0" xr:uid="{00000000-0006-0000-0300-00002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Remboursement sinistre (pertes - franchise)</t>
      </text>
    </comment>
    <comment ref="K109" authorId="28" shapeId="0" xr:uid="{00000000-0006-0000-0300-00002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35% spot + 65% * 212,52 avec un prix spot variant entre 112 et 299 selon les données disponibles aujourd'hui</t>
      </text>
    </comment>
    <comment ref="J116" authorId="29" shapeId="0" xr:uid="{00000000-0006-0000-0300-00002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Rectification avec hypothèse de démantèlement en 09/2023 (cf. dernier planning de repowering</t>
      </text>
    </comment>
    <comment ref="J121" authorId="23" shapeId="0" xr:uid="{00000000-0006-0000-0300-00002A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Parc arrêté DEFINITIVEMENT le 27/03/23
Prod exactement produite</t>
        </r>
      </text>
    </comment>
    <comment ref="K121" authorId="23" shapeId="0" xr:uid="{00000000-0006-0000-0300-00002B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Prix spot  </t>
        </r>
      </text>
    </comment>
    <comment ref="J122" authorId="23" shapeId="0" xr:uid="{00000000-0006-0000-0300-00002C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P50 56000 MWh / an</t>
        </r>
      </text>
    </comment>
    <comment ref="L123" authorId="30" shapeId="0" xr:uid="{00000000-0006-0000-0300-00002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49999.29 Malus 2022</t>
      </text>
    </comment>
    <comment ref="L124" authorId="8" shapeId="0" xr:uid="{00000000-0006-0000-0300-00002E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05/05/2023: 0€ provisioné en decembre 2022, penalité 2023 estimé à 163k€.</t>
        </r>
      </text>
    </comment>
    <comment ref="L127" authorId="20" shapeId="0" xr:uid="{00000000-0006-0000-0300-00002F000000}">
      <text>
        <r>
          <rPr>
            <sz val="9"/>
            <color theme="1"/>
            <rFont val="Calibri"/>
            <family val="2"/>
            <scheme val="minor"/>
          </rPr>
          <t>Antoine NEELZ:
AnN le 26/04/2023 :
Diff entre budget 22 (-38730,95) et réel (-42997,63)</t>
        </r>
      </text>
    </comment>
    <comment ref="L128" authorId="10" shapeId="0" xr:uid="{00000000-0006-0000-0300-000030000000}">
      <text>
        <r>
          <rPr>
            <sz val="9"/>
            <color theme="1"/>
            <rFont val="Calibri"/>
            <family val="2"/>
            <scheme val="minor"/>
          </rPr>
          <t>Stephane ESTRABAUT:
Claim en cours ENEDIS
Limitation à 50% du 24/05/2022 au 01/09/202 de 8h30 à 18h22</t>
        </r>
      </text>
    </comment>
    <comment ref="L129" authorId="2" shapeId="0" xr:uid="{00000000-0006-0000-0300-000031000000}">
      <text>
        <r>
          <rPr>
            <sz val="9"/>
            <color theme="1"/>
            <rFont val="Calibri"/>
            <family val="2"/>
            <scheme val="minor"/>
          </rPr>
          <t>Simon CLEMENCEAU:
ni bonus ni malus</t>
        </r>
      </text>
    </comment>
    <comment ref="L131" authorId="31" shapeId="0" xr:uid="{00000000-0006-0000-0300-00003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plus important que prévu, voir OPEX</t>
      </text>
    </comment>
    <comment ref="L136" authorId="2" shapeId="0" xr:uid="{00000000-0006-0000-0300-000033000000}">
      <text>
        <r>
          <rPr>
            <sz val="9"/>
            <color theme="1"/>
            <rFont val="Calibri"/>
            <family val="2"/>
            <scheme val="minor"/>
          </rPr>
          <t>Simon CLEMENCEAU:
NI bonus ni malus</t>
        </r>
      </text>
    </comment>
    <comment ref="L138" authorId="32" shapeId="0" xr:uid="{00000000-0006-0000-0300-000034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Estimation du malus EDF RS pour 2022
</t>
        </r>
      </text>
    </comment>
    <comment ref="L139" authorId="32" shapeId="0" xr:uid="{00000000-0006-0000-0300-000035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Estimation du malus EDF RS pour 2022
</t>
        </r>
      </text>
    </comment>
    <comment ref="J141" authorId="23" shapeId="0" xr:uid="{00000000-0006-0000-0300-000036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Riols E2 à l'arrêt 3 mois potentiellement (-200MWh)
</t>
        </r>
      </text>
    </comment>
    <comment ref="L141" authorId="23" shapeId="0" xr:uid="{00000000-0006-0000-0300-000037000000}">
      <text>
        <r>
          <rPr>
            <sz val="9"/>
            <color theme="1"/>
            <rFont val="Calibri"/>
            <family val="2"/>
            <scheme val="minor"/>
          </rPr>
          <t>Sarah Houdusse:
Provision faite de 20k€ de Bonus en BN-1 
finalement bonus que de 444,78€ 
Soit rééquilibrage = -19,5 de produit</t>
        </r>
      </text>
    </comment>
    <comment ref="L145" authorId="33" shapeId="0" xr:uid="{00000000-0006-0000-0300-00003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2022 40064.32€</t>
      </text>
    </comment>
    <comment ref="J152" authorId="2" shapeId="0" xr:uid="{00000000-0006-0000-0300-000039000000}">
      <text>
        <r>
          <rPr>
            <sz val="9"/>
            <color theme="1"/>
            <rFont val="Calibri"/>
            <family val="2"/>
            <scheme val="minor"/>
          </rPr>
          <t>Simon CLEMENCEAU:
Défaut réseau durant février : j'ai retiré 3 455MWh (en me basant sur production de l'an dernier)
Monika : pas la peine puisque le calcul de la LE3 tient compte de la production réelle sur les 4 premiers mois.</t>
        </r>
      </text>
    </comment>
    <comment ref="M153" authorId="0" shapeId="0" xr:uid="{00000000-0006-0000-0300-00003A000000}">
      <text>
        <r>
          <rPr>
            <sz val="9"/>
            <color theme="1"/>
            <rFont val="Calibri"/>
            <family val="2"/>
            <scheme val="minor"/>
          </rPr>
          <t xml:space="preserve">Aubin EXBRAYAT:
</t>
        </r>
      </text>
    </comment>
    <comment ref="L155" authorId="20" shapeId="0" xr:uid="{00000000-0006-0000-0300-00003B000000}">
      <text>
        <r>
          <rPr>
            <sz val="9"/>
            <color theme="1"/>
            <rFont val="Calibri"/>
            <family val="2"/>
            <scheme val="minor"/>
          </rPr>
          <t>Antoine NEELZ:
AnN le 24/04/2023 : 
Malus EDFRS années contractuelles 2020 (61281,25€) et 2021 (41487,6€)</t>
        </r>
      </text>
    </comment>
    <comment ref="L157" authorId="34" shapeId="0" xr:uid="{00000000-0006-0000-0300-00003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Bonus plus faible que prévu</t>
      </text>
    </comment>
    <comment ref="K163" authorId="13" shapeId="0" xr:uid="{00000000-0006-0000-0300-00003D000000}">
      <text>
        <r>
          <rPr>
            <sz val="9"/>
            <color theme="1"/>
            <rFont val="Calibri"/>
            <family val="2"/>
            <scheme val="minor"/>
          </rPr>
          <t>Barbara ATENE:
28/04/2023 : Tarif de Fendeille égal à 72,78€ et pas à 65,80€</t>
        </r>
      </text>
    </comment>
    <comment ref="J165" authorId="16" shapeId="0" xr:uid="{00000000-0006-0000-0300-00003E000000}">
      <text>
        <r>
          <rPr>
            <sz val="9"/>
            <color theme="1"/>
            <rFont val="Calibri"/>
            <family val="2"/>
            <scheme val="minor"/>
          </rPr>
          <t>Paul FOURDINIER:
Démantelé en aout 2023
4 mois réel + 3mois*3/4WTG*budget perf</t>
        </r>
      </text>
    </comment>
    <comment ref="J170" authorId="16" shapeId="0" xr:uid="{00000000-0006-0000-0300-00003F000000}">
      <text>
        <r>
          <rPr>
            <sz val="9"/>
            <color theme="1"/>
            <rFont val="Calibri"/>
            <family val="2"/>
            <scheme val="minor"/>
          </rPr>
          <t>Paul FOURDINIER:
4mois réel + 8mois P90</t>
        </r>
      </text>
    </comment>
    <comment ref="K171" authorId="10" shapeId="0" xr:uid="{00000000-0006-0000-0300-000040000000}">
      <text>
        <r>
          <rPr>
            <sz val="9"/>
            <color theme="1"/>
            <rFont val="Calibri"/>
            <family val="2"/>
            <scheme val="minor"/>
          </rPr>
          <t>Stephane ESTRABAUT:
Prix Spot 12/22 En augmentation pour 2023</t>
        </r>
      </text>
    </comment>
    <comment ref="K175" authorId="35" shapeId="0" xr:uid="{00000000-0006-0000-0300-000041000000}">
      <text>
        <r>
          <rPr>
            <sz val="9"/>
            <color theme="1"/>
            <rFont val="Calibri"/>
            <family val="2"/>
            <scheme val="minor"/>
          </rPr>
          <t xml:space="preserve">Monika ARNOULD:
93.48 = tarif heure creuse
293.48 = tarif heure pointe
</t>
        </r>
      </text>
    </comment>
    <comment ref="L177" authorId="36" shapeId="0" xr:uid="{00000000-0006-0000-0300-00004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malus estimé= malus réel = 50 329,14 donc delta = 0, pas d'autres produits</t>
      </text>
    </comment>
    <comment ref="L182" authorId="12" shapeId="0" xr:uid="{00000000-0006-0000-0300-000043000000}">
      <text>
        <r>
          <rPr>
            <sz val="9"/>
            <color theme="1"/>
            <rFont val="Calibri"/>
            <family val="2"/>
            <scheme val="minor"/>
          </rPr>
          <t>Pierre MOUSQUE:
Pas de malus prévu pour le contrat Vestas
En 2022 : 160h d'indispo Enedis remboursable (dépassement des engagements) :
  - Juin 2022 : 180,4MWh x 233,11€/MWh = 42k€
  - Octobre et Novembre 2022 : 205,6MWh x 74,8€/Mwh = 15k€
/!\ : estimation des pertes en MWh faite avec RDL, en attente caclul précis par équipe perf
(limitation à 100€/MWh?)--&gt; MODIF SC à 24k€ sur de mande de PM</t>
        </r>
      </text>
    </comment>
    <comment ref="L183" authorId="20" shapeId="0" xr:uid="{00000000-0006-0000-0300-000044000000}">
      <text>
        <r>
          <rPr>
            <sz val="9"/>
            <color theme="1"/>
            <rFont val="Calibri"/>
            <family val="2"/>
            <scheme val="minor"/>
          </rPr>
          <t>Antoine NEELZ:
AnN le 24/04/2023 :
Malus SGRE 2021-22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Aubin EXBRAYAT</author>
    <author>tc={160E24FD-4C51-4F2F-98F3-98E55D6217F8}</author>
    <author>tc={62E665CB-0A10-437F-B865-B66F37C2248E}</author>
    <author>Stephane ESTRABAUT</author>
    <author>tc={4EFF97EB-8A0A-4363-8409-282ED5DE55C0}</author>
    <author>Simon CLEMENCEAU</author>
    <author>Pierre MOUSQUE</author>
    <author>Paul FOURDINIER</author>
    <author>tc={EB0F808B-7070-427F-BC26-484B00229E23}</author>
    <author>tc={D5957B3F-0E75-4C94-A6AF-B810F90DD693}</author>
    <author>tc={AD7C1D2D-EBDF-4C31-9167-5E2D101ED3EC}</author>
    <author>Alejandro YAHUACA</author>
    <author>tc={70A7C429-4407-4D7F-8CC8-9825ED4870D2}</author>
    <author>Sarah Houdusse</author>
    <author>tc={3D77C13A-4B66-432E-A007-EFA65A971ABA}</author>
    <author>ooutayeb</author>
  </authors>
  <commentList>
    <comment ref="M5" authorId="0" shapeId="0" xr:uid="{00000000-0006-0000-0400-000001000000}">
      <text>
        <r>
          <rPr>
            <sz val="9"/>
            <color theme="1"/>
            <rFont val="Calibri"/>
            <family val="2"/>
            <scheme val="minor"/>
          </rPr>
          <t xml:space="preserve">Aubin EXBRAYAT:
Le parc sera équipé d'un SDA </t>
        </r>
      </text>
    </comment>
    <comment ref="J31" authorId="1" shapeId="0" xr:uid="{00000000-0006-0000-04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bridage acoustique + SDA</t>
      </text>
    </comment>
    <comment ref="J32" authorId="2" shapeId="0" xr:uid="{00000000-0006-0000-0400-00000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Pourquoi 35 454 ?
Hypothèse repowering ?
A rectifier car le parc ne sera pas repoweré avant 2026
N.B : retirer la prod de la E36 incendiée</t>
      </text>
    </comment>
    <comment ref="K55" authorId="3" shapeId="0" xr:uid="{00000000-0006-0000-0400-000004000000}">
      <text>
        <r>
          <rPr>
            <sz val="9"/>
            <color theme="1"/>
            <rFont val="Calibri"/>
            <family val="2"/>
            <scheme val="minor"/>
          </rPr>
          <t>Stephane ESTRABAUT:
PPA: 50€/MWh jusqu'à fin 2024</t>
        </r>
      </text>
    </comment>
    <comment ref="K56" authorId="4" shapeId="0" xr:uid="{00000000-0006-0000-0400-00000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PPA RATP prend fin le 31/12/23 ; estimation à 100€/MWh pour 2024</t>
      </text>
    </comment>
    <comment ref="K60" authorId="5" shapeId="0" xr:uid="{00000000-0006-0000-0400-000006000000}">
      <text>
        <r>
          <rPr>
            <sz val="9"/>
            <color theme="1"/>
            <rFont val="Calibri"/>
            <family val="2"/>
            <scheme val="minor"/>
          </rPr>
          <t>Simon CLEMENCEAU:
estimation bn+1 vente sur le marché</t>
        </r>
      </text>
    </comment>
    <comment ref="J72" authorId="6" shapeId="0" xr:uid="{00000000-0006-0000-0400-000007000000}">
      <text>
        <r>
          <rPr>
            <sz val="9"/>
            <color theme="1"/>
            <rFont val="Calibri"/>
            <family val="2"/>
            <scheme val="minor"/>
          </rPr>
          <t>Pierre MOUSQUE:
Avant modif : 31310MWh (d'où vient cette valeur?)
Vu avec Arkolia : Budget JAVI fait sur le P90, c a d  31 288MWh 
En attente validation avec Arkolia du P90 utilisé = 31 050 validé</t>
        </r>
      </text>
    </comment>
    <comment ref="J75" authorId="7" shapeId="0" xr:uid="{00000000-0006-0000-0400-000008000000}">
      <text>
        <r>
          <rPr>
            <sz val="9"/>
            <color theme="1"/>
            <rFont val="Calibri"/>
            <family val="2"/>
            <scheme val="minor"/>
          </rPr>
          <t>Paul FOURDINIER:
rajout des pertes sillages SARA/Eurowatt -11,9%</t>
        </r>
      </text>
    </comment>
    <comment ref="K89" authorId="8" shapeId="0" xr:uid="{00000000-0006-0000-0400-00000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Sortie d'OA en 05/22, tarif rectifié ?
-&gt; Même contrat Agregio que Veulettes</t>
      </text>
    </comment>
    <comment ref="J90" authorId="9" shapeId="0" xr:uid="{00000000-0006-0000-0400-00000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perte SDA</t>
      </text>
    </comment>
    <comment ref="K91" authorId="10" shapeId="0" xr:uid="{00000000-0006-0000-0400-00000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PPA RATP prend fin le 31/12/23 ; estimation à 100</t>
      </text>
    </comment>
    <comment ref="J98" authorId="11" shapeId="0" xr:uid="{00000000-0006-0000-0400-00000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04/05/2023: Arrivé d'un bridage chiroptere à partir d'août et jusqu'à septembre, perte estimé de 0,85% de l'AEP</t>
        </r>
      </text>
    </comment>
    <comment ref="J116" authorId="12" shapeId="0" xr:uid="{00000000-0006-0000-0400-00000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supprimer - remise en service prévue fin 2024 pour le projet de repowering</t>
      </text>
    </comment>
    <comment ref="J121" authorId="13" shapeId="0" xr:uid="{00000000-0006-0000-0400-00000E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Parc Repoweré, nouveau parc Oupia 2</t>
        </r>
      </text>
    </comment>
    <comment ref="K151" authorId="5" shapeId="0" xr:uid="{00000000-0006-0000-0400-00000F000000}">
      <text>
        <r>
          <rPr>
            <sz val="9"/>
            <color theme="1"/>
            <rFont val="Calibri"/>
            <family val="2"/>
            <scheme val="minor"/>
          </rPr>
          <t>Simon CLEMENCEAU:
estimation bn+1 vente sur le marché</t>
        </r>
      </text>
    </comment>
    <comment ref="K161" authorId="14" shapeId="0" xr:uid="{00000000-0006-0000-0400-00001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: le PPA à 45 €/MWh arrive à terme en 12/2023
-&gt; Tarif à ajuster selon hypothèse CEVEA - autour de 150 €/MWh</t>
      </text>
    </comment>
    <comment ref="J167" authorId="7" shapeId="0" xr:uid="{00000000-0006-0000-0400-000011000000}">
      <text>
        <r>
          <rPr>
            <sz val="9"/>
            <color theme="1"/>
            <rFont val="Calibri"/>
            <family val="2"/>
            <scheme val="minor"/>
          </rPr>
          <t>Paul FOURDINIER:
Parc démantelé en aout 2023.</t>
        </r>
      </text>
    </comment>
    <comment ref="J168" authorId="7" shapeId="0" xr:uid="{00000000-0006-0000-0400-000012000000}">
      <text>
        <r>
          <rPr>
            <sz val="9"/>
            <color theme="1"/>
            <rFont val="Calibri"/>
            <family val="2"/>
            <scheme val="minor"/>
          </rPr>
          <t xml:space="preserve">Aymeric BIGOURDAN:
Valeur P50 sur 9 mois (ventilation sans les 3 premier mois car premiers kW prévus 01/03/2024
</t>
        </r>
      </text>
    </comment>
    <comment ref="K168" authorId="7" shapeId="0" xr:uid="{00000000-0006-0000-0400-000013000000}">
      <text>
        <r>
          <rPr>
            <sz val="9"/>
            <color theme="1"/>
            <rFont val="Calibri"/>
            <family val="2"/>
            <scheme val="minor"/>
          </rPr>
          <t>Aymeric BIGOURDAN:
Début au spot</t>
        </r>
      </text>
    </comment>
    <comment ref="J170" authorId="7" shapeId="0" xr:uid="{00000000-0006-0000-0400-000014000000}">
      <text>
        <r>
          <rPr>
            <sz val="9"/>
            <color theme="1"/>
            <rFont val="Calibri"/>
            <family val="2"/>
            <scheme val="minor"/>
          </rPr>
          <t>Paul FOURDINIER:
P90</t>
        </r>
      </text>
    </comment>
    <comment ref="K173" authorId="13" shapeId="0" xr:uid="{00000000-0006-0000-0400-000015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Prime de puissance garantie</t>
        </r>
      </text>
    </comment>
    <comment ref="M173" authorId="13" shapeId="0" xr:uid="{00000000-0006-0000-0400-000016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Prime de puissance garantie</t>
        </r>
      </text>
    </comment>
    <comment ref="K181" authorId="15" shapeId="0" xr:uid="{00000000-0006-0000-0400-000017000000}">
      <text>
        <r>
          <rPr>
            <sz val="9"/>
            <color theme="1"/>
            <rFont val="Calibri"/>
            <family val="2"/>
            <scheme val="minor"/>
          </rPr>
          <t>ooutayeb:
PPA RATP 45€/MWh se termine le 31/12
-&gt; tarif à actualiser selon hypothèse CEVEA (autour de 150 €/MWh)</t>
        </r>
      </text>
    </comment>
    <comment ref="J182" authorId="6" shapeId="0" xr:uid="{00000000-0006-0000-0400-000018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D'où vient la valeur 19562 788MWh ?
Le P90 indiqué dans windga est 17123MWh, et les 2 premières années le budget est fait sur le P90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tc={7004E92E-E9D0-4C64-AD7F-8F29DC3F6155}</author>
    <author>tc={AE479E3B-1301-4149-86B2-A5BB81894377}</author>
    <author>Aubin EXBRAYAT</author>
    <author>tc={93A3F1DA-7457-43CC-8AC1-7B2E3831184A}</author>
    <author>Arthur Broche</author>
    <author>tc={966EE312-192C-477D-A09F-D1993E46DCAE}</author>
    <author>tc={8CAB98FB-7396-4D0D-B5F7-280C5C17D020}</author>
    <author>tc={4E1A3E37-9C2D-4C38-8005-54E80AD973A2}</author>
    <author>tc={A4290253-7DAF-4445-9AFD-12B6E8B36CC8}</author>
    <author>tc={ED1067CA-7BF1-4F03-BB00-2C17358EC227}</author>
    <author>tc={0C73F630-0414-4F58-8A47-4D01A8F34801}</author>
    <author>Antoine NEELZ</author>
    <author>tc={4C871A63-7236-40FA-AEAC-D6BABD84AC4B}</author>
    <author>tc={9383E635-2FD6-48FB-BE79-782931B1E4FC}</author>
    <author>Alejandro YAHUACA</author>
    <author>tc={EBE3F79A-C2F0-45A7-9D72-0F5B6693880F}</author>
    <author>tc={6FB48D85-C159-4E57-8CEF-00AE4F62CF0D}</author>
    <author>tc={9D533CE3-BBD2-480C-9115-51C9465DCE82}</author>
    <author>tc={EB8AF693-C102-47CA-A769-97C1F73D3C66}</author>
    <author>tc={5BCA42BA-0A28-47E5-B30E-B2F48D9B991D}</author>
    <author>tc={B790E991-46CC-4399-B9B5-D2E5F45FB329}</author>
    <author>tc={5B3397B5-C5FB-4459-AD75-6E0061553E9F}</author>
    <author>tc={69AA8F71-8BAC-4D02-9033-6E1B74200184}</author>
    <author>tc={F1BE74C1-A75A-45C3-AD23-E42D75513BF7}</author>
    <author>marnould</author>
    <author>tc={D7D73725-E44C-425C-A1B5-EEF33C164170}</author>
    <author>tc={2EF077DC-5487-447A-9A06-54DCD5FE3679}</author>
    <author>tc={1E670E17-3B18-4B13-BB1A-5CFD5AE797B1}</author>
    <author>tc={A4AC53B1-67A9-44CF-8FC5-3C1151E4E1BB}</author>
    <author>tc={8504D3CE-8842-4EDA-B236-201EFC7E86FD}</author>
    <author>tc={AFC49C39-51C2-480F-B3F8-28AF38A99EAB}</author>
    <author>tc={5F3957C6-B072-47CC-A7CD-DACB975D25EA}</author>
    <author>tc={A1821506-F5EE-40CC-AD2C-CD25CA4E92F2}</author>
    <author>tc={00FDE2B2-EC0A-4C48-B7DA-2AE4A43B13C8}</author>
    <author>tc={AF5FD38B-F042-40F5-B7FA-FA181EA6B8C7}</author>
    <author>tc={F298ECA9-F4AC-41DC-B0B6-465827E87956}</author>
    <author>tc={3D6344F8-5149-44D8-ACAC-3CCAD4B78E1C}</author>
    <author>tc={7180F1EC-C36A-40C0-B89C-40C34ADA3F48}</author>
    <author>tc={07E7883B-23EE-4C87-BD65-CC457B5AA960}</author>
    <author>tc={B870CA99-C0D5-40BC-BD75-CF1A763398CC}</author>
    <author>tc={30E263F3-ABAE-4BD7-86EE-84DD1688A4C8}</author>
    <author>tc={92FCCE08-7746-4962-8346-2772FD6432CD}</author>
    <author>tc={619AA6A2-A809-4B36-97FC-96C9AA388A8E}</author>
    <author>tc={D4329F43-DF85-4D65-9AB5-FF89696DD9CB}</author>
    <author>tc={01419D64-ED1E-4C7F-B218-5650B60471CF}</author>
    <author>tc={099909CA-680E-4CDA-A0F3-4C06A446B30F}</author>
    <author>tc={F0EF0A78-A577-4F6E-BDB0-39E986664EFD}</author>
  </authors>
  <commentList>
    <comment ref="AC6" authorId="0" shapeId="0" xr:uid="{00000000-0006-0000-06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6" authorId="1" shapeId="0" xr:uid="{00000000-0006-0000-06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J10" authorId="2" shapeId="0" xr:uid="{00000000-0006-0000-0600-000003000000}">
      <text>
        <r>
          <rPr>
            <sz val="9"/>
            <color theme="1"/>
            <rFont val="Calibri"/>
            <family val="2"/>
            <scheme val="minor"/>
          </rPr>
          <t>Aubin EXBRAYAT:
Ok PDL 150k / année mais diviser en deux avec WPO</t>
        </r>
      </text>
    </comment>
    <comment ref="S10" authorId="2" shapeId="0" xr:uid="{00000000-0006-0000-0600-000004000000}">
      <text>
        <r>
          <rPr>
            <sz val="9"/>
            <color theme="1"/>
            <rFont val="Calibri"/>
            <family val="2"/>
            <scheme val="minor"/>
          </rPr>
          <t>Aubin EXBRAYAT:
11.5k pour OM SDA</t>
        </r>
      </text>
    </comment>
    <comment ref="V10" authorId="2" shapeId="0" xr:uid="{00000000-0006-0000-0600-000005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G10" authorId="3" shapeId="0" xr:uid="{00000000-0006-0000-0600-00000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PG: suivi mortalité (CERA)</t>
      </text>
    </comment>
    <comment ref="AM10" authorId="2" shapeId="0" xr:uid="{00000000-0006-0000-0600-000007000000}">
      <text>
        <r>
          <rPr>
            <sz val="9"/>
            <color theme="1"/>
            <rFont val="Calibri"/>
            <family val="2"/>
            <scheme val="minor"/>
          </rPr>
          <t xml:space="preserve">Aubin EXBRAYAT:
installation SDA </t>
        </r>
      </text>
    </comment>
    <comment ref="V14" authorId="4" shapeId="0" xr:uid="{00000000-0006-0000-0600-000008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potentiellement reporté car démolition de la cheminée d'Aramon en juin. </t>
        </r>
      </text>
    </comment>
    <comment ref="AC16" authorId="5" shapeId="0" xr:uid="{00000000-0006-0000-0600-00000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6" authorId="6" shapeId="0" xr:uid="{00000000-0006-0000-0600-00000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Faucon crécerellette (Mathieu Garcia) + presta équipement (LPO France) + Commande balise GPS (Interrex)+ suivi Busard et Aigle royal (Biotope)</t>
      </text>
    </comment>
    <comment ref="T18" authorId="7" shapeId="0" xr:uid="{00000000-0006-0000-0600-00000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Sécurisation des portes</t>
      </text>
    </comment>
    <comment ref="V18" authorId="8" shapeId="0" xr:uid="{00000000-0006-0000-0600-00000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Remise en état plateformes SB04 et SB05 + panneau ICPE SB05</t>
      </text>
    </comment>
    <comment ref="W18" authorId="9" shapeId="0" xr:uid="{00000000-0006-0000-0600-00000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Y18" authorId="10" shapeId="0" xr:uid="{00000000-0006-0000-0600-00000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passation satellite</t>
      </text>
    </comment>
    <comment ref="AA25" authorId="4" shapeId="0" xr:uid="{00000000-0006-0000-0600-00000F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 cours avec Mairie de Blauvac</t>
        </r>
      </text>
    </comment>
    <comment ref="AK25" authorId="4" shapeId="0" xr:uid="{00000000-0006-0000-0600-000010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Bonus 2023</t>
        </r>
      </text>
    </comment>
    <comment ref="T46" authorId="11" shapeId="0" xr:uid="{00000000-0006-0000-0600-000011000000}">
      <text>
        <r>
          <rPr>
            <sz val="9"/>
            <color theme="1"/>
            <rFont val="Calibri"/>
            <family val="2"/>
            <scheme val="minor"/>
          </rPr>
          <t>Antoine NEELZ:
AnN le 24/04/2023 : 
Moyenne coûts ENS 2,3,4 2021-22 (hors opé exceptionnelle)</t>
        </r>
      </text>
    </comment>
    <comment ref="V46" authorId="11" shapeId="0" xr:uid="{00000000-0006-0000-0600-000012000000}">
      <text>
        <r>
          <rPr>
            <sz val="9"/>
            <color theme="1"/>
            <rFont val="Calibri"/>
            <family val="2"/>
            <scheme val="minor"/>
          </rPr>
          <t>Antoine NEELZ:
AnN 19/04/2023 : 
700€ entretien végétation</t>
        </r>
      </text>
    </comment>
    <comment ref="W46" authorId="11" shapeId="0" xr:uid="{00000000-0006-0000-0600-000013000000}">
      <text>
        <r>
          <rPr>
            <sz val="9"/>
            <color theme="1"/>
            <rFont val="Calibri"/>
            <family val="2"/>
            <scheme val="minor"/>
          </rPr>
          <t>Antoine NEELZ:
AnN 19/04/2023 : 
15926€ réparations de pales</t>
        </r>
      </text>
    </comment>
    <comment ref="Y46" authorId="11" shapeId="0" xr:uid="{00000000-0006-0000-0600-000014000000}">
      <text>
        <r>
          <rPr>
            <sz val="9"/>
            <color theme="1"/>
            <rFont val="Calibri"/>
            <family val="2"/>
            <scheme val="minor"/>
          </rPr>
          <t>Antoine NEELZ:
AnN 19/04/2023 : 
717€ abonnement communication par satellite</t>
        </r>
      </text>
    </comment>
    <comment ref="AC49" authorId="12" shapeId="0" xr:uid="{00000000-0006-0000-0600-00001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49" authorId="13" shapeId="0" xr:uid="{00000000-0006-0000-0600-00001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M60" authorId="14" shapeId="0" xr:uid="{00000000-0006-0000-0600-000017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Panneaux sur l'E04 et entretien parcelle conventionnée. Fauchage de la végétation sauvage autour des éoliennes et débroussaillage des bandes enherbées (600)
</t>
        </r>
      </text>
    </comment>
    <comment ref="N60" authorId="14" shapeId="0" xr:uid="{00000000-0006-0000-0600-000018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Inspections light des pales x2 à l'année</t>
        </r>
      </text>
    </comment>
    <comment ref="AH61" authorId="15" shapeId="0" xr:uid="{00000000-0006-0000-06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attente devis BE</t>
      </text>
    </comment>
    <comment ref="N62" authorId="11" shapeId="0" xr:uid="{00000000-0006-0000-0600-00001A000000}">
      <text>
        <r>
          <rPr>
            <sz val="9"/>
            <color theme="1"/>
            <rFont val="Calibri"/>
            <family val="2"/>
            <scheme val="minor"/>
          </rPr>
          <t>Antoine NEELZ:
AnN 19/04/2023 : 
12888€ transport et remise en état MB FECA4</t>
        </r>
      </text>
    </comment>
    <comment ref="T62" authorId="11" shapeId="0" xr:uid="{00000000-0006-0000-0600-00001B000000}">
      <text>
        <r>
          <rPr>
            <sz val="9"/>
            <color theme="1"/>
            <rFont val="Calibri"/>
            <family val="2"/>
            <scheme val="minor"/>
          </rPr>
          <t>Antoine NEELZ:
AnN le 24/04/2023 : 
Coûts ENS 2,3,4 2022 (hors opé exceptionnelle)</t>
        </r>
      </text>
    </comment>
    <comment ref="W62" authorId="11" shapeId="0" xr:uid="{00000000-0006-0000-0600-00001C000000}">
      <text>
        <r>
          <rPr>
            <sz val="9"/>
            <color theme="1"/>
            <rFont val="Calibri"/>
            <family val="2"/>
            <scheme val="minor"/>
          </rPr>
          <t>Antoine NEELZ:
AnN 19/04/2023 : 
10000€ réparations de pales</t>
        </r>
      </text>
    </comment>
    <comment ref="V66" authorId="16" shapeId="0" xr:uid="{00000000-0006-0000-0600-00001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V68" authorId="4" shapeId="0" xr:uid="{00000000-0006-0000-0600-00001E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2023</t>
        </r>
      </text>
    </comment>
    <comment ref="P75" authorId="4" shapeId="0" xr:uid="{00000000-0006-0000-0600-00001F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remplacement SCADA</t>
        </r>
      </text>
    </comment>
    <comment ref="Y75" authorId="4" shapeId="0" xr:uid="{00000000-0006-0000-0600-000020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remplacemenet SCADA
</t>
        </r>
      </text>
    </comment>
    <comment ref="M77" authorId="14" shapeId="0" xr:uid="{00000000-0006-0000-0600-000021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Fauchage de la végétation sauvage autour des éoliennes et débroussaillage des bandes enherbées</t>
        </r>
      </text>
    </comment>
    <comment ref="N77" authorId="14" shapeId="0" xr:uid="{00000000-0006-0000-0600-000022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Inspections light des pales x2 à l'année</t>
        </r>
      </text>
    </comment>
    <comment ref="T78" authorId="17" shapeId="0" xr:uid="{00000000-0006-0000-0600-00002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Modification fréquence flashlight</t>
      </text>
    </comment>
    <comment ref="V78" authorId="18" shapeId="0" xr:uid="{00000000-0006-0000-0600-00002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W78" authorId="19" shapeId="0" xr:uid="{00000000-0006-0000-0600-00002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</t>
      </text>
    </comment>
    <comment ref="Z79" authorId="20" shapeId="0" xr:uid="{00000000-0006-0000-0600-00002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Accompagnement géoréférencement + installation batcorder</t>
      </text>
    </comment>
    <comment ref="AC84" authorId="21" shapeId="0" xr:uid="{00000000-0006-0000-0600-00002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84" authorId="22" shapeId="0" xr:uid="{00000000-0006-0000-0600-00002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84" authorId="23" shapeId="0" xr:uid="{00000000-0006-0000-0600-00002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presta Néosolus et ecostudiz + travaux ouverture milieux (SERPE)</t>
      </text>
    </comment>
    <comment ref="J90" authorId="24" shapeId="0" xr:uid="{00000000-0006-0000-0600-00002A00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fin juillet 2023
cf Antoine pour la prolongation</t>
        </r>
      </text>
    </comment>
    <comment ref="V96" authorId="25" shapeId="0" xr:uid="{00000000-0006-0000-0600-00002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géoréférencement des cables</t>
      </text>
    </comment>
    <comment ref="S98" authorId="24" shapeId="0" xr:uid="{00000000-0006-0000-0600-00002C000000}">
      <text>
        <r>
          <rPr>
            <b/>
            <sz val="9"/>
            <color indexed="81"/>
            <rFont val="Tahoma"/>
            <family val="2"/>
          </rPr>
          <t xml:space="preserve">marnould:14.04.2023
</t>
        </r>
        <r>
          <rPr>
            <sz val="9"/>
            <color indexed="81"/>
            <rFont val="Tahoma"/>
            <family val="2"/>
          </rPr>
          <t>Estimation, pas d'info depuis 2021</t>
        </r>
      </text>
    </comment>
    <comment ref="V105" authorId="4" shapeId="0" xr:uid="{00000000-0006-0000-0600-00002D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module </t>
        </r>
      </text>
    </comment>
    <comment ref="T109" authorId="26" shapeId="0" xr:uid="{00000000-0006-0000-0600-00002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batcoder nacelle + sécurisation portes</t>
      </text>
    </comment>
    <comment ref="V109" authorId="27" shapeId="0" xr:uid="{00000000-0006-0000-0600-00002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W109" authorId="28" shapeId="0" xr:uid="{00000000-0006-0000-0600-00003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</t>
      </text>
    </comment>
    <comment ref="S112" authorId="2" shapeId="0" xr:uid="{00000000-0006-0000-0600-000031000000}">
      <text>
        <r>
          <rPr>
            <sz val="9"/>
            <color theme="1"/>
            <rFont val="Calibri"/>
            <family val="2"/>
            <scheme val="minor"/>
          </rPr>
          <t>Aubin EXBRAYAT:
CONTRAT OM SDA</t>
        </r>
      </text>
    </comment>
    <comment ref="V112" authorId="2" shapeId="0" xr:uid="{00000000-0006-0000-0600-000032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C112" authorId="2" shapeId="0" xr:uid="{00000000-0006-0000-0600-000033000000}">
      <text>
        <r>
          <rPr>
            <sz val="9"/>
            <color theme="1"/>
            <rFont val="Calibri"/>
            <family val="2"/>
            <scheme val="minor"/>
          </rPr>
          <t>Aubin EXBRAYAT:
presta addi pour sda (loc..)</t>
        </r>
      </text>
    </comment>
    <comment ref="AM112" authorId="2" shapeId="0" xr:uid="{00000000-0006-0000-0600-000034000000}">
      <text>
        <r>
          <rPr>
            <sz val="9"/>
            <color theme="1"/>
            <rFont val="Calibri"/>
            <family val="2"/>
            <scheme val="minor"/>
          </rPr>
          <t>Aubin EXBRAYAT:
UPGRADE Système SDA?</t>
        </r>
      </text>
    </comment>
    <comment ref="V113" authorId="29" shapeId="0" xr:uid="{00000000-0006-0000-0600-00003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A113" authorId="30" shapeId="0" xr:uid="{00000000-0006-0000-0600-00003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de partenariat Zimming + Repas inauguration</t>
      </text>
    </comment>
    <comment ref="V114" authorId="31" shapeId="0" xr:uid="{00000000-0006-0000-0600-00003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+ 2 panneaux ICPE à changer</t>
      </text>
    </comment>
    <comment ref="AC119" authorId="32" shapeId="0" xr:uid="{00000000-0006-0000-0600-00003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19" authorId="33" shapeId="0" xr:uid="{00000000-0006-0000-0600-00003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19" authorId="34" shapeId="0" xr:uid="{00000000-0006-0000-0600-00003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étude feuille de route DREAL (NEOSOLUS) + travaux ouverture milieux (SERPE)</t>
      </text>
    </comment>
    <comment ref="J126" authorId="24" shapeId="0" xr:uid="{00000000-0006-0000-0600-00003B00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part variable ; à appliquer seulement en cas de dépassement du seuil de production de 47 850 MWh.</t>
        </r>
      </text>
    </comment>
    <comment ref="M126" authorId="14" shapeId="0" xr:uid="{00000000-0006-0000-0600-00003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Fauchage de la végétation sauvage autour des éoliennes et débroussaillage des bandes enherbées</t>
        </r>
      </text>
    </comment>
    <comment ref="AC128" authorId="35" shapeId="0" xr:uid="{00000000-0006-0000-0600-00003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28" authorId="36" shapeId="0" xr:uid="{00000000-0006-0000-0600-00003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28" authorId="37" shapeId="0" xr:uid="{00000000-0006-0000-0600-00003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travaux ouverture milieux (SERPE)</t>
      </text>
    </comment>
    <comment ref="T131" authorId="11" shapeId="0" xr:uid="{00000000-0006-0000-0600-00004000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 
1500€ intervention relance poste (prévisionnel)
</t>
        </r>
      </text>
    </comment>
    <comment ref="V131" authorId="11" shapeId="0" xr:uid="{00000000-0006-0000-0600-000041000000}">
      <text>
        <r>
          <rPr>
            <sz val="9"/>
            <color theme="1"/>
            <rFont val="Calibri"/>
            <family val="2"/>
            <scheme val="minor"/>
          </rPr>
          <t>Antoine NEELZ:
AnN 19/04/2023 : 
4000€ réflexion pistes (prévisionnel)
2776€ grilles de renforcement portes
3932€ entretien végétation
875€ nettoyage plateforme (prévisionnel)</t>
        </r>
      </text>
    </comment>
    <comment ref="W131" authorId="11" shapeId="0" xr:uid="{00000000-0006-0000-0600-00004200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
2400€ inspection semestrielle pales
</t>
        </r>
      </text>
    </comment>
    <comment ref="Y131" authorId="11" shapeId="0" xr:uid="{00000000-0006-0000-0600-000043000000}">
      <text>
        <r>
          <rPr>
            <sz val="9"/>
            <color theme="1"/>
            <rFont val="Calibri"/>
            <family val="2"/>
            <scheme val="minor"/>
          </rPr>
          <t>Antoine NEELZ:
AnN 19/04/2023 : 
717€ abonnement communication par satellite</t>
        </r>
      </text>
    </comment>
    <comment ref="N132" authorId="14" shapeId="0" xr:uid="{00000000-0006-0000-0600-000044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Inspections light des pales x2 à l'année</t>
        </r>
      </text>
    </comment>
    <comment ref="AG140" authorId="38" shapeId="0" xr:uid="{00000000-0006-0000-0600-00004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fonction du bureau d'étude choisi, cf JPA avec mutualisation OUPIA</t>
      </text>
    </comment>
    <comment ref="AG142" authorId="39" shapeId="0" xr:uid="{00000000-0006-0000-0600-00004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allégé potentiel en fin d'été pour vérification bridage ? en fonction des conclusion du rapport VF</t>
      </text>
    </comment>
    <comment ref="J151" authorId="24" shapeId="0" xr:uid="{00000000-0006-0000-0600-00004700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+ variable 0.00633
</t>
        </r>
      </text>
    </comment>
    <comment ref="V151" authorId="11" shapeId="0" xr:uid="{00000000-0006-0000-0600-000048000000}">
      <text>
        <r>
          <rPr>
            <sz val="9"/>
            <color theme="1"/>
            <rFont val="Calibri"/>
            <family val="2"/>
            <scheme val="minor"/>
          </rPr>
          <t>Antoine NEELZ:
AnN 19/04/2023 : 
1600€ entretien végétation
1500€ panneaux ICPE (prévisionnel)</t>
        </r>
      </text>
    </comment>
    <comment ref="X151" authorId="11" shapeId="0" xr:uid="{00000000-0006-0000-0600-000049000000}">
      <text>
        <r>
          <rPr>
            <sz val="9"/>
            <color theme="1"/>
            <rFont val="Calibri"/>
            <family val="2"/>
            <scheme val="minor"/>
          </rPr>
          <t>Antoine NEELZ:
AnN 19/04/2023 : 
Etude acoustique ?</t>
        </r>
      </text>
    </comment>
    <comment ref="K154" authorId="4" shapeId="0" xr:uid="{00000000-0006-0000-0600-00004A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Remplacement du relais de protection Disj. Général</t>
        </r>
      </text>
    </comment>
    <comment ref="K161" authorId="2" shapeId="0" xr:uid="{00000000-0006-0000-0600-00004B000000}">
      <text>
        <r>
          <rPr>
            <sz val="9"/>
            <color theme="1"/>
            <rFont val="Calibri"/>
            <family val="2"/>
            <scheme val="minor"/>
          </rPr>
          <t>Aubin EXBRAYAT:
Travaux sur pale SACU prise en charge SAS</t>
        </r>
      </text>
    </comment>
    <comment ref="V161" authorId="2" shapeId="0" xr:uid="{00000000-0006-0000-0600-00004C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X161" authorId="2" shapeId="0" xr:uid="{00000000-0006-0000-0600-00004D000000}">
      <text>
        <r>
          <rPr>
            <sz val="9"/>
            <color theme="1"/>
            <rFont val="Calibri"/>
            <family val="2"/>
            <scheme val="minor"/>
          </rPr>
          <t>Aubin EXBRAYAT:
Entretien MDM</t>
        </r>
      </text>
    </comment>
    <comment ref="V162" authorId="2" shapeId="0" xr:uid="{00000000-0006-0000-0600-00004E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J163" authorId="24" shapeId="0" xr:uid="{00000000-0006-0000-0600-00004F00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+ variable 0.00792
</t>
        </r>
      </text>
    </comment>
    <comment ref="U163" authorId="11" shapeId="0" xr:uid="{00000000-0006-0000-0600-000050000000}">
      <text>
        <r>
          <rPr>
            <sz val="9"/>
            <color theme="1"/>
            <rFont val="Calibri"/>
            <family val="2"/>
            <scheme val="minor"/>
          </rPr>
          <t>Antoine NEELZ:
AnN 19/04/2023 : 500€ transport MB pour expertise</t>
        </r>
      </text>
    </comment>
    <comment ref="V163" authorId="11" shapeId="0" xr:uid="{00000000-0006-0000-0600-00005100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 1500€ 
prévision entretien végétation </t>
        </r>
      </text>
    </comment>
    <comment ref="T170" authorId="11" shapeId="0" xr:uid="{00000000-0006-0000-0600-000052000000}">
      <text>
        <r>
          <rPr>
            <sz val="9"/>
            <color theme="1"/>
            <rFont val="Calibri"/>
            <family val="2"/>
            <scheme val="minor"/>
          </rPr>
          <t>Antoine NEELZ:
AnN le 24/04/2023 : 
Coûts ENS 2,3,4 2022 (hors opé exceptionnelle)</t>
        </r>
      </text>
    </comment>
    <comment ref="J174" authorId="40" shapeId="0" xr:uid="{00000000-0006-0000-0600-00005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Fin au 31.08.23 ?</t>
      </text>
    </comment>
    <comment ref="Q180" authorId="41" shapeId="0" xr:uid="{00000000-0006-0000-0600-00005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Configuration et remise des clés SCADA</t>
      </text>
    </comment>
    <comment ref="AA180" authorId="42" shapeId="0" xr:uid="{00000000-0006-0000-0600-00005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Amélioration de l'espace public</t>
      </text>
    </comment>
    <comment ref="AH183" authorId="43" shapeId="0" xr:uid="{00000000-0006-0000-0600-00005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étude oiseaux et flore (BIOTOPE)</t>
      </text>
    </comment>
    <comment ref="AC186" authorId="44" shapeId="0" xr:uid="{00000000-0006-0000-0600-00005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86" authorId="45" shapeId="0" xr:uid="{00000000-0006-0000-0600-00005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86" authorId="46" shapeId="0" xr:uid="{00000000-0006-0000-0600-00005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travaux ouverture (SERPE)</t>
      </text>
    </comment>
    <comment ref="T192" authorId="11" shapeId="0" xr:uid="{00000000-0006-0000-0600-00005A000000}">
      <text>
        <r>
          <rPr>
            <sz val="9"/>
            <color theme="1"/>
            <rFont val="Calibri"/>
            <family val="2"/>
            <scheme val="minor"/>
          </rPr>
          <t>Antoine NEELZ:
AnN 19/04/2023 :
1870€ accompagnement SGRE localisation de câbles HTA</t>
        </r>
      </text>
    </comment>
    <comment ref="V192" authorId="11" shapeId="0" xr:uid="{00000000-0006-0000-0600-00005B000000}">
      <text>
        <r>
          <rPr>
            <sz val="9"/>
            <color theme="1"/>
            <rFont val="Calibri"/>
            <family val="2"/>
            <scheme val="minor"/>
          </rPr>
          <t>Antoine NEELZ:
AnN 19/04/2023 : 2600€ Entretien paysager</t>
        </r>
      </text>
    </comment>
    <comment ref="W192" authorId="11" shapeId="0" xr:uid="{00000000-0006-0000-0600-00005C000000}">
      <text>
        <r>
          <rPr>
            <sz val="9"/>
            <color theme="1"/>
            <rFont val="Calibri"/>
            <family val="2"/>
            <scheme val="minor"/>
          </rPr>
          <t>Antoine NEELZ:
AnN 19/04/2023 : 2080€ inspection de pale semestrielle SGRE</t>
        </r>
      </text>
    </comment>
    <comment ref="Y192" authorId="11" shapeId="0" xr:uid="{00000000-0006-0000-0600-00005D000000}">
      <text>
        <r>
          <rPr>
            <sz val="9"/>
            <color theme="1"/>
            <rFont val="Calibri"/>
            <family val="2"/>
            <scheme val="minor"/>
          </rPr>
          <t>Antoine NEELZ:
AnN 19/04/2023 : 8k€ configuration interface IEC par SGRE pour contrôle OCC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marnould</author>
    <author>Simon CLEMENCEAU</author>
  </authors>
  <commentList>
    <comment ref="J12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Oubli de la part variable indiquée en LE3 ; à appliquer seulement en cas de dépassement du seuil de production de 47 850 MWh.</t>
        </r>
      </text>
    </comment>
    <comment ref="S190" authorId="1" shapeId="0" xr:uid="{00000000-0006-0000-0700-000002000000}">
      <text>
        <r>
          <rPr>
            <sz val="9"/>
            <color theme="1"/>
            <rFont val="Calibri"/>
            <family val="2"/>
            <scheme val="minor"/>
          </rPr>
          <t>Simon CLEMENCEAU:
modif car bug ? voir avec monika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tc={04F5B2C8-9706-4813-8E00-D627ADB6ED87}</author>
    <author>tc={C4C4E845-1975-4801-9D02-CDC614F00BDB}</author>
    <author>tc={6ACCA2F9-5A72-4FA2-B136-B814514F1AAD}</author>
    <author>Bastien Bodoville</author>
    <author>tc={FEC31B99-8757-49F0-B0BC-6037EE8DC9E6}</author>
    <author>tc={DD5CB06E-A24E-4D2D-A21A-44D863DE32DB}</author>
    <author>Aymeric BIGOURDAN</author>
    <author>Aubin EXBRAYAT</author>
    <author>tc={37EA075D-7354-49B5-B746-9B0D288E2F8C}</author>
    <author>Barbara ATENE</author>
    <author>tc={EAB08C53-9682-409E-9366-DBEB4D9C43A5}</author>
    <author>tc={E838F8B4-B9AC-42FF-86C9-42680BB20712}</author>
    <author>tc={9ADCFC42-7DD8-4DCF-8493-76F994EC8A42}</author>
    <author>tc={B582F37D-B5B3-4548-8567-92E9555C574A}</author>
    <author>tc={351024B0-113E-4E63-B6B2-C70FF9D4A9C2}</author>
    <author>tc={A0368CF0-91ED-4757-B81E-9E8A45E18E5B}</author>
    <author>Arthur Broche</author>
    <author>Arthur BROCHE</author>
    <author>Joanna REVERSAT</author>
    <author>tc={5AACFB34-4A3F-4D12-BDD0-620873BDC67B}</author>
    <author>Simon CLEMENCEAU</author>
    <author>tc={574CDA47-4A02-40BE-9CE4-16A4ED86ABAE}</author>
    <author>tc={78D1E35F-8722-4489-8D3F-A4146A14A6FE}</author>
    <author>tc={793FC948-A6C8-4449-952A-80B1536989D6}</author>
    <author>tc={82B68283-D345-48B3-A7DC-5E2E42B4CD59}</author>
    <author>tc={36B52CAE-F181-40BC-BDD5-8879778B6F52}</author>
    <author>tc={AE112C69-ADB9-42DC-BFE0-15F0D6A518EE}</author>
    <author>tc={132F7B85-C9F2-4D12-BB8D-140408CA110D}</author>
    <author>tc={D1D463F9-3C99-4611-9329-EB8CF7FAD8C9}</author>
    <author>Olivier DE PESSEMIER</author>
    <author>tc={631ECFF0-A02E-48C6-80BA-25B912E232E0}</author>
    <author>tc={903568C5-CF7D-4D7B-8DC5-F4DF57B430AC}</author>
    <author>tc={DC02F23F-F399-4004-9507-E2A0C390B953}</author>
    <author>tc={C1D7BA60-C3F6-465B-A992-5B1171FB8684}</author>
    <author>tc={EA53E623-2ECD-4C48-99AC-7CAE9622D8C4}</author>
    <author>tc={C3BFF07B-B31C-47A0-AA55-A4237E5BE10F}</author>
    <author>tc={F5CB1E50-5020-4807-B5D8-069B35ACEC4B}</author>
    <author>tc={7497FEB8-D656-4970-B8FE-1FD76DDE0706}</author>
    <author>tc={40071F11-65A3-447B-AB88-784F424EDD17}</author>
    <author>tc={6A846640-D080-470F-AE49-D3D5980F2EC3}</author>
    <author>tc={666DFFDD-C8EA-4728-9967-8BDD360E11A5}</author>
    <author>tc={6037CE0A-8FB7-4A17-A608-048C2670B426}</author>
    <author>tc={7C584C70-C94C-4E20-AF5B-65FD5077D9B4}</author>
    <author>tc={45EC2EF5-0D44-4A6F-A01F-22BF336FA92D}</author>
    <author>tc={6FFB256E-A7EF-42CE-86EC-B4718EECFF5F}</author>
    <author>tc={7E741718-1EBB-4049-8FA5-DEAE20331AD1}</author>
    <author>tc={7886AA51-4185-4697-8507-73FE4CC75F7A}</author>
    <author>tc={D6A40E56-E6E7-46BF-8551-EBADDD2EF0BE}</author>
    <author>tc={C4EEA62D-FED7-4234-861F-30BEA9B1F10D}</author>
    <author>tc={C9C2B450-78D6-4385-9446-089FA0D12B71}</author>
    <author>tc={29FBAE7F-FE98-4288-939E-174B606F7680}</author>
    <author>tc={03D74CC9-3C4A-4181-8851-FFC075F7ECF5}</author>
    <author>Theo CAVEY</author>
    <author>tc={AB6E3E38-911C-4CE6-9FA7-69CDC374BEF9}</author>
    <author>tc={5159EFD5-E160-4F21-899E-884950B406A5}</author>
    <author>tc={FA56AA7A-29D7-47F1-B687-95D1A947F34B}</author>
    <author>tc={4966BC22-282D-4619-85B2-73FB5C4E2430}</author>
    <author>tc={D18E3744-13FE-4377-9386-BE8D8B99D609}</author>
    <author>tc={726FAF2D-91A6-486A-965B-B10B201487E2}</author>
    <author>tc={5AE7F8EE-86B0-4050-B240-80D08DC9660A}</author>
    <author>tc={055D4DC2-15AD-4847-B8E7-F58135EB9B78}</author>
    <author>tc={126A1921-32B2-4976-9658-6D296A5C6981}</author>
    <author>tc={52237AA6-0EE0-4993-86E5-5D2046007145}</author>
    <author>tc={EDAE9733-32F6-4161-8C06-8FA5FD526B10}</author>
    <author>tc={1627BEB9-028C-4E63-B44F-37B4CB5B10A2}</author>
    <author>tc={246B26EE-B521-40F1-86D3-52CF68B728BD}</author>
    <author>tc={EB5DC185-E827-45B5-B7DF-A1F77938E490}</author>
    <author>tc={023A5310-B30C-4830-AF8B-BD7F69B288B6}</author>
    <author>tc={82B8E5ED-A9C1-4D55-B816-A1F77AB44CF7}</author>
    <author>tc={F88ACF1F-B006-467E-B56E-209922E1BB87}</author>
    <author>tc={F1756030-5A32-41D1-9017-A9CA497E73AD}</author>
    <author>tc={C556A092-7840-470F-A3C2-3F1794A92AFC}</author>
    <author>tc={1305662F-9B07-4CE0-9A35-79378CA1A708}</author>
    <author>tc={E33FDE74-8CF7-4739-9D13-C60CEA833E34}</author>
    <author>tc={60EAE526-4C91-44B3-AAC2-577D3DD61D92}</author>
    <author>tc={E1822715-C7E4-46E4-B32A-C48B2873ADDB}</author>
    <author>tc={FAF51A84-E0C5-4497-A140-AC021A000648}</author>
    <author>tc={232F38BA-50EC-4FEB-966F-3D3F060F1102}</author>
    <author>pfourdinier</author>
    <author>Melanie SICARD</author>
    <author>Alejandro YAHUACA</author>
    <author>tc={8F46AC9C-FF89-44FD-94BE-9A79CC411C15}</author>
    <author>tc={AB64BF44-E690-4DAA-B3A6-CB94F3200710}</author>
    <author>Antoine NEELZ</author>
    <author>tc={AF11FE93-7B4F-48CD-A678-A0295B34A95A}</author>
    <author>Stephane Estrabaut</author>
    <author>Stephane ESTRABAUT</author>
    <author>tc={6FE78087-3C3E-4804-96E1-300BB95DE9E9}</author>
    <author>tc={AC285EBE-E121-480A-B619-A8430429E7C2}</author>
    <author>tc={A7BEB626-C261-4BDE-AF0E-8EE50D890F88}</author>
    <author>Sarah Houdusse</author>
    <author>tc={114222A9-A3AE-43E4-A483-72F7900947DE}</author>
    <author>tc={339F5741-EC71-4FB1-B202-521CD0607307}</author>
    <author>tc={CD18C3D4-D6D0-4B4B-85C8-794F8C31FC7A}</author>
    <author>tc={99201B1D-53F0-40B4-BE6C-6CE8ABDB881B}</author>
    <author>tc={B91BE1C3-FAFF-4F43-881A-0B2071D1BFD3}</author>
    <author>Pierre MOUSQUE</author>
    <author>tc={3671A557-BC39-42A5-955F-C1D475760FEC}</author>
    <author>tc={975EE81A-C2DD-49D9-B2DA-DB16E31EF1D5}</author>
    <author>tc={D6A6AECB-24BB-460A-BF36-915533576274}</author>
    <author>tc={F286C861-D4A9-4A18-B832-7EB894034205}</author>
    <author>tc={F1C492DD-B795-47CA-BB2C-CD4D27E1A19B}</author>
    <author>tc={014D4E09-EA90-4E91-957A-2E87FA83EE0D}</author>
    <author>tc={A6F6684B-BCAD-4F44-ADB8-FBC848032285}</author>
    <author>tc={A04669E5-E5CE-410B-B46F-25F35AA5B4B5}</author>
    <author>tc={0C1D8AE2-F470-45A2-8310-2532719CA10A}</author>
    <author>tc={7EA23A47-A94D-4055-8C27-1AE0EDA3EB25}</author>
    <author>tc={3AC04F9E-8549-4C3A-8A6F-D0B56C876DCB}</author>
    <author>tc={88156A7E-BFC6-4C8E-A710-B1BE6CEC84AD}</author>
    <author>tc={9D1E4D7B-3A30-42A7-A7DE-C84F1B331883}</author>
    <author>tc={3C79F404-92FB-4EDA-9D74-F9C6D37858E6}</author>
    <author>tc={78686FC2-26B6-422D-AB5C-53D3A6EEEBC1}</author>
    <author>tc={C5B80435-9508-4A94-8631-A426B1890F3A}</author>
    <author>tc={6B4C74B1-B0F2-4DEB-9FFB-5D926885B62D}</author>
    <author>tc={FB2253F7-9807-45C9-B80A-2E6C0B414EC5}</author>
    <author>tc={55E36E3F-CC24-40FE-AE1E-2331D72ABF98}</author>
    <author>tc={E7709F45-0449-42F7-9A93-5076675F6BFF}</author>
    <author>tc={5D356338-DC41-4649-8706-630156CCD489}</author>
    <author>tc={51C80D81-57D2-4772-8178-432EC77CE8F8}</author>
    <author>tc={7C2E4A35-A4D9-4A9A-AB13-FECCDAEE6C36}</author>
    <author>tc={3055A85F-FF7B-42B0-86FF-41EBD81CEA59}</author>
    <author>tc={ED911F6B-0F3D-410A-89C5-08FDF0EE6200}</author>
    <author>tc={0DE2751F-1C46-46E8-9FC8-C5DC0C3772D8}</author>
    <author>tc={7D7FD625-78AD-410F-BF71-3B4772608E94}</author>
    <author>tc={26913040-36AB-4245-92A7-55B8B1299265}</author>
    <author>tc={DF55FEC4-F6B8-49C3-9E4D-1C42E4D9D080}</author>
    <author>tc={0918EC02-4DCB-4718-85B1-8184066FD5F7}</author>
    <author>tc={D1C75F98-0B7A-4417-A22E-88CF394759CA}</author>
    <author>tc={3FD7BE61-E1A4-43E7-B62F-B461B82B8A47}</author>
    <author>tc={F856378C-7954-4221-88C8-B857B9D3F503}</author>
    <author>tc={222068F6-838D-4824-A8D8-652B2D4C2049}</author>
    <author>tc={B6F2BA35-F863-4DD2-A491-1DAE092E1DF4}</author>
    <author>tc={312BF65B-1CE8-47A7-BA5B-E67B81859839}</author>
    <author>tc={998EA96B-E776-4E89-BBB8-61F4078098E3}</author>
    <author>tc={E5E005BF-4656-4CE8-AE52-62A2818C0BE2}</author>
    <author>tc={16B791C2-1220-4FF1-BDDF-64EB6A559D65}</author>
    <author>tc={23569FB3-5C0C-4B93-BBBA-F950324A499C}</author>
    <author>tc={C59E114E-3BF9-469C-9044-5107EEFEBAD3}</author>
    <author>tc={458669B3-405E-4066-9239-6C23A2DE6104}</author>
    <author>tc={1CFBA3FD-8C89-4D86-8F2D-3B00545A6E9C}</author>
    <author>tc={DFBA3D28-E625-417D-B943-482EFAA87E0E}</author>
    <author>tc={D98E1055-72A7-4165-9063-A0223429426F}</author>
    <author>tc={8521A620-2287-4C8D-B58C-9B44A31E9F2D}</author>
    <author>tc={6E18475A-9FB6-43C3-9856-2B0D91E42A65}</author>
    <author>tc={71FD3245-993F-4DCC-AF05-D72D6380DC40}</author>
    <author>tc={EA16DC66-86DE-401A-969A-86CB91D50C2F}</author>
    <author>tc={ABAE1720-2164-4D39-8BA4-9380A531EBE7}</author>
    <author>tc={522660CE-CA47-434A-898D-0AB939A11801}</author>
    <author>tc={8975C420-E27A-4C9D-94AF-C386A0FC8F3C}</author>
    <author>tc={2F1BA445-68C9-4AD7-BF25-C7C6240804D8}</author>
    <author>tc={5426A591-3AE8-4F5C-8D95-CAE59C85C4F1}</author>
    <author>tc={C345736E-5726-4AFF-AA1E-2999F2757012}</author>
    <author>marnould</author>
    <author>tc={8484EE91-CF95-48C0-B964-24FD261F0409}</author>
    <author>tc={2533CE99-A3F1-4EF1-AAAF-1191AF228D40}</author>
    <author>tc={0D9CC758-EC00-4542-B931-4E0BCAF4BD9B}</author>
    <author>tc={0F164340-D33C-466E-940A-94C1336E62B2}</author>
    <author>tc={7BEE8C93-6969-486B-97AD-F03701C662DD}</author>
    <author>tc={6BB5CB11-74E8-4B69-B5EE-B2E1408AC6EE}</author>
    <author>tc={D3BCDC21-13B1-458E-B66A-02FD8EC29C42}</author>
    <author>tc={D6D90990-D6FC-41EE-9B95-E68B0EDE8369}</author>
    <author>tc={9090D10F-8126-48E4-88DC-994C0667976C}</author>
    <author>tc={A2D25797-B82B-4EB2-9DBD-65D3E8CC1644}</author>
    <author>tc={AB7B81E1-69CF-446E-B3C3-7452F201164F}</author>
    <author>ooutayeb</author>
    <author>tc={CBAB3A6E-F4D1-4289-8F33-9F40E2CD26DA}</author>
    <author>tc={EE4C1D4E-7778-4CA0-AA19-2BDDE870AA74}</author>
    <author>tc={8E5E23C8-7174-4352-90F4-2A20641E61E3}</author>
    <author>tc={EAE6A6E5-5193-4D7F-974B-54B880DDA214}</author>
    <author>tc={721F29B8-6146-43C0-B68F-F4F8430C49A7}</author>
    <author>tc={CFF8BAB2-A38E-422C-8CB1-117EF2737066}</author>
    <author>tc={F568AE70-6CE2-4DCB-8154-329FAD050832}</author>
    <author>tc={824336FB-8142-4831-966C-E29D37A79643}</author>
    <author>tc={5C481985-E0DD-4B68-93AE-415FC1F57CD5}</author>
    <author>tc={65BC1579-1E41-4167-92B6-505888637C0F}</author>
    <author>tc={9693339E-2335-4ADC-B342-22EC2246EDF5}</author>
    <author>Monika ARNOULD</author>
    <author>tc={D71E1579-9A60-4A83-BF17-32ABC11AE546}</author>
    <author>tc={D1E302FF-052B-4000-BF34-4B54810EBB45}</author>
    <author>tc={0379C8AE-C4D7-4A21-86E0-0532495CA45B}</author>
    <author>tc={2CE20C05-F2F2-4335-B179-6C40C178CDB7}</author>
    <author>tc={9CB32929-D9EF-4105-9317-58CCCEEF8008}</author>
    <author>tc={976DB1A1-C1E8-4E0F-82A9-FD54FB1A8B42}</author>
    <author>tc={FA55A99B-AD06-46B7-9198-0CF76E6BFF22}</author>
    <author>tc={E24C1413-6E88-4323-B26E-2C84532E6806}</author>
    <author>tc={A2484A37-3E82-47FC-89A7-CEDE372B9F12}</author>
    <author>tc={2CBC3DC9-0082-4468-9355-A504A888171E}</author>
    <author>tc={F1F0F5F2-EF5B-4D6D-A6F8-A73FBE9EB5C6}</author>
    <author>tc={151F6FB5-4261-4E83-B2C4-7C5A50350017}</author>
    <author>tc={6027DA84-B225-4ABF-B30A-99487B8AAA90}</author>
    <author>tc={CC312CBD-21CC-4087-BB59-AA80AFFF462A}</author>
    <author>tc={C44D6F06-87A9-48D5-855D-F96DA3EE66B2}</author>
    <author>tc={02DF75BD-2F58-4879-9E84-5C25FFC71415}</author>
    <author>tc={CCFD1785-9FB1-4B0C-97A9-961BD312DBDE}</author>
    <author>tc={70ED9108-068C-49DD-8E68-6632F95DEEB9}</author>
    <author>tc={AA1DDFB4-969E-4692-833C-286B8450E3CC}</author>
    <author>tc={55F383AE-5E78-4D40-902B-1ABEB654466C}</author>
    <author>tc={310BC99F-4352-4215-8652-89AE8665E784}</author>
    <author>tc={378619A7-A2F5-4893-AB46-7A11A4F74003}</author>
    <author>tc={708A9C08-398D-484D-B17F-0A71A845940B}</author>
    <author>tc={9D8BB067-9AAD-4FE9-95FB-18046B38562B}</author>
    <author>tc={668D21A9-7465-40D4-982F-9B34763DC5AF}</author>
    <author>tc={B2EB922B-C371-482B-9A5E-B701C0A12C88}</author>
    <author>tc={56C9A543-14FD-4780-85F3-6A6D78166514}</author>
    <author>tc={2E38F58E-4B8D-4D39-A67D-3C4DF3560398}</author>
    <author>tc={1773B0E2-88ED-432D-973B-13100FA64890}</author>
    <author>tc={AF87E63C-FB99-448E-9C2B-0711ADF7F09E}</author>
    <author>tc={4B497606-D544-4E12-94F9-80D0F0BE0196}</author>
    <author>tc={609A1671-73DD-49EE-84CB-8398B48EE7F1}</author>
    <author>tc={E6B8EC64-248C-4419-ADB5-30E95160A1E8}</author>
    <author>tc={A9A2C79F-C553-4357-B415-9AFA99EEE563}</author>
    <author>tc={3597747E-56F3-422F-9BB5-E0770A41E75E}</author>
    <author>tc={FAAAE81A-DDD6-4EF1-A7BB-382113FB0A5D}</author>
    <author>tc={242E4C73-2FD6-433B-B05F-C1514A17B074}</author>
    <author>tc={2446A8EE-6235-4DB0-B18C-B41E0B532C54}</author>
    <author>tc={B88CFB6F-56BF-4B99-8057-307C7F9F2B19}</author>
    <author>tc={7F047A05-7702-40C0-A821-E9ABDBFBD686}</author>
    <author>tc={79E18D4A-EF74-4A42-ABA3-1825CAD108C2}</author>
    <author>tc={046A0235-895D-4D05-B30B-66D02DFCFD82}</author>
    <author>tc={976CB3FA-43F4-4F93-8ECA-E4EB26DCE0EA}</author>
    <author>tc={D7724943-45BF-423C-95C4-1A2E3BA86744}</author>
    <author>tc={419E6E65-86B9-4FCA-8295-EC363C913FDA}</author>
    <author>tc={E7BCCAFD-3ABC-4CC3-90C0-6958BB24AF3F}</author>
    <author>Othmane OUTAYEB</author>
    <author>tc={13EF4356-DA94-4877-AB41-4A4A61F5D467}</author>
    <author>tc={E1948279-5E53-40E8-9EA7-7EF0D3D46E4E}</author>
    <author>tc={F28106CB-2D42-4541-ABDD-EC4105FFB71A}</author>
    <author>tc={E16F77C3-A4CE-4E8A-B615-DA865C738E32}</author>
    <author>tc={02F66C42-B9F2-46B2-AA23-64A2A85FDE21}</author>
    <author>tc={6DC31B30-DFAA-4429-8346-EFB8C4C20B23}</author>
    <author>tc={61416FCA-D669-4869-94B2-18CE429B0482}</author>
    <author>tc={83E08C33-E437-458B-AAA7-0451A124627F}</author>
    <author>tc={875360F9-9E9F-48C8-B494-431B3B6AC3ED}</author>
    <author>tc={BEF7DCA6-86C4-44A8-B248-9746FED51EDB}</author>
    <author>tc={06A919FA-3814-40DA-8A1C-F7FE2A080192}</author>
    <author>tc={39154D3E-7171-4F78-8D20-56D4EE9C9445}</author>
    <author>tc={C6FF803C-4798-4F25-8FCD-F3196457CBAB}</author>
    <author>tc={B8E154F8-EB15-4B94-AF36-D14738BADCFC}</author>
    <author>tc={E6266D23-E0BB-4465-9174-37440B7D5C6C}</author>
    <author>tc={B57E8938-74EB-46DB-8390-CF984F9E90F1}</author>
    <author>tc={4F2D2BFE-80BF-4557-9648-5A0F206ACBC5}</author>
    <author>tc={D2C7288F-5FE4-40B7-AB0F-A062073A8B4C}</author>
    <author>tc={D9AC9EE2-4B83-4535-92F6-D4518A4CF944}</author>
    <author>tc={B1FE0ECF-A4B7-42F8-B732-246D5E21BC61}</author>
    <author>tc={D89E8357-DC7C-40A4-A96B-426863D94419}</author>
    <author>tc={2B963523-533F-4706-A2FC-1EB1C83B4323}</author>
    <author>tc={61AF0D17-7946-4899-889C-7668F7DEC8F4}</author>
    <author>tc={682D7907-92B4-4912-9AFB-6911A53DEB58}</author>
    <author>tc={956AEE52-9933-469A-9F3E-937A7B8EDA75}</author>
    <author>tc={69929152-8FD9-46A5-8EE0-A3337050E466}</author>
    <author>tc={B9F843A6-08B5-4490-8526-71A5713BA7FB}</author>
    <author>tc={BF839287-1052-4C94-85A0-6DA7E15695A9}</author>
    <author>tc={8F405491-FBCB-4DCF-B905-D2F003935CA2}</author>
    <author>tc={AC158D6A-F3C1-4F12-B86A-2841C5410DB5}</author>
    <author>tc={2D21AA23-D9BF-4505-8B4B-E4E13074BC8D}</author>
    <author>tc={84F56D22-2789-4CC1-B6ED-545E7EA17170}</author>
    <author>tc={F8DF0905-EB41-4A20-9D95-221C58021098}</author>
    <author>tc={D513D9E7-94D7-42EB-B41E-1895C8C35D04}</author>
    <author>tc={A70224E4-2558-4FD4-8DA0-E9D608012F07}</author>
    <author>tc={BD58062E-919A-49B3-B9A3-5C285228F486}</author>
    <author>tc={A58B0C2C-D331-405D-AB5C-4A3266390214}</author>
    <author>tc={1EC3D6C9-3E29-4C06-8949-900E47E87A5D}</author>
    <author>tc={CBC1C619-3C4F-4525-9B25-F9506A286E03}</author>
    <author>tc={54B237E6-9B87-4E10-85B4-5AAD5AFD02D9}</author>
    <author>tc={E96F0C8B-2610-4640-919D-337673BB2076}</author>
    <author>tc={057937D5-E729-4AE6-B198-4BA11865E32C}</author>
    <author>tc={B17F62D5-280D-4C32-87DD-E1CC4D052478}</author>
    <author>tc={9B3D8CDD-45C3-465A-AB15-719BE13FA7D9}</author>
    <author>tc={1BEA46C9-1EA1-47E8-AA08-787ED4B52A8A}</author>
    <author>tc={2DBF52F0-D2B4-4D4D-B6FF-318F945137AC}</author>
    <author>tc={7D6E79E8-8FD0-4E14-91E0-FBC5FFE46487}</author>
    <author>tc={AB1D61D2-51F3-46A3-8CC2-DF8583471C1A}</author>
    <author>tc={9110745F-9542-474A-B528-FD6D887953BC}</author>
    <author>tc={52A1C5C0-B478-4A3D-8F84-11112421B69C}</author>
    <author>tc={F1B19D97-494C-4518-AA09-1611C0650340}</author>
    <author>tc={E771BE62-C8C7-46C2-90F3-D5B33F116814}</author>
    <author>tc={B507401F-76AF-4FC8-A4C9-A2DB9B339568}</author>
    <author>tc={A7698568-A89A-4BAB-8329-54FE9ED8F897}</author>
    <author>tc={148D8844-0064-4780-8815-D38F2E9B2472}</author>
    <author>tc={DF186188-4DF6-4DF9-964F-35E20BB11434}</author>
    <author>tc={74E2D240-43F1-455E-A170-18E2D98A9372}</author>
    <author>tc={E2A6F3B4-1DDE-4612-BD4A-D9AF1733F3B4}</author>
    <author>tc={9F7CDAB7-0365-4844-B388-49C4F5CE8FD3}</author>
    <author>tc={9A200B59-EAE7-453C-89A8-528B455F4055}</author>
    <author>tc={375E9102-1864-4C41-96B0-89D8C3A12E9C}</author>
    <author>tc={B957815A-973A-4C45-9E51-0561B751A607}</author>
    <author>tc={0BC9BB3E-00AE-43FF-BD36-F1277A23A411}</author>
    <author>tc={28C76539-455D-4311-B551-71CB2DA85B35}</author>
    <author>tc={4174CA54-99F3-4502-B07A-BBB9E9AF07CD}</author>
    <author>tc={88EBBFBE-D6E2-48CF-BD9F-ED3BA155B31C}</author>
    <author>tc={2556C8AD-9F62-40FA-A136-8307C5D8B71F}</author>
    <author>tc={24551466-6ACE-44BC-8E66-6CFA8D509A0D}</author>
    <author>tc={58891E64-D7FE-40DC-95A5-CA77DBF1F327}</author>
    <author>tc={08F0BE7A-2B31-4A2F-AD5B-09A50903D78C}</author>
    <author>tc={523A09E9-0360-4313-A231-0845B051C1BC}</author>
    <author>tc={9BA08A7A-D3DD-4C9F-A67D-D9C4A0EC1A9C}</author>
    <author>tc={D2EEA6F3-20F4-4559-A7D5-69F74F765DC2}</author>
    <author>tc={D41130BF-8839-430B-8FB4-843F5522FD74}</author>
    <author>tc={EA2A3516-06DD-4977-B1FE-CD7BA0790ADC}</author>
    <author>tc={EAB58536-EB9A-4F73-AAE0-5EC0401D4CB2}</author>
    <author>tc={454E79AB-A218-4042-8D51-9AFFE1192509}</author>
    <author>tc={24752CB7-FD9E-4CE2-8BCD-5E39F3041070}</author>
    <author>tc={AC09CCC3-EC69-4AD3-BCD8-F5CEF7BC9D81}</author>
    <author>tc={0591C0E8-889C-427A-B3F3-CF3C12EB5B58}</author>
    <author>tc={840D5819-19F9-4A47-BE24-ABA36B8574FE}</author>
    <author>tc={21F1CE09-D635-4685-9B24-436173F646D3}</author>
    <author>tc={F0402137-A6CE-4490-96DD-FD6D009D6604}</author>
    <author>tc={7F423A01-22C7-4984-BF85-41205FD54DF2}</author>
    <author>tc={09303039-BD9A-4351-86B7-FE4AECBF7A05}</author>
    <author>tc={4CDA0D05-354B-45BA-9655-4D7F0D178F61}</author>
    <author>tc={E122A857-95FC-4517-BF22-B76699C31346}</author>
    <author>tc={5F2C5A7D-AFD7-493F-AF56-62D9A65F1DF3}</author>
    <author>tc={1EC9108C-60A9-4FD3-A665-BFA34CC49821}</author>
    <author>tc={B39BABF1-C3A8-4198-8819-3A98EE5FFCFB}</author>
    <author>tc={0D2F422D-1520-40FF-B2E0-1EA8F3D649F9}</author>
    <author>tc={A9B2319F-10DD-417D-90D1-71F1C7A436EF}</author>
    <author>tc={9172E688-801A-4F6C-942F-1FE4A9FF4235}</author>
    <author>tc={53CDB842-C07E-440D-9E97-9EB6251D9C0D}</author>
    <author>tc={BC6B3D80-AB22-445A-87E5-CC3DD883D330}</author>
    <author>tc={79B70DDF-4799-4620-9FE8-E14F5F1F1BE9}</author>
    <author>tc={5EF256C3-5068-4396-969E-358FCDC388B8}</author>
    <author>tc={F29DEEC6-6B17-4B41-B568-05F9BA95D6E0}</author>
    <author>tc={3F4BC992-E757-472A-A0C9-DDB92A1E2CC0}</author>
    <author>tc={7539CA08-A0F6-4977-941A-C522ED48AEBB}</author>
    <author>tc={258B1421-FF23-4768-9C0D-6504E3A308C7}</author>
    <author>tc={E1FB409A-461C-45BA-831A-45AC325EE3D5}</author>
    <author>tc={9C0F8D3A-B5B5-4AC7-90DB-0ECB7978F6CA}</author>
    <author>tc={DAB7A7AD-4897-448F-8B9E-7B66E7E57E1D}</author>
    <author>tc={84E8BFC8-016E-47EC-A727-9A5D96DF7AD6}</author>
    <author>tc={5AFABF48-3690-48C9-BD68-A76D68042F95}</author>
    <author>tc={1A8E37BD-055C-43C7-A95B-48C851782D69}</author>
    <author>tc={22983945-096A-41C8-93A6-D174661E79C4}</author>
    <author>tc={B713178D-6ACE-459C-9225-01FA14700625}</author>
    <author>tc={2E0B7E63-A993-479E-B609-49FE91AEBF7B}</author>
    <author>tc={3421726F-A1B7-4CA3-BB1A-D0874FFFCACC}</author>
    <author>tc={23814F94-76F1-497C-A555-0CBC0160403C}</author>
  </authors>
  <commentList>
    <comment ref="V3" authorId="0" shapeId="0" xr:uid="{00000000-0006-0000-08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Attribué à la rénovation de la bergerie cette année. Le batiment, situé sur la pist edu parc, finira par s'éffondrer</t>
      </text>
    </comment>
    <comment ref="AC6" authorId="1" shapeId="0" xr:uid="{00000000-0006-0000-08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6" authorId="2" shapeId="0" xr:uid="{00000000-0006-0000-0800-00000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V7" authorId="3" shapeId="0" xr:uid="{00000000-0006-0000-0800-000004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2250€ essais à la plaque et 1250€ débroussaillage</t>
        </r>
      </text>
    </comment>
    <comment ref="AE8" authorId="4" shapeId="0" xr:uid="{00000000-0006-0000-0800-00000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busard à lancer</t>
      </text>
    </comment>
    <comment ref="AK8" authorId="5" shapeId="0" xr:uid="{00000000-0006-0000-0800-00000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Une fois le montant de l'indemnisation pour le sinistre sur la E36 connu (sur la base du coût de remise en état), prévoir franchise : Dommages 50K€ et Perte de revenus 2,36 M€ (30 jours)</t>
      </text>
    </comment>
    <comment ref="X9" authorId="6" shapeId="0" xr:uid="{00000000-0006-0000-0800-000007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Démentèlement du mât de mesure</t>
        </r>
      </text>
    </comment>
    <comment ref="AK9" authorId="6" shapeId="0" xr:uid="{00000000-0006-0000-0800-000008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Bonus estimer pour 2021-2022 (à confirmer)</t>
        </r>
      </text>
    </comment>
    <comment ref="J10" authorId="7" shapeId="0" xr:uid="{00000000-0006-0000-0800-000009000000}">
      <text>
        <r>
          <rPr>
            <sz val="9"/>
            <color theme="1"/>
            <rFont val="Calibri"/>
            <family val="2"/>
            <scheme val="minor"/>
          </rPr>
          <t>Aubin EXBRAYAT:
Ok PDL 150k / année mais diviser en deux avec WPO</t>
        </r>
      </text>
    </comment>
    <comment ref="P10" authorId="7" shapeId="0" xr:uid="{00000000-0006-0000-0800-00000A000000}">
      <text>
        <r>
          <rPr>
            <sz val="9"/>
            <color theme="1"/>
            <rFont val="Calibri"/>
            <family val="2"/>
            <scheme val="minor"/>
          </rPr>
          <t>Aubin EXBRAYAT:
Aubin EXBRAYAT:
440 € / MW</t>
        </r>
      </text>
    </comment>
    <comment ref="S10" authorId="7" shapeId="0" xr:uid="{00000000-0006-0000-0800-00000B000000}">
      <text>
        <r>
          <rPr>
            <sz val="9"/>
            <color theme="1"/>
            <rFont val="Calibri"/>
            <family val="2"/>
            <scheme val="minor"/>
          </rPr>
          <t>Aubin EXBRAYAT:
11.5k pour OM SDA</t>
        </r>
      </text>
    </comment>
    <comment ref="T10" authorId="7" shapeId="0" xr:uid="{00000000-0006-0000-0800-00000C000000}">
      <text>
        <r>
          <rPr>
            <sz val="9"/>
            <color theme="1"/>
            <rFont val="Calibri"/>
            <family val="2"/>
            <scheme val="minor"/>
          </rPr>
          <t>Aubin EXBRAYAT:
deuxième inspection pale</t>
        </r>
      </text>
    </comment>
    <comment ref="V10" authorId="7" shapeId="0" xr:uid="{00000000-0006-0000-0800-00000D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C10" authorId="7" shapeId="0" xr:uid="{00000000-0006-0000-0800-00000E000000}">
      <text>
        <r>
          <rPr>
            <sz val="9"/>
            <color theme="1"/>
            <rFont val="Calibri"/>
            <family val="2"/>
            <scheme val="minor"/>
          </rPr>
          <t>Aubin EXBRAYAT:
presta addi pour sda (loc..)</t>
        </r>
      </text>
    </comment>
    <comment ref="AG10" authorId="8" shapeId="0" xr:uid="{00000000-0006-0000-0800-00000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PG: suivi mortalité (CERA)</t>
      </text>
    </comment>
    <comment ref="O11" authorId="9" shapeId="0" xr:uid="{00000000-0006-0000-0800-000011000000}">
      <text>
        <r>
          <rPr>
            <sz val="9"/>
            <color theme="1"/>
            <rFont val="Calibri"/>
            <family val="2"/>
            <scheme val="minor"/>
          </rPr>
          <t>Barbara ATENE:
27/04/2023: Protection grilles à réaliser en 2023.</t>
        </r>
      </text>
    </comment>
    <comment ref="Q11" authorId="9" shapeId="0" xr:uid="{00000000-0006-0000-0800-000012000000}">
      <text>
        <r>
          <rPr>
            <sz val="9"/>
            <color theme="1"/>
            <rFont val="Calibri"/>
            <family val="2"/>
            <scheme val="minor"/>
          </rPr>
          <t>Barbara ATENE:
28/04/2023: 1800 € pour visite ministérielle réalisée en février 2023.</t>
        </r>
      </text>
    </comment>
    <comment ref="AK11" authorId="9" shapeId="0" xr:uid="{00000000-0006-0000-0800-000013000000}">
      <text>
        <r>
          <rPr>
            <sz val="9"/>
            <color theme="1"/>
            <rFont val="Calibri"/>
            <family val="2"/>
            <scheme val="minor"/>
          </rPr>
          <t>Barbara ATENE:
28/04/2023: Bonus Année d'exploitation n. 2</t>
        </r>
      </text>
    </comment>
    <comment ref="Z12" authorId="10" shapeId="0" xr:uid="{00000000-0006-0000-0800-00001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V13" authorId="11" shapeId="0" xr:uid="{00000000-0006-0000-0800-00001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Provisions pour reprises diverses (première année d'exploitation)</t>
      </text>
    </comment>
    <comment ref="W13" authorId="12" shapeId="0" xr:uid="{00000000-0006-0000-0800-00001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 light</t>
      </text>
    </comment>
    <comment ref="Y13" authorId="13" shapeId="0" xr:uid="{00000000-0006-0000-0800-00001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Orange</t>
      </text>
    </comment>
    <comment ref="AA13" authorId="14" shapeId="0" xr:uid="{00000000-0006-0000-08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Ancrage</t>
      </text>
    </comment>
    <comment ref="AK13" authorId="15" shapeId="0" xr:uid="{00000000-0006-0000-0800-00001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
Réponse :
    formule bonus + date contractuelle</t>
      </text>
    </comment>
    <comment ref="V14" authorId="16" shapeId="0" xr:uid="{00000000-0006-0000-0800-00001B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potentiellement reporté car démolition de la cheminée d'Aramon en juin. </t>
        </r>
      </text>
    </comment>
    <comment ref="AK14" authorId="17" shapeId="0" xr:uid="{00000000-0006-0000-0800-00001C00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Bonus </t>
        </r>
      </text>
    </comment>
    <comment ref="AH15" authorId="18" shapeId="0" xr:uid="{00000000-0006-0000-0800-00001D000000}">
      <text>
        <r>
          <rPr>
            <sz val="9"/>
            <color theme="1"/>
            <rFont val="Calibri"/>
            <family val="2"/>
            <scheme val="minor"/>
          </rPr>
          <t>Joanna REVERSAT (28/4/23):
 Ce chiffre est basé sur le devis du BE.</t>
        </r>
      </text>
    </comment>
    <comment ref="Q16" authorId="9" shapeId="0" xr:uid="{00000000-0006-0000-0800-00001E000000}">
      <text>
        <r>
          <rPr>
            <sz val="9"/>
            <color theme="1"/>
            <rFont val="Calibri"/>
            <family val="2"/>
            <scheme val="minor"/>
          </rPr>
          <t>Barbara ATENE:
27/04/2023: pour accompagnement levée de réserve (modules à remplacer) à réaliser en 2023.</t>
        </r>
      </text>
    </comment>
    <comment ref="Z17" authorId="19" shapeId="0" xr:uid="{00000000-0006-0000-0800-00001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AA17" authorId="20" shapeId="0" xr:uid="{00000000-0006-0000-0800-000020000000}">
      <text>
        <r>
          <rPr>
            <sz val="9"/>
            <color theme="1"/>
            <rFont val="Calibri"/>
            <family val="2"/>
            <scheme val="minor"/>
          </rPr>
          <t>Simon CLEMENCEAU:
demain la terre</t>
        </r>
      </text>
    </comment>
    <comment ref="AC17" authorId="21" shapeId="0" xr:uid="{00000000-0006-0000-0800-00002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7" authorId="22" shapeId="0" xr:uid="{00000000-0006-0000-0800-00002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Faucon crécerellette (Mathieu Garcia) + presta équipement (LPO France) + Commande balise GPS (Interrex)+ suivi Busard et Aigle royal (Biotope)</t>
      </text>
    </comment>
    <comment ref="J19" authorId="23" shapeId="0" xr:uid="{00000000-0006-0000-0800-00002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WTG avec SGRE et PDL avec INEO</t>
      </text>
    </comment>
    <comment ref="S19" authorId="24" shapeId="0" xr:uid="{00000000-0006-0000-0800-00002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459k€ WTG (sgre) + 9k€ PDL (ineo)</t>
      </text>
    </comment>
    <comment ref="T19" authorId="25" shapeId="0" xr:uid="{00000000-0006-0000-0800-00002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Sécurisation des portes</t>
      </text>
    </comment>
    <comment ref="V19" authorId="26" shapeId="0" xr:uid="{00000000-0006-0000-0800-00002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Remise en état plateformes SB04 et SB05 + panneau ICPE SB05</t>
      </text>
    </comment>
    <comment ref="W19" authorId="27" shapeId="0" xr:uid="{00000000-0006-0000-0800-00002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Y19" authorId="28" shapeId="0" xr:uid="{00000000-0006-0000-0800-00002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passation satellite</t>
      </text>
    </comment>
    <comment ref="O20" authorId="29" shapeId="0" xr:uid="{00000000-0006-0000-0800-00002A000000}">
      <text>
        <r>
          <rPr>
            <sz val="9"/>
            <color theme="1"/>
            <rFont val="Calibri"/>
            <family val="2"/>
            <scheme val="minor"/>
          </rPr>
          <t>Olivier DE PESSEMIER:
MDM en veille</t>
        </r>
      </text>
    </comment>
    <comment ref="P20" authorId="29" shapeId="0" xr:uid="{00000000-0006-0000-0800-00002B00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W20" authorId="29" shapeId="0" xr:uid="{00000000-0006-0000-0800-00002C000000}">
      <text>
        <r>
          <rPr>
            <sz val="9"/>
            <color theme="1"/>
            <rFont val="Calibri"/>
            <family val="2"/>
            <scheme val="minor"/>
          </rPr>
          <t>Olivier DE PESSEMIER:
Controles reglementaires:
6x1.2 k€</t>
        </r>
      </text>
    </comment>
    <comment ref="AE20" authorId="30" shapeId="0" xr:uid="{00000000-0006-0000-0800-00002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Milan royal suite collision</t>
      </text>
    </comment>
    <comment ref="AF20" authorId="31" shapeId="0" xr:uid="{00000000-0006-0000-0800-00002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nacelle pour évaluer efficacité du plan</t>
      </text>
    </comment>
    <comment ref="AG20" authorId="32" shapeId="0" xr:uid="{00000000-0006-0000-0800-00002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 pour évaluer efficacité du plan</t>
      </text>
    </comment>
    <comment ref="O21" authorId="33" shapeId="0" xr:uid="{00000000-0006-0000-0800-00003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mât</t>
      </text>
    </comment>
    <comment ref="V21" authorId="34" shapeId="0" xr:uid="{00000000-0006-0000-0800-00003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Z21" authorId="35" shapeId="0" xr:uid="{00000000-0006-0000-0800-00003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plainte riverain cable elec - délimitation parcelle + frais huissier
Réponse :
    5280€ géoréférencement réseaux HTA</t>
      </text>
    </comment>
    <comment ref="AK21" authorId="36" shapeId="0" xr:uid="{00000000-0006-0000-0800-00003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prévu (pour les deux parcs BTS 1 et 2) 86000 vs bonus réel 91718 donc delta 5718</t>
      </text>
    </comment>
    <comment ref="X22" authorId="37" shapeId="0" xr:uid="{00000000-0006-0000-0800-00003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mât</t>
      </text>
    </comment>
    <comment ref="Z22" authorId="38" shapeId="0" xr:uid="{00000000-0006-0000-0800-00003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Reparation transfo BTS2</t>
      </text>
    </comment>
    <comment ref="P23" authorId="39" shapeId="0" xr:uid="{00000000-0006-0000-0800-00003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+ retrofit PDL reboot distant</t>
      </text>
    </comment>
    <comment ref="S23" authorId="40" shapeId="0" xr:uid="{00000000-0006-0000-0800-00003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Augmentation du contrat en année 3</t>
      </text>
    </comment>
    <comment ref="T23" authorId="41" shapeId="0" xr:uid="{00000000-0006-0000-0800-00003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Réparation serrures + pose american lock</t>
      </text>
    </comment>
    <comment ref="V23" authorId="42" shapeId="0" xr:uid="{00000000-0006-0000-0800-00003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Fourniture + pose barrière + sécurisation plateforme 6</t>
      </text>
    </comment>
    <comment ref="W23" authorId="43" shapeId="0" xr:uid="{00000000-0006-0000-0800-00003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 light</t>
      </text>
    </comment>
    <comment ref="AA23" authorId="44" shapeId="0" xr:uid="{00000000-0006-0000-0800-00003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Budget ancrage + chèques énergie (esitmation)
Réponse :
    cheque energie en mesure compensatoire</t>
      </text>
    </comment>
    <comment ref="AI23" authorId="20" shapeId="0" xr:uid="{00000000-0006-0000-0800-00003D000000}">
      <text>
        <r>
          <rPr>
            <sz val="9"/>
            <color theme="1"/>
            <rFont val="Calibri"/>
            <family val="2"/>
            <scheme val="minor"/>
          </rPr>
          <t>Simon CLEMENCEAU:
Chèque énergie</t>
        </r>
      </text>
    </comment>
    <comment ref="AK23" authorId="45" shapeId="0" xr:uid="{00000000-0006-0000-0800-00003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</t>
      </text>
    </comment>
    <comment ref="J24" authorId="46" shapeId="0" xr:uid="{00000000-0006-0000-0800-00003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98k€/an</t>
      </text>
    </comment>
    <comment ref="Q24" authorId="47" shapeId="0" xr:uid="{00000000-0006-0000-0800-00004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Luxel : scope de maintenance n'est pas le meme que le contrat cadre (15%)</t>
      </text>
    </comment>
    <comment ref="AH24" authorId="18" shapeId="0" xr:uid="{00000000-0006-0000-0800-000041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du BE</t>
        </r>
      </text>
    </comment>
    <comment ref="T25" authorId="6" shapeId="0" xr:uid="{00000000-0006-0000-0800-000042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Réparation de pale (qui devait ce faire en 2022)
</t>
        </r>
      </text>
    </comment>
    <comment ref="X25" authorId="6" shapeId="0" xr:uid="{00000000-0006-0000-0800-000043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Démentèlement du mât de mesure</t>
        </r>
      </text>
    </comment>
    <comment ref="AE25" authorId="18" shapeId="0" xr:uid="{00000000-0006-0000-0800-000044000000}">
      <text>
        <r>
          <rPr>
            <sz val="9"/>
            <color theme="1"/>
            <rFont val="Calibri"/>
            <family val="2"/>
            <scheme val="minor"/>
          </rPr>
          <t>Joanna REVERSAT (28/4/23):
Reliquat 2022, basé sur la facture de LPO Alsace</t>
        </r>
      </text>
    </comment>
    <comment ref="AI25" authorId="18" shapeId="0" xr:uid="{00000000-0006-0000-0800-000045000000}">
      <text>
        <r>
          <rPr>
            <sz val="9"/>
            <color theme="1"/>
            <rFont val="Calibri"/>
            <family val="2"/>
            <scheme val="minor"/>
          </rPr>
          <t>Joanna REVERSAT (28/4/23) :
Reliquat 2022, basé sur les devis de Prosovaga (gites chauves-souris)</t>
        </r>
      </text>
    </comment>
    <comment ref="AK25" authorId="6" shapeId="0" xr:uid="{00000000-0006-0000-0800-000046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Bonus estimer pour 2021-2022 (à confirmer), mais déjà estimé fin 2022</t>
        </r>
      </text>
    </comment>
    <comment ref="AA26" authorId="16" shapeId="0" xr:uid="{00000000-0006-0000-0800-000048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 cours avec Mairie de Blauvac</t>
        </r>
      </text>
    </comment>
    <comment ref="AK26" authorId="16" shapeId="0" xr:uid="{00000000-0006-0000-0800-000049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Bonus 2023</t>
        </r>
      </text>
    </comment>
    <comment ref="P28" authorId="9" shapeId="0" xr:uid="{00000000-0006-0000-0800-00004A000000}">
      <text>
        <r>
          <rPr>
            <sz val="9"/>
            <color theme="1"/>
            <rFont val="Calibri"/>
            <family val="2"/>
            <scheme val="minor"/>
          </rPr>
          <t>Barbara ATENE:
27/04/2023: Remplacement du serveur PI &amp; Firewall réalisé en début 2023</t>
        </r>
      </text>
    </comment>
    <comment ref="V28" authorId="9" shapeId="0" xr:uid="{00000000-0006-0000-0800-00004B000000}">
      <text>
        <r>
          <rPr>
            <sz val="9"/>
            <color theme="1"/>
            <rFont val="Calibri"/>
            <family val="2"/>
            <scheme val="minor"/>
          </rPr>
          <t>Barbara ATENE:
28/04/2023: Nettoyage modules programmé pour septembre 2023 (Voltnet).</t>
        </r>
      </text>
    </comment>
    <comment ref="AK28" authorId="9" shapeId="0" xr:uid="{00000000-0006-0000-0800-00004C000000}">
      <text>
        <r>
          <rPr>
            <sz val="9"/>
            <color theme="1"/>
            <rFont val="Calibri"/>
            <family val="2"/>
            <scheme val="minor"/>
          </rPr>
          <t>Barbara ATENE:
28/04/2023: Bonus Année d'exploitation n. 12</t>
        </r>
      </text>
    </comment>
    <comment ref="Q30" authorId="48" shapeId="0" xr:uid="{00000000-0006-0000-0800-00004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3272€ d'installation gastop</t>
      </text>
    </comment>
    <comment ref="Z30" authorId="49" shapeId="0" xr:uid="{00000000-0006-0000-0800-00004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2730€ géoréférencement réseaux HTA</t>
      </text>
    </comment>
    <comment ref="Q31" authorId="50" shapeId="0" xr:uid="{00000000-0006-0000-0800-00005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6510€ d'installation compteur particules</t>
      </text>
    </comment>
    <comment ref="V31" authorId="51" shapeId="0" xr:uid="{00000000-0006-0000-0800-00005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J32" authorId="52" shapeId="0" xr:uid="{00000000-0006-0000-0800-000052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contrat cadre</t>
        </r>
      </text>
    </comment>
    <comment ref="W32" authorId="52" shapeId="0" xr:uid="{00000000-0006-0000-0800-000053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5*1,2k controles reg</t>
        </r>
      </text>
    </comment>
    <comment ref="AF32" authorId="53" shapeId="0" xr:uid="{00000000-0006-0000-0800-00005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activité 2023 suite aux résultats 2022</t>
      </text>
    </comment>
    <comment ref="AG32" authorId="54" shapeId="0" xr:uid="{00000000-0006-0000-0800-00005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mortalité 2023 suite aux résultats 2022</t>
      </text>
    </comment>
    <comment ref="AI32" authorId="55" shapeId="0" xr:uid="{00000000-0006-0000-0800-00005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des mesures compensatoires + travaux d'ouvertures</t>
      </text>
    </comment>
    <comment ref="T33" authorId="56" shapeId="0" xr:uid="{00000000-0006-0000-0800-00005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33" authorId="57" shapeId="0" xr:uid="{00000000-0006-0000-0800-00005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7,2k€</t>
      </text>
    </comment>
    <comment ref="W33" authorId="58" shapeId="0" xr:uid="{00000000-0006-0000-0800-00005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drone1,9k€
- inspection électrique apave 1,2k€ suite vol</t>
      </text>
    </comment>
    <comment ref="Z33" authorId="59" shapeId="0" xr:uid="{00000000-0006-0000-0800-00005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33" authorId="60" shapeId="0" xr:uid="{00000000-0006-0000-0800-00005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V34" authorId="61" shapeId="0" xr:uid="{00000000-0006-0000-0800-00005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Végétation + Réfection chemin</t>
      </text>
    </comment>
    <comment ref="W34" authorId="62" shapeId="0" xr:uid="{00000000-0006-0000-0800-00005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V35" authorId="63" shapeId="0" xr:uid="{00000000-0006-0000-0800-00005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Z35" authorId="64" shapeId="0" xr:uid="{00000000-0006-0000-0800-00006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Soudure des marches d'escaliers</t>
      </text>
    </comment>
    <comment ref="P36" authorId="29" shapeId="0" xr:uid="{00000000-0006-0000-0800-00006100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AB36" authorId="65" shapeId="0" xr:uid="{00000000-0006-0000-0800-00006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T37" authorId="66" shapeId="0" xr:uid="{00000000-0006-0000-0800-00006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37" authorId="67" shapeId="0" xr:uid="{00000000-0006-0000-0800-00006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7,2k€</t>
      </text>
    </comment>
    <comment ref="W37" authorId="68" shapeId="0" xr:uid="{00000000-0006-0000-0800-00006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drone1,9k€
- inspection électrique apave 1,2k€ suite vol</t>
      </text>
    </comment>
    <comment ref="Z37" authorId="69" shapeId="0" xr:uid="{00000000-0006-0000-0800-00006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37" authorId="70" shapeId="0" xr:uid="{00000000-0006-0000-0800-00006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V38" authorId="71" shapeId="0" xr:uid="{00000000-0006-0000-0800-00006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Installation clôture parc</t>
      </text>
    </comment>
    <comment ref="AH39" authorId="72" shapeId="0" xr:uid="{00000000-0006-0000-0800-00006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enviro, budget SEE sous-estimé</t>
      </text>
    </comment>
    <comment ref="W40" authorId="73" shapeId="0" xr:uid="{00000000-0006-0000-0800-00006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Z40" authorId="74" shapeId="0" xr:uid="{00000000-0006-0000-0800-00006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ALEA = 500*NbMW
Réponse :
    et double étude acoustique</t>
      </text>
    </comment>
    <comment ref="AF40" authorId="75" shapeId="0" xr:uid="{00000000-0006-0000-0800-00006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nacelle AP</t>
      </text>
    </comment>
    <comment ref="AG40" authorId="76" shapeId="0" xr:uid="{00000000-0006-0000-0800-00006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 AP + complément pour évaluer plan chiro</t>
      </text>
    </comment>
    <comment ref="AK40" authorId="77" shapeId="0" xr:uid="{00000000-0006-0000-0800-00006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Vestas</t>
      </text>
    </comment>
    <comment ref="K41" authorId="78" shapeId="0" xr:uid="{00000000-0006-0000-0800-00006F000000}">
      <text>
        <r>
          <rPr>
            <b/>
            <sz val="9"/>
            <color indexed="81"/>
            <rFont val="Tahoma"/>
            <family val="2"/>
          </rPr>
          <t>pfourdinier:</t>
        </r>
        <r>
          <rPr>
            <sz val="9"/>
            <color indexed="81"/>
            <rFont val="Tahoma"/>
            <family val="2"/>
          </rPr>
          <t xml:space="preserve">
-43k€ previsionnel Antony -50k€ support ST PDL -39k€/an inspections annuelles LPS</t>
        </r>
      </text>
    </comment>
    <comment ref="N41" authorId="79" shapeId="0" xr:uid="{00000000-0006-0000-0800-000070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inspections fissures fondations</t>
        </r>
      </text>
    </comment>
    <comment ref="O41" authorId="79" shapeId="0" xr:uid="{00000000-0006-0000-0800-000071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forfait DI pour 1 mât de mesure (Chivres). Le mat de Machecourt a été démonté. </t>
        </r>
      </text>
    </comment>
    <comment ref="P41" authorId="79" shapeId="0" xr:uid="{00000000-0006-0000-0800-000072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forfait annuel RDL pour 2023 : 440€/MW</t>
        </r>
      </text>
    </comment>
    <comment ref="T41" authorId="79" shapeId="0" xr:uid="{00000000-0006-0000-0800-000073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remplacement escalier volé E11</t>
        </r>
      </text>
    </comment>
    <comment ref="V41" authorId="79" shapeId="0" xr:uid="{00000000-0006-0000-0800-000074000000}">
      <text>
        <r>
          <rPr>
            <sz val="9"/>
            <color theme="1"/>
            <rFont val="Calibri"/>
            <family val="2"/>
            <scheme val="minor"/>
          </rPr>
          <t xml:space="preserve">Mélanie Sicard (17/04/2023) : 
- Débroussaillage (4425)
- Estimation entretien haies de mesures compensatoires (3ke)
</t>
        </r>
      </text>
    </comment>
    <comment ref="W41" authorId="79" shapeId="0" xr:uid="{00000000-0006-0000-0800-000075000000}">
      <text>
        <r>
          <rPr>
            <sz val="9"/>
            <color theme="1"/>
            <rFont val="Calibri"/>
            <family val="2"/>
            <scheme val="minor"/>
          </rPr>
          <t>Mélanie Sicard (17/04/2023) : montant annuel pour la convention de levée de doute givre</t>
        </r>
      </text>
    </comment>
    <comment ref="X41" authorId="79" shapeId="0" xr:uid="{00000000-0006-0000-0800-000076000000}">
      <text>
        <r>
          <rPr>
            <sz val="9"/>
            <color theme="1"/>
            <rFont val="Calibri"/>
            <family val="2"/>
            <scheme val="minor"/>
          </rPr>
          <t>Melanie SICARD:
Entretient du mat météo (considérant que cela inclut la commande d'entretient des capteurs à 1728€)</t>
        </r>
      </text>
    </comment>
    <comment ref="Y41" authorId="79" shapeId="0" xr:uid="{00000000-0006-0000-0800-000077000000}">
      <text>
        <r>
          <rPr>
            <sz val="9"/>
            <color theme="1"/>
            <rFont val="Calibri"/>
            <family val="2"/>
            <scheme val="minor"/>
          </rPr>
          <t>Mélanie Sicard (24/04/2022) : montant annuel payé pour CLIR (soft pour calcul des KPIs afin de les comparer avec RDL) 21900€ au pro rata jusqu'à juillet = 12775€</t>
        </r>
      </text>
    </comment>
    <comment ref="AA41" authorId="79" shapeId="0" xr:uid="{00000000-0006-0000-0800-000078000000}">
      <text>
        <r>
          <rPr>
            <sz val="9"/>
            <color theme="1"/>
            <rFont val="Calibri"/>
            <family val="2"/>
            <scheme val="minor"/>
          </rPr>
          <t>Melanie SICARD:
Traiteur inauguration parc paysager machecourt (1500€, pas encore figé)</t>
        </r>
      </text>
    </comment>
    <comment ref="AI41" authorId="79" shapeId="0" xr:uid="{00000000-0006-0000-0800-000079000000}">
      <text>
        <r>
          <rPr>
            <sz val="9"/>
            <color theme="1"/>
            <rFont val="Calibri"/>
            <family val="2"/>
            <scheme val="minor"/>
          </rPr>
          <t>Mélanie Sicard (23/04/2022): 
Replantation de haies, suite à sècheresse et mort des plants initiaux pour mesure compensatoire  (20ke)</t>
        </r>
      </text>
    </comment>
    <comment ref="AK41" authorId="79" shapeId="0" xr:uid="{00000000-0006-0000-0800-00007A000000}">
      <text>
        <r>
          <rPr>
            <sz val="9"/>
            <color theme="1"/>
            <rFont val="Calibri"/>
            <family val="2"/>
            <scheme val="minor"/>
          </rPr>
          <t>Melanie SICARD:
- Malus O&amp;M Services provisionné en décembre 2022 à 281 169.13€, finalement Bonus/Malus = 77 878.66€ donc compensation de 203 290.47e</t>
        </r>
      </text>
    </comment>
    <comment ref="J42" authorId="80" shapeId="0" xr:uid="{00000000-0006-0000-0800-00007B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Moyenne de la rémunération 
forfaitaire pour la durée 
d’application du Contrat Cadre d'Exploitation 
et Maintenance.
</t>
        </r>
      </text>
    </comment>
    <comment ref="P42" authorId="80" shapeId="0" xr:uid="{00000000-0006-0000-0800-00007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Prix annuel de RDL c'est de 440€ par MW. J'ai divisé en 2 car il sera installé à partir du juin 2023.
</t>
        </r>
      </text>
    </comment>
    <comment ref="T42" authorId="80" shapeId="0" xr:uid="{00000000-0006-0000-0800-00007D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Remise sous vide des rescue kit. </t>
        </r>
      </text>
    </comment>
    <comment ref="U42" authorId="80" shapeId="0" xr:uid="{00000000-0006-0000-0800-00007E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fourniture de la pale E06 endommagé par la foudre (189k€).
Recycalge de la pale par Suez (40,480 k€).
Remplacement de la pale (66k€). 
Prix abri vélo prix estimatif (30k€)</t>
        </r>
      </text>
    </comment>
    <comment ref="V42" authorId="78" shapeId="0" xr:uid="{00000000-0006-0000-0800-00007F000000}">
      <text>
        <r>
          <rPr>
            <b/>
            <sz val="9"/>
            <color indexed="81"/>
            <rFont val="Tahoma"/>
            <family val="2"/>
          </rPr>
          <t>ayahuaca:</t>
        </r>
        <r>
          <rPr>
            <sz val="9"/>
            <color indexed="81"/>
            <rFont val="Tahoma"/>
            <family val="2"/>
          </rPr>
          <t xml:space="preserve">
entretien végétation 3k€ +Essais de portance et plaques de répartition (3,970k€)
+Travaux d'ammenagements pour le convoi exceptionnel de la pale (42k€).</t>
        </r>
      </text>
    </comment>
    <comment ref="W42" authorId="80" shapeId="0" xr:uid="{00000000-0006-0000-0800-000080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Inspection 6 mois des pales suivant ICPE.
</t>
        </r>
      </text>
    </comment>
    <comment ref="Y42" authorId="80" shapeId="0" xr:uid="{00000000-0006-0000-0800-000081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configuration DMZ </t>
        </r>
      </text>
    </comment>
    <comment ref="AF42" authorId="18" shapeId="0" xr:uid="{00000000-0006-0000-0800-000082000000}">
      <text>
        <r>
          <rPr>
            <sz val="9"/>
            <color theme="1"/>
            <rFont val="Calibri"/>
            <family val="2"/>
            <scheme val="minor"/>
          </rPr>
          <t>Joanna REVERSAT (28/4/23):
Nouveau suivi nécessaire suite au renforcement du bridage en faveur des chiroptères. Montant basé sur le devis de Silva</t>
        </r>
      </text>
    </comment>
    <comment ref="AG42" authorId="18" shapeId="0" xr:uid="{00000000-0006-0000-0800-000083000000}">
      <text>
        <r>
          <rPr>
            <sz val="9"/>
            <color theme="1"/>
            <rFont val="Calibri"/>
            <family val="2"/>
            <scheme val="minor"/>
          </rPr>
          <t>Joanna REVERSAT (28/4/23):
Nouveau suivi nécessaire suite au renforcement du bridage en faveur des chiroptères. Montant basé sur le devis de J&amp;C</t>
        </r>
      </text>
    </comment>
    <comment ref="Z44" authorId="81" shapeId="0" xr:uid="{00000000-0006-0000-0800-00008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5280€ géoréférencement réseaux HTA</t>
      </text>
    </comment>
    <comment ref="Z45" authorId="6" shapeId="0" xr:uid="{00000000-0006-0000-0800-000087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Réparation de porte en plus suite à une effraction</t>
        </r>
      </text>
    </comment>
    <comment ref="AK45" authorId="6" shapeId="0" xr:uid="{00000000-0006-0000-0800-000088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Bonus estimer pour 2021-2022 (à confirmer)</t>
        </r>
      </text>
    </comment>
    <comment ref="V46" authorId="82" shapeId="0" xr:uid="{00000000-0006-0000-0800-00008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V47" authorId="83" shapeId="0" xr:uid="{00000000-0006-0000-0800-00008A000000}">
      <text>
        <r>
          <rPr>
            <sz val="9"/>
            <color theme="1"/>
            <rFont val="Calibri"/>
            <family val="2"/>
            <scheme val="minor"/>
          </rPr>
          <t>Antoine NEELZ:
AnN 19/04/2023 : 
700€ entretien végétation</t>
        </r>
      </text>
    </comment>
    <comment ref="W47" authorId="83" shapeId="0" xr:uid="{00000000-0006-0000-0800-00008B000000}">
      <text>
        <r>
          <rPr>
            <sz val="9"/>
            <color theme="1"/>
            <rFont val="Calibri"/>
            <family val="2"/>
            <scheme val="minor"/>
          </rPr>
          <t>Antoine NEELZ:
AnN 19/04/2023 : 
15926€ réparations de pales</t>
        </r>
      </text>
    </comment>
    <comment ref="Y47" authorId="83" shapeId="0" xr:uid="{00000000-0006-0000-0800-00008C000000}">
      <text>
        <r>
          <rPr>
            <sz val="9"/>
            <color theme="1"/>
            <rFont val="Calibri"/>
            <family val="2"/>
            <scheme val="minor"/>
          </rPr>
          <t>Antoine NEELZ:
AnN 19/04/2023 : 
717€ abonnement communication par satellite</t>
        </r>
      </text>
    </comment>
    <comment ref="Z47" authorId="84" shapeId="0" xr:uid="{00000000-0006-0000-0800-00008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AH48" authorId="18" shapeId="0" xr:uid="{00000000-0006-0000-0800-00008E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de Siteleco</t>
        </r>
      </text>
    </comment>
    <comment ref="J49" authorId="85" shapeId="0" xr:uid="{00000000-0006-0000-0800-00008F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Contrat Cadre Poste Année N+9</t>
        </r>
      </text>
    </comment>
    <comment ref="P49" authorId="86" shapeId="0" xr:uid="{00000000-0006-0000-0800-000090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49" authorId="86" shapeId="0" xr:uid="{00000000-0006-0000-0800-000091000000}">
      <text>
        <r>
          <rPr>
            <sz val="9"/>
            <color theme="1"/>
            <rFont val="Calibri"/>
            <family val="2"/>
            <scheme val="minor"/>
          </rPr>
          <t>Stephane ESTRABAUT:
Débroussaillage + réparation armatures en bois et avoisinants BOP et pistes</t>
        </r>
      </text>
    </comment>
    <comment ref="W49" authorId="20" shapeId="0" xr:uid="{00000000-0006-0000-0800-000092000000}">
      <text>
        <r>
          <rPr>
            <sz val="9"/>
            <color theme="1"/>
            <rFont val="Calibri"/>
            <family val="2"/>
            <scheme val="minor"/>
          </rPr>
          <t>Simon CLEMENCEAU:
controle reg</t>
        </r>
      </text>
    </comment>
    <comment ref="Y49" authorId="85" shapeId="0" xr:uid="{00000000-0006-0000-0800-000093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Raccordement au poste par ENEDIS en P655 suite à la fin des LLA</t>
        </r>
      </text>
    </comment>
    <comment ref="Z50" authorId="87" shapeId="0" xr:uid="{00000000-0006-0000-0800-00009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4260€ géoréférencement réseaux HTA</t>
      </text>
    </comment>
    <comment ref="AC50" authorId="88" shapeId="0" xr:uid="{00000000-0006-0000-0800-00009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50" authorId="89" shapeId="0" xr:uid="{00000000-0006-0000-0800-00009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S51" authorId="20" shapeId="0" xr:uid="{00000000-0006-0000-0800-000097000000}">
      <text>
        <r>
          <rPr>
            <sz val="9"/>
            <color theme="1"/>
            <rFont val="Calibri"/>
            <family val="2"/>
            <scheme val="minor"/>
          </rPr>
          <t>Simon CLEMENCEAU:
10k€ pdl</t>
        </r>
      </text>
    </comment>
    <comment ref="W51" authorId="90" shapeId="0" xr:uid="{00000000-0006-0000-0800-000098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LTE DNV: 27 600€
Cont.Regl : -1.2k€/WTG x 10 
+ Poste : 1.5 k€</t>
        </r>
      </text>
    </comment>
    <comment ref="S52" authorId="6" shapeId="0" xr:uid="{00000000-0006-0000-0800-000099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Changement de contrat O&amp;M (+20% sur 6 mois)</t>
        </r>
      </text>
    </comment>
    <comment ref="U52" authorId="6" shapeId="0" xr:uid="{00000000-0006-0000-0800-00009A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repa pale E7 22k€ + MCR E6 main bearing 364k€ + E6 flushing gearbox 20k€</t>
        </r>
      </text>
    </comment>
    <comment ref="V52" authorId="6" shapeId="0" xr:uid="{00000000-0006-0000-0800-00009B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Plateforme à refaire pour le MCR</t>
        </r>
      </text>
    </comment>
    <comment ref="AF52" authorId="18" shapeId="0" xr:uid="{00000000-0006-0000-0800-00009C000000}">
      <text>
        <r>
          <rPr>
            <sz val="9"/>
            <color theme="1"/>
            <rFont val="Calibri"/>
            <family val="2"/>
            <scheme val="minor"/>
          </rPr>
          <t>Joanna REVERSAT (28/4/23):
Suivi décennal - Montant basé sur le devis de LPO85</t>
        </r>
      </text>
    </comment>
    <comment ref="AG52" authorId="18" shapeId="0" xr:uid="{00000000-0006-0000-0800-00009D000000}">
      <text>
        <r>
          <rPr>
            <sz val="9"/>
            <color theme="1"/>
            <rFont val="Calibri"/>
            <family val="2"/>
            <scheme val="minor"/>
          </rPr>
          <t>Joanna REVERSAT (28/4/23):
Suivi décennal - Montant basé sur le devis de LPO85</t>
        </r>
      </text>
    </comment>
    <comment ref="N53" authorId="3" shapeId="0" xr:uid="{00000000-0006-0000-0800-00009E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Inspections de pales
</t>
        </r>
      </text>
    </comment>
    <comment ref="P53" authorId="3" shapeId="0" xr:uid="{00000000-0006-0000-0800-00009F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03/5/23
forfait annuel RDL pour 2023 : 350€/MW soumis à validation avec le partenaire fin 2022</t>
        </r>
      </text>
    </comment>
    <comment ref="U53" authorId="3" shapeId="0" xr:uid="{00000000-0006-0000-0800-0000A0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MCR MDWIND Génératrice E2 et gearbox E5. Hors composants. Avec extras works.</t>
        </r>
      </text>
    </comment>
    <comment ref="V53" authorId="3" shapeId="0" xr:uid="{00000000-0006-0000-0800-0000A1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Refection des chemins et des plateformes pour les MCR</t>
        </r>
      </text>
    </comment>
    <comment ref="J54" authorId="91" shapeId="0" xr:uid="{00000000-0006-0000-0800-0000A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75.355k€/an (reprise fin Juin)</t>
      </text>
    </comment>
    <comment ref="AH54" authorId="18" shapeId="0" xr:uid="{00000000-0006-0000-0800-0000A3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d'Evinerude</t>
        </r>
      </text>
    </comment>
    <comment ref="V55" authorId="92" shapeId="0" xr:uid="{00000000-0006-0000-0800-0000A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Nettoyage Modules
Réponse :
    -200 ke pour travaux hydrau</t>
      </text>
    </comment>
    <comment ref="AE55" authorId="18" shapeId="0" xr:uid="{00000000-0006-0000-0800-0000A5000000}">
      <text>
        <r>
          <rPr>
            <sz val="9"/>
            <color theme="1"/>
            <rFont val="Calibri"/>
            <family val="2"/>
            <scheme val="minor"/>
          </rPr>
          <t>Joanna REVERSAT:
Estimation du coût pour relevé et balisage de nids éventuels pendant le débroussaillement du printemps 2023</t>
        </r>
      </text>
    </comment>
    <comment ref="AH55" authorId="18" shapeId="0" xr:uid="{00000000-0006-0000-0800-0000A6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le devis du LEE (prévention des chenilles processionnaires du chêne)</t>
        </r>
      </text>
    </comment>
    <comment ref="AI55" authorId="18" shapeId="0" xr:uid="{00000000-0006-0000-0800-0000A7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fichier transmis à Clarisse Bigourdan en avril 2022</t>
        </r>
      </text>
    </comment>
    <comment ref="V56" authorId="93" shapeId="0" xr:uid="{00000000-0006-0000-0800-0000A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56" authorId="94" shapeId="0" xr:uid="{00000000-0006-0000-0800-0000A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interne de pale + 2nd inspection pales ICPE</t>
      </text>
    </comment>
    <comment ref="Y56" authorId="95" shapeId="0" xr:uid="{00000000-0006-0000-0800-0000A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Configuration DMZ</t>
      </text>
    </comment>
    <comment ref="O58" authorId="96" shapeId="0" xr:uid="{00000000-0006-0000-0800-0000AC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-3188,70€ (actualisation prix suivant tableau de Théo Cavey)</t>
        </r>
      </text>
    </comment>
    <comment ref="P58" authorId="20" shapeId="0" xr:uid="{00000000-0006-0000-0800-0000AD000000}">
      <text>
        <r>
          <rPr>
            <sz val="9"/>
            <color theme="1"/>
            <rFont val="Calibri"/>
            <family val="2"/>
            <scheme val="minor"/>
          </rPr>
          <t>Simon CLEMENCEAU:
rdl</t>
        </r>
      </text>
    </comment>
    <comment ref="S58" authorId="96" shapeId="0" xr:uid="{00000000-0006-0000-0800-0000AE000000}">
      <text>
        <r>
          <rPr>
            <b/>
            <sz val="9"/>
            <color indexed="81"/>
            <rFont val="Tahoma"/>
            <family val="2"/>
          </rPr>
          <t xml:space="preserve">Pierre MOUSQUE:
</t>
        </r>
        <r>
          <rPr>
            <sz val="9"/>
            <color indexed="81"/>
            <rFont val="Tahoma"/>
            <family val="2"/>
          </rPr>
          <t>-4000 (Contrat CIRTEUS maintenance TCM/TCD 2023)-3552,5 (Contrat CIRTEUS Exploit 2023) -6426,58 (Contrat CIRTEUS maintenance 2023)</t>
        </r>
      </text>
    </comment>
    <comment ref="U58" authorId="96" shapeId="0" xr:uid="{00000000-0006-0000-0800-0000AF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-1500€ (Provision essais de plaque pour MCR B9)</t>
        </r>
      </text>
    </comment>
    <comment ref="V58" authorId="96" shapeId="0" xr:uid="{00000000-0006-0000-0800-0000B0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-15000€ (débroussaillage) 
- 15000€ (entretien piste)
-15000€ (nettoyage eds déchets sur site)</t>
        </r>
      </text>
    </comment>
    <comment ref="X58" authorId="96" shapeId="0" xr:uid="{00000000-0006-0000-0800-0000B1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-9000 (maintenance mat de mesure, prix suivant tableau de Théo Cavey)</t>
        </r>
      </text>
    </comment>
    <comment ref="Y58" authorId="96" shapeId="0" xr:uid="{00000000-0006-0000-0800-0000B2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-15393,47 (Commande Vestas pour remise en état Sacda)
-15203,45 (Commande Vestas pour maintenance full scope Scada)</t>
        </r>
      </text>
    </comment>
    <comment ref="AA58" authorId="96" shapeId="0" xr:uid="{00000000-0006-0000-0800-0000B3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-192000 (Convention avec agplo Perpignan)-30000 (convention avec Sydetom)
-4000€ (conventions avec ACCA)</t>
        </r>
      </text>
    </comment>
    <comment ref="AF58" authorId="97" shapeId="0" xr:uid="{00000000-0006-0000-0800-0000B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 attente APC</t>
      </text>
    </comment>
    <comment ref="AG58" authorId="98" shapeId="0" xr:uid="{00000000-0006-0000-0800-0000B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 attente APC</t>
      </text>
    </comment>
    <comment ref="AK58" authorId="96" shapeId="0" xr:uid="{00000000-0006-0000-0800-0000B6000000}">
      <text>
        <r>
          <rPr>
            <sz val="9"/>
            <color theme="1"/>
            <rFont val="Calibri"/>
            <family val="2"/>
            <scheme val="minor"/>
          </rPr>
          <t>Pierre MOUSQUE:
Prévision bonus au 04/05/23 : 
Dispo estimée à 98% (pour uns dispo garantie à 97,5% ) =&gt; bonus d'~30k€ sur année contractuelle du 01/01/23 au 31/12/2023</t>
        </r>
      </text>
    </comment>
    <comment ref="V60" authorId="99" shapeId="0" xr:uid="{00000000-0006-0000-0800-0000B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1190€ Essais à la plaque</t>
      </text>
    </comment>
    <comment ref="AK60" authorId="100" shapeId="0" xr:uid="{00000000-0006-0000-0800-0000B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MaA 25/04/2023
Estimation Malus 2022 : 13580€
Malus réel 2022 : 0€</t>
      </text>
    </comment>
    <comment ref="J61" authorId="80" shapeId="0" xr:uid="{00000000-0006-0000-0800-0000BA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28/04/23: realiser un prorata de l'actuel et &amp;/4 du nouveau contrat. </t>
        </r>
      </text>
    </comment>
    <comment ref="V61" authorId="80" shapeId="0" xr:uid="{00000000-0006-0000-0800-0000BB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Panneaux sur l'E04 (750)+ entretien parcelle conventionnée (1800). Fauchage de la végétation sauvage autour des éoliennes et débroussaillage des bandes enherbées (600)</t>
        </r>
      </text>
    </comment>
    <comment ref="W61" authorId="80" shapeId="0" xr:uid="{00000000-0006-0000-0800-0000B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Inspections light des pales x2 à l'année (1800).
</t>
        </r>
      </text>
    </comment>
    <comment ref="AE61" authorId="101" shapeId="0" xr:uid="{00000000-0006-0000-0800-0000B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friche Oedicnème</t>
      </text>
    </comment>
    <comment ref="AK61" authorId="80" shapeId="0" xr:uid="{00000000-0006-0000-0800-0000BE000000}">
      <text>
        <r>
          <rPr>
            <sz val="9"/>
            <color theme="1"/>
            <rFont val="Calibri"/>
            <family val="2"/>
            <scheme val="minor"/>
          </rPr>
          <t>Alejandro YAHUACA:
04/05/2023: 0€ provisioné en decembre 2022 (-6mois). Bonus 2023 estimé à 9,1k€.
@MAIL ALEJANDRO 24.05.23
-21 176 : Variables 2021 et 2022</t>
        </r>
      </text>
    </comment>
    <comment ref="W63" authorId="83" shapeId="0" xr:uid="{00000000-0006-0000-0800-0000C0000000}">
      <text>
        <r>
          <rPr>
            <sz val="9"/>
            <color theme="1"/>
            <rFont val="Calibri"/>
            <family val="2"/>
            <scheme val="minor"/>
          </rPr>
          <t>Antoine NEELZ:
AnN 19/04/2023 : 
10000€ réparations de pales</t>
        </r>
      </text>
    </comment>
    <comment ref="Z63" authorId="102" shapeId="0" xr:uid="{00000000-0006-0000-0800-0000C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V64" authorId="9" shapeId="0" xr:uid="{00000000-0006-0000-0800-0000C2000000}">
      <text>
        <r>
          <rPr>
            <sz val="9"/>
            <color theme="1"/>
            <rFont val="Calibri"/>
            <family val="2"/>
            <scheme val="minor"/>
          </rPr>
          <t>Barbara ATENE:
28/04/2023: Entretien végétation (arrosage des jeunes arbustes de mars à octobre 2023).</t>
        </r>
      </text>
    </comment>
    <comment ref="Z64" authorId="9" shapeId="0" xr:uid="{00000000-0006-0000-0800-0000C3000000}">
      <text>
        <r>
          <rPr>
            <sz val="9"/>
            <color theme="1"/>
            <rFont val="Calibri"/>
            <family val="2"/>
            <scheme val="minor"/>
          </rPr>
          <t>Barbara ATENE:
28/04/2023: Convention Compensation Agricole</t>
        </r>
      </text>
    </comment>
    <comment ref="O65" authorId="79" shapeId="0" xr:uid="{00000000-0006-0000-0800-0000C4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 Mélanie Sicard (17/04/2023) : mât en veille, 1417€ forfait DI 
</t>
        </r>
      </text>
    </comment>
    <comment ref="P65" authorId="79" shapeId="0" xr:uid="{00000000-0006-0000-0800-0000C5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forfait annuel RDL pour 2023 : 440€/MW</t>
        </r>
      </text>
    </comment>
    <comment ref="T65" authorId="79" shapeId="0" xr:uid="{00000000-0006-0000-0800-0000C600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accompagnement visite site (459€)</t>
        </r>
      </text>
    </comment>
    <comment ref="V65" authorId="79" shapeId="0" xr:uid="{00000000-0006-0000-0800-0000C7000000}">
      <text>
        <r>
          <rPr>
            <sz val="9"/>
            <color theme="1"/>
            <rFont val="Calibri"/>
            <family val="2"/>
            <scheme val="minor"/>
          </rPr>
          <t>Mélanie Sicard (17/04/2023) :
débroussaillage 1100 €</t>
        </r>
      </text>
    </comment>
    <comment ref="J66" authorId="85" shapeId="0" xr:uid="{00000000-0006-0000-0800-0000C8000000}">
      <text>
        <r>
          <rPr>
            <sz val="9"/>
            <color theme="1"/>
            <rFont val="Calibri"/>
            <family val="2"/>
            <scheme val="minor"/>
          </rPr>
          <t>Stephane Estrabaut:
Contrat Energie Maintenance de 353539€/ Négociation à la baisse prévue courant juin 2023
ET PDL 11k€</t>
        </r>
      </text>
    </comment>
    <comment ref="V66" authorId="86" shapeId="0" xr:uid="{00000000-0006-0000-0800-0000C9000000}">
      <text>
        <r>
          <rPr>
            <sz val="9"/>
            <color theme="1"/>
            <rFont val="Calibri"/>
            <family val="2"/>
            <scheme val="minor"/>
          </rPr>
          <t>Stephane ESTRABAUT:
Débroussaillage, Panneaux. Essais à la plaque</t>
        </r>
      </text>
    </comment>
    <comment ref="Y66" authorId="85" shapeId="0" xr:uid="{00000000-0006-0000-0800-0000CA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Migration ENEDIS en H5</t>
        </r>
      </text>
    </comment>
    <comment ref="P67" authorId="103" shapeId="0" xr:uid="{00000000-0006-0000-0800-0000C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67" authorId="104" shapeId="0" xr:uid="{00000000-0006-0000-0800-0000C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réfection chemins</t>
      </text>
    </comment>
    <comment ref="V68" authorId="105" shapeId="0" xr:uid="{00000000-0006-0000-0800-0000C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prestation de service + entretien route + Débroussaillage</t>
      </text>
    </comment>
    <comment ref="W68" authorId="106" shapeId="0" xr:uid="{00000000-0006-0000-0800-0000D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2nd inspection pales ICPE</t>
      </text>
    </comment>
    <comment ref="AE68" authorId="107" shapeId="0" xr:uid="{00000000-0006-0000-0800-0000D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Busard AP</t>
      </text>
    </comment>
    <comment ref="M69" authorId="17" shapeId="0" xr:uid="{00000000-0006-0000-0800-0000D2000000}">
      <text/>
    </comment>
    <comment ref="T69" authorId="17" shapeId="0" xr:uid="{00000000-0006-0000-0800-0000D3000000}">
      <text>
        <r>
          <rPr>
            <sz val="9"/>
            <color theme="1"/>
            <rFont val="Calibri"/>
            <family val="2"/>
            <scheme val="minor"/>
          </rPr>
          <t>Arthur BROCHE:
Contrat Extension garantie SMA</t>
        </r>
      </text>
    </comment>
    <comment ref="U69" authorId="17" shapeId="0" xr:uid="{00000000-0006-0000-0800-0000D4000000}">
      <text>
        <r>
          <rPr>
            <sz val="9"/>
            <color theme="1"/>
            <rFont val="Calibri"/>
            <family val="2"/>
            <scheme val="minor"/>
          </rPr>
          <t>Arthur BROCHE
ENEDIS PASSAGE compteur H4 (P655)</t>
        </r>
      </text>
    </comment>
    <comment ref="V69" authorId="16" shapeId="0" xr:uid="{00000000-0006-0000-0800-0000D5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2023</t>
        </r>
      </text>
    </comment>
    <comment ref="AK69" authorId="17" shapeId="0" xr:uid="{00000000-0006-0000-0800-0000D6000000}">
      <text>
        <r>
          <rPr>
            <sz val="9"/>
            <color theme="1"/>
            <rFont val="Calibri"/>
            <family val="2"/>
            <scheme val="minor"/>
          </rPr>
          <t>Arthur BROCHE:
Estimation bonus 23</t>
        </r>
      </text>
    </comment>
    <comment ref="Q70" authorId="52" shapeId="0" xr:uid="{00000000-0006-0000-0800-0000D7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-2000 pour travail passage H5</t>
        </r>
      </text>
    </comment>
    <comment ref="T70" authorId="52" shapeId="0" xr:uid="{00000000-0006-0000-0800-0000D8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 - 30000 (provision réparation 2 pales par Vestas)</t>
        </r>
      </text>
    </comment>
    <comment ref="V70" authorId="52" shapeId="0" xr:uid="{00000000-0006-0000-0800-0000D9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Provision réfection plateforme ou voierie</t>
        </r>
      </text>
    </comment>
    <comment ref="W70" authorId="52" shapeId="0" xr:uid="{00000000-0006-0000-0800-0000DA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inspection pale
</t>
        </r>
      </text>
    </comment>
    <comment ref="Z70" authorId="108" shapeId="0" xr:uid="{00000000-0006-0000-0800-0000D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AK72" authorId="9" shapeId="0" xr:uid="{00000000-0006-0000-0800-0000DD000000}">
      <text>
        <r>
          <rPr>
            <sz val="9"/>
            <color theme="1"/>
            <rFont val="Calibri"/>
            <family val="2"/>
            <scheme val="minor"/>
          </rPr>
          <t>Barbara ATENE:
28/04/2023 BA : Bonus Année d'exploitation n. 12</t>
        </r>
      </text>
    </comment>
    <comment ref="AH73" authorId="109" shapeId="0" xr:uid="{00000000-0006-0000-0800-0000D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loi sur l'eau et biodiv</t>
      </text>
    </comment>
    <comment ref="AK73" authorId="9" shapeId="0" xr:uid="{00000000-0006-0000-0800-0000DF000000}">
      <text>
        <r>
          <rPr>
            <sz val="9"/>
            <color theme="1"/>
            <rFont val="Calibri"/>
            <family val="2"/>
            <scheme val="minor"/>
          </rPr>
          <t>Barbara ATENE:
28/04/2023: Bonus Année d'exploitation n. 12</t>
        </r>
      </text>
    </comment>
    <comment ref="P76" authorId="16" shapeId="0" xr:uid="{00000000-0006-0000-0800-0000E1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remplacement SCADA</t>
        </r>
      </text>
    </comment>
    <comment ref="T76" authorId="17" shapeId="0" xr:uid="{00000000-0006-0000-0800-0000E2000000}">
      <text>
        <r>
          <rPr>
            <sz val="9"/>
            <color theme="1"/>
            <rFont val="Calibri"/>
            <family val="2"/>
            <scheme val="minor"/>
          </rPr>
          <t>Arthur BROCHE:
Aleas cout OM</t>
        </r>
      </text>
    </comment>
    <comment ref="V76" authorId="17" shapeId="0" xr:uid="{00000000-0006-0000-0800-0000E3000000}">
      <text>
        <r>
          <rPr>
            <sz val="9"/>
            <color theme="1"/>
            <rFont val="Calibri"/>
            <family val="2"/>
            <scheme val="minor"/>
          </rPr>
          <t>Arthur BROCHE:
entretien par La Bel Solution</t>
        </r>
      </text>
    </comment>
    <comment ref="Y76" authorId="16" shapeId="0" xr:uid="{00000000-0006-0000-0800-0000E4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remplacemenet SCADA
</t>
        </r>
      </text>
    </comment>
    <comment ref="O77" authorId="110" shapeId="0" xr:uid="{00000000-0006-0000-0800-0000E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Maintenance pylone</t>
      </text>
    </comment>
    <comment ref="V77" authorId="111" shapeId="0" xr:uid="{00000000-0006-0000-0800-0000E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1717€ Entretien plateforme
Réponse :
    - 29 910€ : travaux terrassement plateforme pour MCR</t>
      </text>
    </comment>
    <comment ref="X77" authorId="112" shapeId="0" xr:uid="{00000000-0006-0000-0800-0000E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Budget Préventif + correctif MDM</t>
      </text>
    </comment>
    <comment ref="V78" authorId="80" shapeId="0" xr:uid="{00000000-0006-0000-0800-0000E9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Fauchage de la végétation sauvage autour des éoliennes et débroussaillage des bandes enherbées</t>
        </r>
      </text>
    </comment>
    <comment ref="W78" authorId="80" shapeId="0" xr:uid="{00000000-0006-0000-0800-0000EA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Inspections light des pales x2 à l'année (1800).
</t>
        </r>
      </text>
    </comment>
    <comment ref="AC78" authorId="113" shapeId="0" xr:uid="{00000000-0006-0000-0800-0000E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DT Bird, vu avec Alejandro</t>
      </text>
    </comment>
    <comment ref="AK78" authorId="80" shapeId="0" xr:uid="{00000000-0006-0000-0800-0000E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04/05/2023: 0€ provisioné en decembre 2022 (-6mois). Bonus 2023 estimé à 9,2k€.
 </t>
        </r>
      </text>
    </comment>
    <comment ref="T79" authorId="114" shapeId="0" xr:uid="{00000000-0006-0000-0800-0000E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Modification fréquence flashlight</t>
      </text>
    </comment>
    <comment ref="V79" authorId="115" shapeId="0" xr:uid="{00000000-0006-0000-0800-0000E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W79" authorId="116" shapeId="0" xr:uid="{00000000-0006-0000-0800-0000F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AK79" authorId="117" shapeId="0" xr:uid="{00000000-0006-0000-0800-0000F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plus élevé que prévu</t>
      </text>
    </comment>
    <comment ref="V80" authorId="118" shapeId="0" xr:uid="{00000000-0006-0000-0800-0000F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80" authorId="119" shapeId="0" xr:uid="{00000000-0006-0000-0800-0000F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2nd inspection pales ICPE</t>
      </text>
    </comment>
    <comment ref="Z80" authorId="120" shapeId="0" xr:uid="{00000000-0006-0000-0800-0000F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Accompagnement géoréférencement + installation batcorder + Géoréférencement</t>
      </text>
    </comment>
    <comment ref="V81" authorId="121" shapeId="0" xr:uid="{00000000-0006-0000-0800-0000F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27447.2€ de travaux de terrassement pour la plateforme + 1987.2€ d'essai de plaque</t>
      </text>
    </comment>
    <comment ref="AF81" authorId="18" shapeId="0" xr:uid="{00000000-0006-0000-0800-0000F8000000}">
      <text>
        <r>
          <rPr>
            <sz val="9"/>
            <color theme="1"/>
            <rFont val="Calibri"/>
            <family val="2"/>
            <scheme val="minor"/>
          </rPr>
          <t>Joanna REVERSAT (28/4/23):
Pb sur enregistrement nacelle en 2022, relancé en 2023 -&gt; budget aléas</t>
        </r>
      </text>
    </comment>
    <comment ref="N82" authorId="96" shapeId="0" xr:uid="{00000000-0006-0000-0800-0000F9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-16293,25 (commande AOS pour inspection fin garantie)
-2726,26€ (commande AOS pour contrôle ultrasons tête de cable)</t>
        </r>
      </text>
    </comment>
    <comment ref="P82" authorId="20" shapeId="0" xr:uid="{00000000-0006-0000-0800-0000FA000000}">
      <text>
        <r>
          <rPr>
            <sz val="9"/>
            <color theme="1"/>
            <rFont val="Calibri"/>
            <family val="2"/>
            <scheme val="minor"/>
          </rPr>
          <t xml:space="preserve">Simon CLEMENCEAU:
rdl
</t>
        </r>
      </text>
    </comment>
    <comment ref="T82" authorId="96" shapeId="0" xr:uid="{00000000-0006-0000-0800-0000FB000000}">
      <text>
        <r>
          <rPr>
            <sz val="9"/>
            <color theme="1"/>
            <rFont val="Calibri"/>
            <family val="2"/>
            <scheme val="minor"/>
          </rPr>
          <t xml:space="preserve">Pierre MOUSQUE:
-2000€ (Intervention Dalkia non prévu dans contrat : reboot com, relance pdl, ...)
-10000 (provision réparation tête de cable si défaut détecté lors inspection ultrasons)
</t>
        </r>
      </text>
    </comment>
    <comment ref="V82" authorId="96" shapeId="0" xr:uid="{00000000-0006-0000-0800-0000FC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pour travaux piste, débroussaillage, …)</t>
        </r>
      </text>
    </comment>
    <comment ref="W82" authorId="96" shapeId="0" xr:uid="{00000000-0006-0000-0800-0000FD000000}">
      <text>
        <r>
          <rPr>
            <sz val="9"/>
            <color theme="1"/>
            <rFont val="Calibri"/>
            <family val="2"/>
            <scheme val="minor"/>
          </rPr>
          <t>Pierre MOUSQUE:
-2250€ (2ème inspection drone)
-14400 (commande ORFEA campagne mesure acoustique hiver-été 2023)
-1300€ (prolongation mesure acoustique)
-4000€ provision acoustique prolongation étude hiver + étude nouveau plan bridage)</t>
        </r>
      </text>
    </comment>
    <comment ref="Z82" authorId="96" shapeId="0" xr:uid="{00000000-0006-0000-0800-0000FE000000}">
      <text>
        <r>
          <rPr>
            <sz val="9"/>
            <color theme="1"/>
            <rFont val="Calibri"/>
            <family val="2"/>
            <scheme val="minor"/>
          </rPr>
          <t xml:space="preserve">Pierre MOUSQUE:
-1600€ (accompagnement Vestas dépose batmode de Février 23) 
-800€ (accompagnement Vestas instal batmode de mars 23)
-800€ (accompagnement Vestas dépose batmode automne 23)
-5000€ (accompagnement Vestas pour inspection fin garantie)
-1500€ (instal solution reboot modem à distance par AOS Scada et Dalkia)
</t>
        </r>
      </text>
    </comment>
    <comment ref="AE82" authorId="122" shapeId="0" xr:uid="{00000000-0006-0000-0800-0000F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F82" authorId="123" shapeId="0" xr:uid="{00000000-0006-0000-0800-00000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G82" authorId="124" shapeId="0" xr:uid="{00000000-0006-0000-0800-00000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I82" authorId="96" shapeId="0" xr:uid="{00000000-0006-0000-0800-00000201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-12500€ (Commande paysagiste pour suivi aménagements paysagers)</t>
        </r>
      </text>
    </comment>
    <comment ref="AK82" authorId="96" shapeId="0" xr:uid="{00000000-0006-0000-0800-000003010000}">
      <text>
        <r>
          <rPr>
            <sz val="9"/>
            <color theme="1"/>
            <rFont val="Calibri"/>
            <family val="2"/>
            <scheme val="minor"/>
          </rPr>
          <t>Pierre MOUSQUE:
-5100€ (Expertise tête de cable et traversée par labo IC2000, suite défaut tête de cable E1 d'octobre 2021)
Prévision d'un malus pour la 2ème année d'exploitation</t>
        </r>
      </text>
    </comment>
    <comment ref="P83" authorId="125" shapeId="0" xr:uid="{00000000-0006-0000-0800-00000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 +Wonder</t>
      </text>
    </comment>
    <comment ref="V83" authorId="126" shapeId="0" xr:uid="{00000000-0006-0000-0800-00000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  + entretient milieux ouverts</t>
      </text>
    </comment>
    <comment ref="Y83" authorId="127" shapeId="0" xr:uid="{00000000-0006-0000-0800-00000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Orange + ComIP</t>
      </text>
    </comment>
    <comment ref="AC83" authorId="128" shapeId="0" xr:uid="{00000000-0006-0000-0800-00000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Maintenance DTBird + Bioseco + 3 locations nacelles</t>
      </text>
    </comment>
    <comment ref="AE83" authorId="18" shapeId="0" xr:uid="{00000000-0006-0000-0800-000008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d'Exen, pour les aigles royaux</t>
        </r>
      </text>
    </comment>
    <comment ref="AK83" authorId="129" shapeId="0" xr:uid="{00000000-0006-0000-0800-00000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Avocat</t>
      </text>
    </comment>
    <comment ref="P84" authorId="130" shapeId="0" xr:uid="{00000000-0006-0000-0800-00000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</t>
      </text>
    </comment>
    <comment ref="V84" authorId="131" shapeId="0" xr:uid="{00000000-0006-0000-0800-00000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Débrouissaillage (15000€), ouverture de milieux (DEP) et rénovation bergerie</t>
      </text>
    </comment>
    <comment ref="AC84" authorId="132" shapeId="0" xr:uid="{00000000-0006-0000-0800-00000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SafeWind révisé avec inflation + option maintenance préventive + 5 locations de nacelle sur l'année</t>
      </text>
    </comment>
    <comment ref="AD84" authorId="133" shapeId="0" xr:uid="{00000000-0006-0000-0800-00000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Location conteneur Ortec + inflation</t>
      </text>
    </comment>
    <comment ref="AE84" authorId="134" shapeId="0" xr:uid="{00000000-0006-0000-0800-00000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Aigle royal</t>
      </text>
    </comment>
    <comment ref="AG84" authorId="135" shapeId="0" xr:uid="{00000000-0006-0000-0800-00001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mortalité LPO</t>
      </text>
    </comment>
    <comment ref="AI84" authorId="136" shapeId="0" xr:uid="{00000000-0006-0000-0800-00001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 lié à la DEP</t>
      </text>
    </comment>
    <comment ref="AC85" authorId="137" shapeId="0" xr:uid="{00000000-0006-0000-0800-00001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85" authorId="138" shapeId="0" xr:uid="{00000000-0006-0000-0800-00001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85" authorId="139" shapeId="0" xr:uid="{00000000-0006-0000-0800-00001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presta Néosolus et ecostudiz + travaux ouverture milieux (SERPE)</t>
      </text>
    </comment>
    <comment ref="V86" authorId="140" shapeId="0" xr:uid="{00000000-0006-0000-0800-000015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Végétation 
</t>
      </text>
    </comment>
    <comment ref="Z86" authorId="141" shapeId="0" xr:uid="{00000000-0006-0000-0800-00001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Mission siemens installation Onduleurs + Aléa</t>
      </text>
    </comment>
    <comment ref="AA86" authorId="142" shapeId="0" xr:uid="{00000000-0006-0000-0800-00001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budget Ancrage 0,2%</t>
      </text>
    </comment>
    <comment ref="T87" authorId="17" shapeId="0" xr:uid="{00000000-0006-0000-0800-000018010000}">
      <text>
        <r>
          <rPr>
            <sz val="9"/>
            <color theme="1"/>
            <rFont val="Calibri"/>
            <family val="2"/>
            <scheme val="minor"/>
          </rPr>
          <t>Arthur BROCHE:
Alèas Cout OM</t>
        </r>
      </text>
    </comment>
    <comment ref="AH87" authorId="143" shapeId="0" xr:uid="{00000000-0006-0000-0800-00001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DEP</t>
      </text>
    </comment>
    <comment ref="O88" authorId="144" shapeId="0" xr:uid="{00000000-0006-0000-0800-00001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mât</t>
      </text>
    </comment>
    <comment ref="V88" authorId="145" shapeId="0" xr:uid="{00000000-0006-0000-0800-00001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X88" authorId="146" shapeId="0" xr:uid="{00000000-0006-0000-0800-00001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mât 2023 ou 2024?</t>
      </text>
    </comment>
    <comment ref="Z88" authorId="147" shapeId="0" xr:uid="{00000000-0006-0000-0800-00001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Réponse :
    3750€ géoréférencement réseaux HTA</t>
      </text>
    </comment>
    <comment ref="P89" authorId="148" shapeId="0" xr:uid="{00000000-0006-0000-0800-00001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750€ reconfiguration routeur SCADA
1400 Installation Vsat
717 abonnement mensuel accès Vsat
Réponse :
    + upgrade scada</t>
      </text>
    </comment>
    <comment ref="S89" authorId="149" shapeId="0" xr:uid="{00000000-0006-0000-0800-00002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maintenance pales Héliopales</t>
      </text>
    </comment>
    <comment ref="X89" authorId="150" shapeId="0" xr:uid="{00000000-0006-0000-0800-00002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Budget Préventif + correctif MDM</t>
      </text>
    </comment>
    <comment ref="Z89" authorId="151" shapeId="0" xr:uid="{00000000-0006-0000-0800-00002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23750€ Installation détecteurs incendie
1400€ Affaire Enedis EDF RE</t>
      </text>
    </comment>
    <comment ref="J91" authorId="152" shapeId="0" xr:uid="{00000000-0006-0000-0800-000023010000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fin juillet 2023
cf Antoine pour la prolongation</t>
        </r>
      </text>
    </comment>
    <comment ref="P93" authorId="79" shapeId="0" xr:uid="{00000000-0006-0000-0800-00002401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forfait annuel RDL pour 2023 : 440€/MW</t>
        </r>
      </text>
    </comment>
    <comment ref="T93" authorId="79" shapeId="0" xr:uid="{00000000-0006-0000-0800-00002501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
- Changement consigne réactif x2 (1026€ par changement, augmentation du prix en 2023)
- Reconfiguration routeur HS COT2 (2536€)
</t>
        </r>
      </text>
    </comment>
    <comment ref="V93" authorId="79" shapeId="0" xr:uid="{00000000-0006-0000-0800-00002601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(3*1200=3600€)
Contacts locaux (1600€ + 600€)</t>
        </r>
      </text>
    </comment>
    <comment ref="AE93" authorId="18" shapeId="0" xr:uid="{00000000-0006-0000-0800-000027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facture LPO51 (prestation 2022)</t>
        </r>
      </text>
    </comment>
    <comment ref="AF93" authorId="18" shapeId="0" xr:uid="{00000000-0006-0000-0800-000028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de CERA (prestation 2022)</t>
        </r>
      </text>
    </comment>
    <comment ref="AI93" authorId="18" shapeId="0" xr:uid="{00000000-0006-0000-0800-000029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du CENCA (prestation 2022)
MSIC (17/04/2023) : Mesure compensatoire enviro avec Ferme de MontBelAir.  Entretien année 4 terminée en 04/2023. Comptabiliser 539.30€/an, dernier paiement à la fin de la 20ième année en avril 2039</t>
        </r>
      </text>
    </comment>
    <comment ref="AK93" authorId="79" shapeId="0" xr:uid="{00000000-0006-0000-0800-00002A010000}">
      <text>
        <r>
          <rPr>
            <sz val="9"/>
            <color theme="1"/>
            <rFont val="Calibri"/>
            <family val="2"/>
            <scheme val="minor"/>
          </rPr>
          <t>Mélanie Sicard (17/04/2023) : 
- Pénalité Enedis pour consigne de puissance réactive saisonnière non respectée (avril 2022) COT2 = 6276€. Estimation perte sur COT1 pas encore disponible
- Malus O&amp;M Services provisionné en décembre 2022 à 9662€, finalement Bonus/Malus = 0€</t>
        </r>
      </text>
    </comment>
    <comment ref="T94" authorId="79" shapeId="0" xr:uid="{00000000-0006-0000-0800-00002B010000}">
      <text>
        <r>
          <rPr>
            <sz val="9"/>
            <color theme="1"/>
            <rFont val="Calibri"/>
            <family val="2"/>
            <scheme val="minor"/>
          </rPr>
          <t xml:space="preserve">Melanie SICARD:
Mélanie Sicard (17/04/2023)
- Changement consigne réactif x2 (342
€/ changement, augmentation prix en 2023)
</t>
        </r>
      </text>
    </comment>
    <comment ref="V94" authorId="79" shapeId="0" xr:uid="{00000000-0006-0000-0800-00002C01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(3600€)
Contacts locaux (1000€)</t>
        </r>
      </text>
    </comment>
    <comment ref="W94" authorId="79" shapeId="0" xr:uid="{00000000-0006-0000-0800-00002D010000}">
      <text>
        <r>
          <rPr>
            <sz val="9"/>
            <color theme="1"/>
            <rFont val="Calibri"/>
            <family val="2"/>
            <scheme val="minor"/>
          </rPr>
          <t>Mélanie Sicard (17/04/2023) : Inspection pales 6 mois nouvel arrêté ICPE (1800€)</t>
        </r>
      </text>
    </comment>
    <comment ref="AA94" authorId="79" shapeId="0" xr:uid="{00000000-0006-0000-0800-00002E010000}">
      <text>
        <r>
          <rPr>
            <sz val="9"/>
            <color theme="1"/>
            <rFont val="Calibri"/>
            <family val="2"/>
            <scheme val="minor"/>
          </rPr>
          <t xml:space="preserve">Melanie SICARD:
Financement 1 vélo électrique Mairie Saint Benoit sur Seine (2100€, coût pas encore figé)
</t>
        </r>
      </text>
    </comment>
    <comment ref="AF94" authorId="18" shapeId="0" xr:uid="{00000000-0006-0000-0800-00002F01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de CERA (prestation 2022)</t>
        </r>
      </text>
    </comment>
    <comment ref="AI94" authorId="18" shapeId="0" xr:uid="{00000000-0006-0000-0800-000030010000}">
      <text>
        <r>
          <rPr>
            <sz val="9"/>
            <color theme="1"/>
            <rFont val="Calibri"/>
            <family val="2"/>
            <scheme val="minor"/>
          </rPr>
          <t xml:space="preserve">Joanna REVERSAT (28/4/23):
Montant basé sur devis du CENCA (prestation 2022)
MSIC (12/5/2022) : Mesure compensatoir enviro avec Ferme de MontBelAir. Entretien année 4 terminée en 4/2023. Comptabiliser 207.42€/an, dernier paiement à la fin de la 20ième année en avril 2039
</t>
        </r>
      </text>
    </comment>
    <comment ref="AK94" authorId="79" shapeId="0" xr:uid="{00000000-0006-0000-0800-000031010000}">
      <text>
        <r>
          <rPr>
            <sz val="9"/>
            <color theme="1"/>
            <rFont val="Calibri"/>
            <family val="2"/>
            <scheme val="minor"/>
          </rPr>
          <t xml:space="preserve">Mélanie Sicard (18/04/2023) : 
0€ de bonus malus car seuil de production minimal non atteint
</t>
        </r>
      </text>
    </comment>
    <comment ref="O95" authorId="86" shapeId="0" xr:uid="{00000000-0006-0000-0800-000033010000}">
      <text>
        <r>
          <rPr>
            <sz val="9"/>
            <color theme="1"/>
            <rFont val="Calibri"/>
            <family val="2"/>
            <scheme val="minor"/>
          </rPr>
          <t>Stephane ESTRABAUT:
Données fichier Theo</t>
        </r>
      </text>
    </comment>
    <comment ref="P95" authorId="86" shapeId="0" xr:uid="{00000000-0006-0000-0800-00003401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T95" authorId="86" shapeId="0" xr:uid="{00000000-0006-0000-0800-000035010000}">
      <text>
        <r>
          <rPr>
            <sz val="9"/>
            <color theme="1"/>
            <rFont val="Calibri"/>
            <family val="2"/>
            <scheme val="minor"/>
          </rPr>
          <t xml:space="preserve">Stephane ESTRABAUT:
Eau dans PDL
Réparation chemin endommagé à envisager
</t>
        </r>
      </text>
    </comment>
    <comment ref="V95" authorId="86" shapeId="0" xr:uid="{00000000-0006-0000-0800-000036010000}">
      <text>
        <r>
          <rPr>
            <sz val="9"/>
            <color theme="1"/>
            <rFont val="Calibri"/>
            <family val="2"/>
            <scheme val="minor"/>
          </rPr>
          <t xml:space="preserve">Stephane ESTRABAUT:
Débroussaillage + Déneigement + Affichage numérotation des pistes + reprise pistes
</t>
        </r>
      </text>
    </comment>
    <comment ref="W95" authorId="20" shapeId="0" xr:uid="{00000000-0006-0000-0800-000037010000}">
      <text>
        <r>
          <rPr>
            <sz val="9"/>
            <color theme="1"/>
            <rFont val="Calibri"/>
            <family val="2"/>
            <scheme val="minor"/>
          </rPr>
          <t>Simon CLEMENCEAU:
controle reg</t>
        </r>
      </text>
    </comment>
    <comment ref="X95" authorId="86" shapeId="0" xr:uid="{00000000-0006-0000-0800-000038010000}">
      <text>
        <r>
          <rPr>
            <sz val="9"/>
            <color theme="1"/>
            <rFont val="Calibri"/>
            <family val="2"/>
            <scheme val="minor"/>
          </rPr>
          <t>Stephane ESTRABAUT:
Données fichier Theo</t>
        </r>
      </text>
    </comment>
    <comment ref="Z95" authorId="86" shapeId="0" xr:uid="{00000000-0006-0000-0800-000039010000}">
      <text>
        <r>
          <rPr>
            <sz val="9"/>
            <color theme="1"/>
            <rFont val="Calibri"/>
            <family val="2"/>
            <scheme val="minor"/>
          </rPr>
          <t xml:space="preserve">Stephane ESTRABAUT:
Accompagnement ENERCON pour Biodiv, Exen, etc
</t>
        </r>
      </text>
    </comment>
    <comment ref="AC95" authorId="86" shapeId="0" xr:uid="{00000000-0006-0000-0800-00003A010000}">
      <text>
        <r>
          <rPr>
            <sz val="9"/>
            <color theme="1"/>
            <rFont val="Calibri"/>
            <family val="2"/>
            <scheme val="minor"/>
          </rPr>
          <t xml:space="preserve">Stephane ESTRABAUT:
Location Nacelle 1.2K€
Maintenance Biodiv. Installation hard reboot 14k€
O&amp;M safewind
</t>
        </r>
      </text>
    </comment>
    <comment ref="AF95" authorId="153" shapeId="0" xr:uid="{00000000-0006-0000-0800-00003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2023</t>
      </text>
    </comment>
    <comment ref="AG95" authorId="154" shapeId="0" xr:uid="{00000000-0006-0000-0800-00003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2023</t>
      </text>
    </comment>
    <comment ref="T96" authorId="155" shapeId="0" xr:uid="{00000000-0006-0000-0800-00003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Remplacement flashlight endommagé par enviro</t>
      </text>
    </comment>
    <comment ref="V96" authorId="156" shapeId="0" xr:uid="{00000000-0006-0000-0800-00003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Déneigement + Débroussaillage + Réfection chemin</t>
      </text>
    </comment>
    <comment ref="W96" authorId="157" shapeId="0" xr:uid="{00000000-0006-0000-0800-00003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Y96" authorId="158" shapeId="0" xr:uid="{00000000-0006-0000-0800-00004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COMIP</t>
      </text>
    </comment>
    <comment ref="Z96" authorId="159" shapeId="0" xr:uid="{00000000-0006-0000-0800-00004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6300€ géoréférencement réseaux HTA
Réponse :
    + ALEA = 500*NbMW</t>
      </text>
    </comment>
    <comment ref="AC96" authorId="160" shapeId="0" xr:uid="{00000000-0006-0000-0800-00004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Maintenance SDA + Nacelle élévatrice + Tests de plaque</t>
      </text>
    </comment>
    <comment ref="AG96" authorId="18" shapeId="0" xr:uid="{00000000-0006-0000-0800-000043010000}">
      <text>
        <r>
          <rPr>
            <sz val="9"/>
            <color theme="1"/>
            <rFont val="Calibri"/>
            <family val="2"/>
            <scheme val="minor"/>
          </rPr>
          <t>Joanna REVERSAT (28/4/23):
Non prévu car en lien avec la mortalité d'un milan royal en 2022. Montant basé sur le devis de Siteleco</t>
        </r>
      </text>
    </comment>
    <comment ref="P97" authorId="161" shapeId="0" xr:uid="{00000000-0006-0000-0800-00004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97" authorId="162" shapeId="0" xr:uid="{00000000-0006-0000-0800-00004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réfection chemins</t>
      </text>
    </comment>
    <comment ref="Z97" authorId="163" shapeId="0" xr:uid="{00000000-0006-0000-0800-00004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P98" authorId="3" shapeId="0" xr:uid="{00000000-0006-0000-0800-000048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 pour 2023 : 350€/MW soumis à validation avec le partenaire fin 2022</t>
        </r>
      </text>
    </comment>
    <comment ref="Q98" authorId="164" shapeId="0" xr:uid="{00000000-0006-0000-0800-000049010000}">
      <text>
        <r>
          <rPr>
            <b/>
            <sz val="9"/>
            <color indexed="81"/>
            <rFont val="Tahoma"/>
            <family val="2"/>
          </rPr>
          <t>ooutayeb:</t>
        </r>
        <r>
          <rPr>
            <sz val="9"/>
            <color indexed="81"/>
            <rFont val="Tahoma"/>
            <family val="2"/>
          </rPr>
          <t xml:space="preserve">
Montant / MW</t>
        </r>
      </text>
    </comment>
    <comment ref="V98" authorId="3" shapeId="0" xr:uid="{00000000-0006-0000-0800-00004A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3 passages pour le débroussaillage soit 2662€ + décaissement pour réparation du câble HTA à 1435€ + 3150€ essais à la plaque</t>
        </r>
      </text>
    </comment>
    <comment ref="AE98" authorId="165" shapeId="0" xr:uid="{00000000-0006-0000-0800-00004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F98" authorId="166" shapeId="0" xr:uid="{00000000-0006-0000-0800-00004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AG98" authorId="167" shapeId="0" xr:uid="{00000000-0006-0000-0800-00004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J99" authorId="52" shapeId="0" xr:uid="{00000000-0006-0000-0800-00004E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Contrat cadre</t>
        </r>
      </text>
    </comment>
    <comment ref="O99" authorId="52" shapeId="0" xr:uid="{00000000-0006-0000-0800-00004F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TC : MDM en veille</t>
        </r>
      </text>
    </comment>
    <comment ref="S99" authorId="152" shapeId="0" xr:uid="{00000000-0006-0000-0800-000050010000}">
      <text>
        <r>
          <rPr>
            <b/>
            <sz val="9"/>
            <color indexed="81"/>
            <rFont val="Tahoma"/>
            <family val="2"/>
          </rPr>
          <t>Nouveau contrat O&amp;M hors MCR</t>
        </r>
      </text>
    </comment>
    <comment ref="U99" authorId="52" shapeId="0" xr:uid="{00000000-0006-0000-0800-000051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Provision en cas de MCR</t>
        </r>
      </text>
    </comment>
    <comment ref="V99" authorId="52" shapeId="0" xr:uid="{00000000-0006-0000-0800-000052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Déneig + débro</t>
        </r>
      </text>
    </comment>
    <comment ref="W99" authorId="52" shapeId="0" xr:uid="{00000000-0006-0000-0800-000053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TC: contrôle flashlight et reg </t>
        </r>
      </text>
    </comment>
    <comment ref="Z99" authorId="20" shapeId="0" xr:uid="{00000000-0006-0000-0800-000054010000}">
      <text>
        <r>
          <rPr>
            <sz val="9"/>
            <color theme="1"/>
            <rFont val="Calibri"/>
            <family val="2"/>
            <scheme val="minor"/>
          </rPr>
          <t>Simon CLEMENCEAU:
+ georeferencement</t>
        </r>
      </text>
    </comment>
    <comment ref="AE99" authorId="18" shapeId="0" xr:uid="{00000000-0006-0000-0800-000055010000}">
      <text>
        <r>
          <rPr>
            <sz val="9"/>
            <color theme="1"/>
            <rFont val="Calibri"/>
            <family val="2"/>
            <scheme val="minor"/>
          </rPr>
          <t>Joanna REVERSAT (28/4/23):
Estimation au cas où un suivi des milans royaux s'avérait nécessaire (plumée retrouvée en 2022)= en attente retour Dév car repowering</t>
        </r>
      </text>
    </comment>
    <comment ref="AG99" authorId="18" shapeId="0" xr:uid="{00000000-0006-0000-0800-000056010000}">
      <text>
        <r>
          <rPr>
            <sz val="9"/>
            <color theme="1"/>
            <rFont val="Calibri"/>
            <family val="2"/>
            <scheme val="minor"/>
          </rPr>
          <t>Joanna REVERSAT (28/4/23):
Estimation au cas où un suivi s'avérait nécessaire (plumée de milan royal retrouvée en 2022)= en attente retour Dév car repowering</t>
        </r>
      </text>
    </comment>
    <comment ref="Z100" authorId="168" shapeId="0" xr:uid="{00000000-0006-0000-0800-00005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5970€ géoréférencement réseaux HTA</t>
      </text>
    </comment>
    <comment ref="AH100" authorId="169" shapeId="0" xr:uid="{00000000-0006-0000-0800-00005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initial</t>
      </text>
    </comment>
    <comment ref="N101" authorId="20" shapeId="0" xr:uid="{00000000-0006-0000-0800-000059010000}">
      <text>
        <r>
          <rPr>
            <sz val="9"/>
            <color theme="1"/>
            <rFont val="Calibri"/>
            <family val="2"/>
            <scheme val="minor"/>
          </rPr>
          <t xml:space="preserve">Simon CLEMENCEAU:
inspection pales
</t>
        </r>
      </text>
    </comment>
    <comment ref="P101" authorId="90" shapeId="0" xr:uid="{00000000-0006-0000-0800-00005A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RDL : 440€/MWh</t>
        </r>
      </text>
    </comment>
    <comment ref="W101" authorId="90" shapeId="0" xr:uid="{00000000-0006-0000-0800-00005B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Abonnement SKF (CMS) 5400
Contrat Support Convertisseur 6300</t>
        </r>
      </text>
    </comment>
    <comment ref="Y101" authorId="90" shapeId="0" xr:uid="{00000000-0006-0000-0800-00005C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Com Satellite 700
Contrat Scada SGRE 5000
</t>
        </r>
      </text>
    </comment>
    <comment ref="Z101" authorId="170" shapeId="0" xr:uid="{00000000-0006-0000-0800-00005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4260€ géoréférencement réseaux HTA</t>
      </text>
    </comment>
    <comment ref="AA101" authorId="90" shapeId="0" xr:uid="{00000000-0006-0000-0800-00005E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Subvention Ornaisong</t>
        </r>
      </text>
    </comment>
    <comment ref="J102" authorId="171" shapeId="0" xr:uid="{00000000-0006-0000-0800-00005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18.753k€ (contrat initiale) + 31.15k€ (contrat cadre 60k€/an à partir du 23/05/23)</t>
      </text>
    </comment>
    <comment ref="Z102" authorId="172" shapeId="0" xr:uid="{00000000-0006-0000-0800-00006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Mésures compo : plantation d'une haie à 15k€</t>
      </text>
    </comment>
    <comment ref="K103" authorId="173" shapeId="0" xr:uid="{5C481985-E0DD-4B68-93AE-415FC1F57CD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3221€ d'installation gastop</t>
      </text>
    </comment>
    <comment ref="V103" authorId="174" shapeId="0" xr:uid="{00000000-0006-0000-0800-00006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X103" authorId="175" shapeId="0" xr:uid="{00000000-0006-0000-0800-00006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Boris K: démantèlement mât</t>
      </text>
    </comment>
    <comment ref="P104" authorId="80" shapeId="0" xr:uid="{00000000-0006-0000-0800-000066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Prix de RDL de 350€ par MW. J'ai divisé en 4 car il sera installé à partir du Septembre 2023.</t>
        </r>
      </text>
    </comment>
    <comment ref="T104" authorId="80" shapeId="0" xr:uid="{00000000-0006-0000-0800-000067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commande remplacement 9 extincteurs commande à Nordex de (3 059€) + commande 18 extincteurs à Desautel (1 745€)</t>
        </r>
      </text>
    </comment>
    <comment ref="U104" authorId="80" shapeId="0" xr:uid="{00000000-0006-0000-0800-000068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28/04/2023: Essais à la plaque pour chantier MCR Gearbox (2,8k€)</t>
        </r>
      </text>
    </comment>
    <comment ref="V104" authorId="80" shapeId="0" xr:uid="{00000000-0006-0000-0800-000069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commande débroussaillage (2,5k€). 
Remise en état de la plateforme de MAG 3,1 pour le remplacement de la gearbox (42k€). </t>
        </r>
      </text>
    </comment>
    <comment ref="AF104" authorId="18" shapeId="0" xr:uid="{00000000-0006-0000-0800-00006A010000}">
      <text>
        <r>
          <rPr>
            <sz val="9"/>
            <color theme="1"/>
            <rFont val="Calibri"/>
            <family val="2"/>
            <scheme val="minor"/>
          </rPr>
          <t>Joanna REVERSAT (2/5/23):
Suivi nécessaire afin de vérifier l'efficacité du bridage en faveur des chiroptères mis en place en 2023</t>
        </r>
      </text>
    </comment>
    <comment ref="AG104" authorId="18" shapeId="0" xr:uid="{00000000-0006-0000-0800-00006B010000}">
      <text>
        <r>
          <rPr>
            <sz val="9"/>
            <color theme="1"/>
            <rFont val="Calibri"/>
            <family val="2"/>
            <scheme val="minor"/>
          </rPr>
          <t>Joanna REVERSAT (2/5/23):
Suivi nécessaire afin de vérifier l'efficacité du bridage en faveur des chiroptères mis en place en 2023</t>
        </r>
      </text>
    </comment>
    <comment ref="AK104" authorId="176" shapeId="0" xr:uid="{00000000-0006-0000-0800-00006C010000}">
      <text>
        <r>
          <rPr>
            <sz val="9"/>
            <color theme="1"/>
            <rFont val="Calibri"/>
            <family val="2"/>
            <scheme val="minor"/>
          </rPr>
          <t>@Alejandro 24.05.23:
variable fee sur la production du contrat de maintenance avec Nordex de l’année 10 (2022)</t>
        </r>
      </text>
    </comment>
    <comment ref="V106" authorId="16" shapeId="0" xr:uid="{00000000-0006-0000-0800-00006E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module </t>
        </r>
      </text>
    </comment>
    <comment ref="AK106" authorId="17" shapeId="0" xr:uid="{00000000-0006-0000-0800-00006F01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bonus 23
</t>
        </r>
      </text>
    </comment>
    <comment ref="M107" authorId="177" shapeId="0" xr:uid="{00000000-0006-0000-0800-00007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reprise toît Shelters 2,4,6</t>
      </text>
    </comment>
    <comment ref="U107" authorId="178" shapeId="0" xr:uid="{00000000-0006-0000-0800-00007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Remplacement modules Sinistre grêle 108 000€ + Installation Télésurveillance MA24 77 800€</t>
      </text>
    </comment>
    <comment ref="K108" authorId="179" shapeId="0" xr:uid="{0379C8AE-C4D7-4A21-86E0-0532495CA45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16107€ d'installation gastop</t>
      </text>
    </comment>
    <comment ref="V108" authorId="180" shapeId="0" xr:uid="{00000000-0006-0000-0800-00007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22548.5€ travaux sur la plateforme</t>
      </text>
    </comment>
    <comment ref="Z108" authorId="181" shapeId="0" xr:uid="{00000000-0006-0000-0800-00007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9922€ d'installation système Lidar 
11410€ d'installation windfit</t>
      </text>
    </comment>
    <comment ref="AF108" authorId="182" shapeId="0" xr:uid="{00000000-0006-0000-0800-00007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AG108" authorId="183" shapeId="0" xr:uid="{00000000-0006-0000-0800-00007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T109" authorId="17" shapeId="0" xr:uid="{00000000-0006-0000-0800-000077010000}">
      <text>
        <r>
          <rPr>
            <sz val="9"/>
            <color theme="1"/>
            <rFont val="Calibri"/>
            <family val="2"/>
            <scheme val="minor"/>
          </rPr>
          <t>Arthur BROCHE:
Alès Cout OM</t>
        </r>
      </text>
    </comment>
    <comment ref="T110" authorId="184" shapeId="0" xr:uid="{00000000-0006-0000-0800-00007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batcoder nacelle + sécurisation portes</t>
      </text>
    </comment>
    <comment ref="V110" authorId="185" shapeId="0" xr:uid="{00000000-0006-0000-0800-00007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W110" authorId="186" shapeId="0" xr:uid="{00000000-0006-0000-0800-00007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AE110" authorId="18" shapeId="0" xr:uid="{00000000-0006-0000-0800-00007B010000}">
      <text>
        <r>
          <rPr>
            <sz val="9"/>
            <color theme="1"/>
            <rFont val="Calibri"/>
            <family val="2"/>
            <scheme val="minor"/>
          </rPr>
          <t>Joanna REVERSAT (2/5/23):
Cela inclut le suivi des busards (prescription de l'étude d'impact) et celui des milans royaux.</t>
        </r>
      </text>
    </comment>
    <comment ref="AG110" authorId="18" shapeId="0" xr:uid="{00000000-0006-0000-0800-00007C010000}">
      <text>
        <r>
          <rPr>
            <sz val="9"/>
            <color theme="1"/>
            <rFont val="Calibri"/>
            <family val="2"/>
            <scheme val="minor"/>
          </rPr>
          <t>Joanna REVERSAT (2/5/23):
Dernière année de suivi mortalité prescrit par l'étude d'impact (3ans) + utilité suite à la mortalité du Milan royal en 2022</t>
        </r>
      </text>
    </comment>
    <comment ref="AI110" authorId="18" shapeId="0" xr:uid="{00000000-0006-0000-0800-00007D010000}">
      <text>
        <r>
          <rPr>
            <sz val="9"/>
            <color theme="1"/>
            <rFont val="Calibri"/>
            <family val="2"/>
            <scheme val="minor"/>
          </rPr>
          <t>Joanna REVERSAT (2/5/23):
Mesures compensatoires prescrites par l'étude d'impact, restant à mettre en oeuvre avec le CPIE du Pays de l'Aisne</t>
        </r>
      </text>
    </comment>
    <comment ref="O111" authorId="86" shapeId="0" xr:uid="{00000000-0006-0000-0800-00007F010000}">
      <text>
        <r>
          <rPr>
            <sz val="9"/>
            <color theme="1"/>
            <rFont val="Calibri"/>
            <family val="2"/>
            <scheme val="minor"/>
          </rPr>
          <t xml:space="preserve">Stephane ESTRABAUT:
Données Fichier Théo
</t>
        </r>
      </text>
    </comment>
    <comment ref="P111" authorId="86" shapeId="0" xr:uid="{00000000-0006-0000-0800-00008001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T111" authorId="86" shapeId="0" xr:uid="{00000000-0006-0000-0800-000081010000}">
      <text>
        <r>
          <rPr>
            <sz val="9"/>
            <color theme="1"/>
            <rFont val="Calibri"/>
            <family val="2"/>
            <scheme val="minor"/>
          </rPr>
          <t xml:space="preserve">Stephane ESTRABAUT:
Réparation talus proche poste HTB
</t>
        </r>
      </text>
    </comment>
    <comment ref="V111" authorId="86" shapeId="0" xr:uid="{00000000-0006-0000-0800-000082010000}">
      <text>
        <r>
          <rPr>
            <sz val="9"/>
            <color theme="1"/>
            <rFont val="Calibri"/>
            <family val="2"/>
            <scheme val="minor"/>
          </rPr>
          <t xml:space="preserve">Stephane ESTRABAUT:
Debroussaillage, deneigement, Remise en état BOP- Réglement facture de 9K€ en deneigement de 2017 à 2019
</t>
        </r>
      </text>
    </comment>
    <comment ref="W111" authorId="20" shapeId="0" xr:uid="{00000000-0006-0000-0800-000083010000}">
      <text>
        <r>
          <rPr>
            <sz val="9"/>
            <color theme="1"/>
            <rFont val="Calibri"/>
            <family val="2"/>
            <scheme val="minor"/>
          </rPr>
          <t>Simon CLEMENCEAU:
controle reg</t>
        </r>
      </text>
    </comment>
    <comment ref="X111" authorId="86" shapeId="0" xr:uid="{00000000-0006-0000-0800-000084010000}">
      <text>
        <r>
          <rPr>
            <sz val="9"/>
            <color theme="1"/>
            <rFont val="Calibri"/>
            <family val="2"/>
            <scheme val="minor"/>
          </rPr>
          <t xml:space="preserve">Stephane ESTRABAUT:
Entretien instruments de mesures
</t>
        </r>
      </text>
    </comment>
    <comment ref="Z111" authorId="86" shapeId="0" xr:uid="{00000000-0006-0000-0800-000085010000}">
      <text>
        <r>
          <rPr>
            <sz val="9"/>
            <color theme="1"/>
            <rFont val="Calibri"/>
            <family val="2"/>
            <scheme val="minor"/>
          </rPr>
          <t>Stephane ESTRABAUT:
Etude acoustique plainte JOUVE MTAR SUD.13K€
Etude Givre par DNV 28K€</t>
        </r>
      </text>
    </comment>
    <comment ref="M112" authorId="187" shapeId="0" xr:uid="{00000000-0006-0000-0800-000087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Débroussaillage, coupe de pins </t>
      </text>
    </comment>
    <comment ref="P112" authorId="9" shapeId="0" xr:uid="{00000000-0006-0000-0800-000088010000}">
      <text>
        <r>
          <rPr>
            <sz val="9"/>
            <color theme="1"/>
            <rFont val="Calibri"/>
            <family val="2"/>
            <scheme val="minor"/>
          </rPr>
          <t>Barbara ATENE:
27/04/2023: MDR1-SS01 : Rétrofit firewall + Rétrofit serveur PI</t>
        </r>
      </text>
    </comment>
    <comment ref="V112" authorId="9" shapeId="0" xr:uid="{00000000-0006-0000-0800-000089010000}">
      <text>
        <r>
          <rPr>
            <sz val="9"/>
            <color theme="1"/>
            <rFont val="Calibri"/>
            <family val="2"/>
            <scheme val="minor"/>
          </rPr>
          <t>Barbara ATENE:
27/04/2023: Nettoyage modules réalisé par Voltnet en mars 2023.</t>
        </r>
      </text>
    </comment>
    <comment ref="AH112" authorId="188" shapeId="0" xr:uid="{00000000-0006-0000-0800-00008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Accompagnement BE enviro des travaux automne 2023 - à valider</t>
      </text>
    </comment>
    <comment ref="AK112" authorId="9" shapeId="0" xr:uid="{00000000-0006-0000-0800-00008B010000}">
      <text>
        <r>
          <rPr>
            <sz val="9"/>
            <color theme="1"/>
            <rFont val="Calibri"/>
            <family val="2"/>
            <scheme val="minor"/>
          </rPr>
          <t>Barbara ATENE:
28/04/2023: Bonus Année d'exploitation n. 12</t>
        </r>
      </text>
    </comment>
    <comment ref="K113" authorId="189" shapeId="0" xr:uid="{6027DA84-B225-4ABF-B30A-99487B8AAA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14962€ d'installation gastop</t>
      </text>
    </comment>
    <comment ref="N113" authorId="7" shapeId="0" xr:uid="{00000000-0006-0000-0800-00008C010000}">
      <text>
        <r>
          <rPr>
            <sz val="9"/>
            <color theme="1"/>
            <rFont val="Calibri"/>
            <family val="2"/>
            <scheme val="minor"/>
          </rPr>
          <t>Aubin EXBRAYAT:
+ seconde inspection 400 € / WTG</t>
        </r>
      </text>
    </comment>
    <comment ref="P113" authorId="7" shapeId="0" xr:uid="{00000000-0006-0000-0800-00008D010000}">
      <text>
        <r>
          <rPr>
            <sz val="9"/>
            <color theme="1"/>
            <rFont val="Calibri"/>
            <family val="2"/>
            <scheme val="minor"/>
          </rPr>
          <t>Aubin EXBRAYAT:
Aubin EXBRAYAT:
440 € / MW</t>
        </r>
      </text>
    </comment>
    <comment ref="V113" authorId="7" shapeId="0" xr:uid="{00000000-0006-0000-0800-00008F01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C113" authorId="7" shapeId="0" xr:uid="{00000000-0006-0000-0800-000090010000}">
      <text>
        <r>
          <rPr>
            <sz val="9"/>
            <color theme="1"/>
            <rFont val="Calibri"/>
            <family val="2"/>
            <scheme val="minor"/>
          </rPr>
          <t>Aubin EXBRAYAT:
CONTRAT OM SDA</t>
        </r>
      </text>
    </comment>
    <comment ref="AK113" authorId="7" shapeId="0" xr:uid="{00000000-0006-0000-0800-000091010000}">
      <text>
        <r>
          <rPr>
            <sz val="9"/>
            <color theme="1"/>
            <rFont val="Calibri"/>
            <family val="2"/>
            <scheme val="minor"/>
          </rPr>
          <t xml:space="preserve">Aubin EXBRAYAT:
Aubin EXBRAYAT:
sur la base des années précedentes </t>
        </r>
      </text>
    </comment>
    <comment ref="V114" authorId="190" shapeId="0" xr:uid="{00000000-0006-0000-0800-00009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114" authorId="191" shapeId="0" xr:uid="{00000000-0006-0000-0800-00009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2nd inspection pales ICPE</t>
      </text>
    </comment>
    <comment ref="AA114" authorId="192" shapeId="0" xr:uid="{00000000-0006-0000-0800-00009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de partenariat Zimming + Repas inauguration</t>
      </text>
    </comment>
    <comment ref="AE114" authorId="18" shapeId="0" xr:uid="{00000000-0006-0000-0800-000096010000}">
      <text>
        <r>
          <rPr>
            <sz val="9"/>
            <color theme="1"/>
            <rFont val="Calibri"/>
            <family val="2"/>
            <scheme val="minor"/>
          </rPr>
          <t>Joanna REVERSAT (2/5/23):
Suivi des milans royaux suite à mortalité en 2022</t>
        </r>
      </text>
    </comment>
    <comment ref="AG114" authorId="18" shapeId="0" xr:uid="{00000000-0006-0000-0800-000097010000}">
      <text>
        <r>
          <rPr>
            <sz val="9"/>
            <color theme="1"/>
            <rFont val="Calibri"/>
            <family val="2"/>
            <scheme val="minor"/>
          </rPr>
          <t>Joanna REVERSAT (2/5/23):
Suivi suite à mortalité des milans royaux en 2022</t>
        </r>
      </text>
    </comment>
    <comment ref="S115" authorId="193" shapeId="0" xr:uid="{00000000-0006-0000-0800-00009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estimation fixed fee (112 k€) + variable fee (226 k€) suivant le contrat</t>
      </text>
    </comment>
    <comment ref="V115" authorId="194" shapeId="0" xr:uid="{00000000-0006-0000-0800-00009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 + 2 panneaux ICPE à changer</t>
      </text>
    </comment>
    <comment ref="AE116" authorId="18" shapeId="0" xr:uid="{00000000-0006-0000-0800-00009C010000}">
      <text>
        <r>
          <rPr>
            <sz val="9"/>
            <color theme="1"/>
            <rFont val="Calibri"/>
            <family val="2"/>
            <scheme val="minor"/>
          </rPr>
          <t>Joanna REVERSAT (2/5/23):
Suivi des busards avec LPO17</t>
        </r>
      </text>
    </comment>
    <comment ref="AI116" authorId="18" shapeId="0" xr:uid="{00000000-0006-0000-0800-00009D010000}">
      <text>
        <r>
          <rPr>
            <sz val="9"/>
            <color theme="1"/>
            <rFont val="Calibri"/>
            <family val="2"/>
            <scheme val="minor"/>
          </rPr>
          <t>Joanna REVERSAT (2/5/23):
Mesures compensatoires (prescrites par l'étude d'impact) restant à mettre en oeuvre en faveur des oiseaux et des chauves-souris</t>
        </r>
      </text>
    </comment>
    <comment ref="V117" authorId="9" shapeId="0" xr:uid="{00000000-0006-0000-0800-00009F010000}">
      <text>
        <r>
          <rPr>
            <sz val="9"/>
            <color theme="1"/>
            <rFont val="Calibri"/>
            <family val="2"/>
            <scheme val="minor"/>
          </rPr>
          <t>Barbara ATENE:
27/04/2023: Nettoyage modules réalisé par Voltnet en mars 2023.</t>
        </r>
      </text>
    </comment>
    <comment ref="J119" authorId="195" shapeId="0" xr:uid="{00000000-0006-0000-0800-0000A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15.44k€ pour 4.6 mois (contrat provisoire) + 66.93k€ pour 8.4 mois (contrat cadre 95.618k€/an)</t>
      </text>
    </comment>
    <comment ref="AH119" authorId="196" shapeId="0" xr:uid="{00000000-0006-0000-0800-0000A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
Réponse :
    suivi enviro</t>
      </text>
    </comment>
    <comment ref="AI119" authorId="197" shapeId="0" xr:uid="{00000000-0006-0000-0800-0000A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mesures compensatoires</t>
      </text>
    </comment>
    <comment ref="AC120" authorId="198" shapeId="0" xr:uid="{00000000-0006-0000-0800-0000A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20" authorId="199" shapeId="0" xr:uid="{00000000-0006-0000-0800-0000A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20" authorId="200" shapeId="0" xr:uid="{00000000-0006-0000-0800-0000A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étude feuille de route DREAL (NEOSOLUS) + travaux ouverture milieux (SERPE)</t>
      </text>
    </comment>
    <comment ref="AH121" authorId="201" shapeId="0" xr:uid="{00000000-0006-0000-0800-0000A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PC</t>
      </text>
    </comment>
    <comment ref="S122" authorId="202" shapeId="0" xr:uid="{00000000-0006-0000-0800-0000A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maintenance pale SGRE</t>
      </text>
    </comment>
    <comment ref="Z122" authorId="203" shapeId="0" xr:uid="{00000000-0006-0000-0800-0000A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3750€ géoréférencement réseaux HTA</t>
      </text>
    </comment>
    <comment ref="Z123" authorId="204" shapeId="0" xr:uid="{00000000-0006-0000-0800-0000A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Réponse :
    3240€ géoréférencement réseaux HTA</t>
      </text>
    </comment>
    <comment ref="J124" authorId="205" shapeId="0" xr:uid="{00000000-0006-0000-0800-0000A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99.344k€/an (reprise en debut juin). thermo inclus</t>
      </text>
    </comment>
    <comment ref="Q124" authorId="206" shapeId="0" xr:uid="{00000000-0006-0000-0800-0000A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Site particulier (12%)</t>
      </text>
    </comment>
    <comment ref="AH124" authorId="18" shapeId="0" xr:uid="{00000000-0006-0000-0800-0000AE010000}">
      <text>
        <r>
          <rPr>
            <sz val="9"/>
            <color theme="1"/>
            <rFont val="Calibri"/>
            <family val="2"/>
            <scheme val="minor"/>
          </rPr>
          <t>Joanna REVERSAT (2/5/23):
Suivi faune/flore 1ère année. Montant basé sur le devis du BE Rainette</t>
        </r>
      </text>
    </comment>
    <comment ref="N125" authorId="20" shapeId="0" xr:uid="{00000000-0006-0000-0800-0000AF010000}">
      <text>
        <r>
          <rPr>
            <sz val="9"/>
            <color theme="1"/>
            <rFont val="Calibri"/>
            <family val="2"/>
            <scheme val="minor"/>
          </rPr>
          <t xml:space="preserve">Simon CLEMENCEAU:
inspection pales
</t>
        </r>
      </text>
    </comment>
    <comment ref="J126" authorId="90" shapeId="0" xr:uid="{00000000-0006-0000-0800-0000B0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Prorata début contrat O&amp;M DPL </t>
        </r>
      </text>
    </comment>
    <comment ref="S126" authorId="90" shapeId="0" xr:uid="{00000000-0006-0000-0800-0000B1010000}">
      <text>
        <r>
          <rPr>
            <sz val="9"/>
            <color theme="1"/>
            <rFont val="Calibri"/>
            <family val="2"/>
            <scheme val="minor"/>
          </rPr>
          <t>Sarah Houdusse:
Prorata début contrat EPK (T4 2023 uniquement)  39,4k€/WTG</t>
        </r>
      </text>
    </comment>
    <comment ref="Y126" authorId="90" shapeId="0" xr:uid="{00000000-0006-0000-0800-0000B2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RDL 440€/MW</t>
        </r>
      </text>
    </comment>
    <comment ref="AC126" authorId="90" shapeId="0" xr:uid="{00000000-0006-0000-0800-0000B3010000}">
      <text>
        <r>
          <rPr>
            <sz val="9"/>
            <color theme="1"/>
            <rFont val="Calibri"/>
            <family val="2"/>
            <scheme val="minor"/>
          </rPr>
          <t>Sarah Houdusse:
O&amp;M SDA pour T4 2023</t>
        </r>
      </text>
    </comment>
    <comment ref="AD126" authorId="90" shapeId="0" xr:uid="{00000000-0006-0000-0800-0000B4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Container déchet</t>
        </r>
      </text>
    </comment>
    <comment ref="K127" authorId="207" shapeId="0" xr:uid="{4B497606-D544-4E12-94F9-80D0F0BE0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9647€ d'installation gastop</t>
      </text>
    </comment>
    <comment ref="Z127" authorId="208" shapeId="0" xr:uid="{00000000-0006-0000-0800-0000B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420€ Dédommagement dégâts cultures PAMP
Réponse :
    3750€ géoréférencement réseaux HTA</t>
      </text>
    </comment>
    <comment ref="J128" authorId="152" shapeId="0" xr:uid="{00000000-0006-0000-0800-0000B801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part variable ; à appliquer seulement en cas de dépassement du seuil de production de 47 850 MWh.</t>
        </r>
      </text>
    </comment>
    <comment ref="T128" authorId="80" shapeId="0" xr:uid="{00000000-0006-0000-0800-0000B9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Visite pré-installation de 6 nouveaux lift.</t>
        </r>
      </text>
    </comment>
    <comment ref="V128" authorId="80" shapeId="0" xr:uid="{00000000-0006-0000-0800-0000BA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Fauchage de la végétation sauvage autour des éoliennes et débroussaillage des bandes enherbées</t>
        </r>
      </text>
    </comment>
    <comment ref="W128" authorId="80" shapeId="0" xr:uid="{00000000-0006-0000-0800-0000BB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campagne de mesure lidar par Epsiline.
</t>
        </r>
      </text>
    </comment>
    <comment ref="AI128" authorId="209" shapeId="0" xr:uid="{00000000-0006-0000-0800-0000B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CEN</t>
      </text>
    </comment>
    <comment ref="T129" authorId="210" shapeId="0" xr:uid="{00000000-0006-0000-0800-0000B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40000€</t>
      </text>
    </comment>
    <comment ref="V129" authorId="211" shapeId="0" xr:uid="{00000000-0006-0000-0800-0000B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espaces verts et divers 30k€</t>
      </text>
    </comment>
    <comment ref="W129" authorId="212" shapeId="0" xr:uid="{00000000-0006-0000-0800-0000C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4/5/2023:
- Inspection éoliennes 7k€</t>
      </text>
    </comment>
    <comment ref="Y129" authorId="213" shapeId="0" xr:uid="{00000000-0006-0000-0800-0000C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mise à jour EMS suite demande EDF SEI: 2k€</t>
      </text>
    </comment>
    <comment ref="Z129" authorId="214" shapeId="0" xr:uid="{00000000-0006-0000-0800-0000C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3,7k€</t>
      </text>
    </comment>
    <comment ref="AA129" authorId="215" shapeId="0" xr:uid="{00000000-0006-0000-0800-0000C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X130" authorId="20" shapeId="0" xr:uid="{00000000-0006-0000-0800-0000C4010000}">
      <text>
        <r>
          <rPr>
            <sz val="9"/>
            <color theme="1"/>
            <rFont val="Calibri"/>
            <family val="2"/>
            <scheme val="minor"/>
          </rPr>
          <t>Simon CLEMENCEAU:
réparation antenne relai telecom</t>
        </r>
      </text>
    </comment>
    <comment ref="AC130" authorId="216" shapeId="0" xr:uid="{00000000-0006-0000-0800-0000C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30" authorId="217" shapeId="0" xr:uid="{00000000-0006-0000-0800-0000C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30" authorId="218" shapeId="0" xr:uid="{00000000-0006-0000-0800-0000C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travaux ouverture milieux (SERPE)</t>
      </text>
    </comment>
    <comment ref="V131" authorId="219" shapeId="0" xr:uid="{00000000-0006-0000-0800-0000C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Cloture</t>
      </text>
    </comment>
    <comment ref="Z131" authorId="220" shapeId="0" xr:uid="{00000000-0006-0000-0800-0000C9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Aléa + connecteurs modules
</t>
      </text>
    </comment>
    <comment ref="AA131" authorId="221" shapeId="0" xr:uid="{00000000-0006-0000-0800-0000CA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ancrage 0,2%
</t>
      </text>
    </comment>
    <comment ref="J132" authorId="85" shapeId="0" xr:uid="{00000000-0006-0000-0800-0000CB01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Contrat Cadre poste N+9</t>
        </r>
      </text>
    </comment>
    <comment ref="P132" authorId="86" shapeId="0" xr:uid="{00000000-0006-0000-0800-0000CC01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132" authorId="86" shapeId="0" xr:uid="{00000000-0006-0000-0800-0000CD010000}">
      <text>
        <r>
          <rPr>
            <sz val="9"/>
            <color theme="1"/>
            <rFont val="Calibri"/>
            <family val="2"/>
            <scheme val="minor"/>
          </rPr>
          <t xml:space="preserve">Stephane ESTRABAUT:
Debroussaillage </t>
        </r>
      </text>
    </comment>
    <comment ref="W132" authorId="20" shapeId="0" xr:uid="{00000000-0006-0000-0800-0000CE010000}">
      <text>
        <r>
          <rPr>
            <sz val="9"/>
            <color theme="1"/>
            <rFont val="Calibri"/>
            <family val="2"/>
            <scheme val="minor"/>
          </rPr>
          <t>Simon CLEMENCEAU:
controle reg</t>
        </r>
      </text>
    </comment>
    <comment ref="X132" authorId="86" shapeId="0" xr:uid="{00000000-0006-0000-0800-0000CF010000}">
      <text>
        <r>
          <rPr>
            <sz val="9"/>
            <color theme="1"/>
            <rFont val="Calibri"/>
            <family val="2"/>
            <scheme val="minor"/>
          </rPr>
          <t>Stephane ESTRABAUT:
Entretien instruments de mesures</t>
        </r>
      </text>
    </comment>
    <comment ref="Z132" authorId="222" shapeId="0" xr:uid="{00000000-0006-0000-0800-0000D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3750€ géoréférencement réseaux HTA</t>
      </text>
    </comment>
    <comment ref="T133" authorId="83" shapeId="0" xr:uid="{00000000-0006-0000-0800-0000D1010000}">
      <text>
        <r>
          <rPr>
            <sz val="9"/>
            <color theme="1"/>
            <rFont val="Calibri"/>
            <family val="2"/>
            <scheme val="minor"/>
          </rPr>
          <t>Antoine NEELZ:
AnN 19/04/2023 : 
1500€ intervention relance poste (prévisionnel)
2553,13€ + 845,68€ réparations suite à intrusion E01-E02</t>
        </r>
      </text>
    </comment>
    <comment ref="V133" authorId="83" shapeId="0" xr:uid="{00000000-0006-0000-0800-0000D2010000}">
      <text>
        <r>
          <rPr>
            <sz val="9"/>
            <color theme="1"/>
            <rFont val="Calibri"/>
            <family val="2"/>
            <scheme val="minor"/>
          </rPr>
          <t>Antoine NEELZ:
AnN 19/04/2023 : 
4000€ réflexion pistes (prévisionnel)
2776€ grilles de renforcement portes
3932€ entretien végétation
875€ nettoyage plateforme (prévisionnel)</t>
        </r>
      </text>
    </comment>
    <comment ref="W133" authorId="83" shapeId="0" xr:uid="{00000000-0006-0000-0800-0000D301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
2400€ inspection semestrielle pales
</t>
        </r>
      </text>
    </comment>
    <comment ref="Y133" authorId="83" shapeId="0" xr:uid="{00000000-0006-0000-0800-0000D4010000}">
      <text>
        <r>
          <rPr>
            <sz val="9"/>
            <color theme="1"/>
            <rFont val="Calibri"/>
            <family val="2"/>
            <scheme val="minor"/>
          </rPr>
          <t>Antoine NEELZ:
AnN 19/04/2023 : 
717€ abonnement communication par satellite</t>
        </r>
      </text>
    </comment>
    <comment ref="AK133" authorId="223" shapeId="0" xr:uid="{00000000-0006-0000-0800-0000D5010000}">
      <text>
        <r>
          <rPr>
            <sz val="9"/>
            <color theme="1"/>
            <rFont val="Calibri"/>
            <family val="2"/>
            <scheme val="minor"/>
          </rPr>
          <t>Othmane OUTAYEB:
AnN le 26/04/2023 :
Diff entre budget 22 (-38730,95) et réel (-42997,63)</t>
        </r>
      </text>
    </comment>
    <comment ref="J134" authorId="80" shapeId="0" xr:uid="{00000000-0006-0000-0800-0000D7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Moyenne de la rémunération 
forfaitaire pour la durée 
d’application du Contrat Cadre d'Exploitation 
et Maintenance.
</t>
        </r>
      </text>
    </comment>
    <comment ref="P134" authorId="80" shapeId="0" xr:uid="{00000000-0006-0000-0800-0000D8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Prix de RDL de 350€ par MW. J'ai divisé en 4 car il sera installé à partir du septembre 2023.</t>
        </r>
      </text>
    </comment>
    <comment ref="V134" authorId="80" shapeId="0" xr:uid="{00000000-0006-0000-0800-0000D9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débroussaillage plateformes éoliennes et PDL.</t>
        </r>
      </text>
    </comment>
    <comment ref="W134" authorId="80" shapeId="0" xr:uid="{00000000-0006-0000-0800-0000DA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02/05/2023: reparation pale suite à un impact de foudre. </t>
        </r>
      </text>
    </comment>
    <comment ref="X134" authorId="80" shapeId="0" xr:uid="{00000000-0006-0000-0800-0000DB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Batmodule - Régularisation de facture.</t>
        </r>
      </text>
    </comment>
    <comment ref="Y134" authorId="80" shapeId="0" xr:uid="{00000000-0006-0000-0800-0000DC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Prestation et activation 2nde adresse IP Publique par Com-IP.</t>
        </r>
      </text>
    </comment>
    <comment ref="AK134" authorId="80" shapeId="0" xr:uid="{00000000-0006-0000-0800-0000DD01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05/05/2023: 8k€ provisioné en decembre 2022. Bonus final calculé à 10k€.</t>
        </r>
      </text>
    </comment>
    <comment ref="V135" authorId="224" shapeId="0" xr:uid="{00000000-0006-0000-0800-0000D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 + installation barrière PE04</t>
      </text>
    </comment>
    <comment ref="Z135" authorId="225" shapeId="0" xr:uid="{00000000-0006-0000-0800-0000E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4770€ géoréférencement réseaux HTA</t>
      </text>
    </comment>
    <comment ref="J136" authorId="52" shapeId="0" xr:uid="{00000000-0006-0000-0800-0000E2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contrat cadre
</t>
        </r>
      </text>
    </comment>
    <comment ref="W136" authorId="52" shapeId="0" xr:uid="{00000000-0006-0000-0800-0000E3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5*1,2 controles reg
</t>
        </r>
      </text>
    </comment>
    <comment ref="AF136" authorId="226" shapeId="0" xr:uid="{00000000-0006-0000-0800-0000E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activité suite aux mortalités 2022</t>
      </text>
    </comment>
    <comment ref="AG136" authorId="227" shapeId="0" xr:uid="{00000000-0006-0000-0800-0000E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mortalité 2023 suite aux résultats 2022</t>
      </text>
    </comment>
    <comment ref="AI136" authorId="228" shapeId="0" xr:uid="{00000000-0006-0000-0800-0000E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Suivis mesures compensatoires + travaux d'ouverture</t>
      </text>
    </comment>
    <comment ref="K137" authorId="229" shapeId="0" xr:uid="{6DC31B30-DFAA-4429-8346-EFB8C4C20B2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16107€ d'installation gastop</t>
      </text>
    </comment>
    <comment ref="V137" authorId="230" shapeId="0" xr:uid="{00000000-0006-0000-0800-0000E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1541 Entretien plateforme</t>
      </text>
    </comment>
    <comment ref="AK137" authorId="231" shapeId="0" xr:uid="{00000000-0006-0000-0800-0000E9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MaA 26/04/2023
Estimation Malus 2022 : 7298€
Malus réel 2022 : 3523€
Réponse :
    14084€ de paiement final Energy trust </t>
      </text>
    </comment>
    <comment ref="P138" authorId="29" shapeId="0" xr:uid="{00000000-0006-0000-0800-0000EA01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Z138" authorId="29" shapeId="0" xr:uid="{00000000-0006-0000-0800-0000EB010000}">
      <text>
        <r>
          <rPr>
            <sz val="9"/>
            <color theme="1"/>
            <rFont val="Calibri"/>
            <family val="2"/>
            <scheme val="minor"/>
          </rPr>
          <t>Olivier DE PESSEMIER:
Accompagnement Enercon 
 installation SDA</t>
        </r>
      </text>
    </comment>
    <comment ref="AC138" authorId="29" shapeId="0" xr:uid="{00000000-0006-0000-0800-0000EC010000}">
      <text>
        <r>
          <rPr>
            <sz val="9"/>
            <color theme="1"/>
            <rFont val="Calibri"/>
            <family val="2"/>
            <scheme val="minor"/>
          </rPr>
          <t>Olivier DE PESSEMIER:
contrat O&amp;M SDA (7 mois) + nacelle</t>
        </r>
      </text>
    </comment>
    <comment ref="AE138" authorId="232" shapeId="0" xr:uid="{00000000-0006-0000-0800-0000E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Biomonitoring + suivi drones</t>
      </text>
    </comment>
    <comment ref="Z139" authorId="233" shapeId="0" xr:uid="{00000000-0006-0000-0800-0000E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3240€ géoréférencement réseaux HTA</t>
      </text>
    </comment>
    <comment ref="AK139" authorId="6" shapeId="0" xr:uid="{00000000-0006-0000-0800-0000F001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Bonus estimer pour 2022-2023</t>
        </r>
      </text>
    </comment>
    <comment ref="AF140" authorId="18" shapeId="0" xr:uid="{00000000-0006-0000-0800-0000F1010000}">
      <text>
        <r>
          <rPr>
            <sz val="9"/>
            <color theme="1"/>
            <rFont val="Calibri"/>
            <family val="2"/>
            <scheme val="minor"/>
          </rPr>
          <t>Joanna REVERSAT (2/5/23):
Suivi décennal. Montant basé sur le devis du CPIE Sud Champagne</t>
        </r>
      </text>
    </comment>
    <comment ref="AG140" authorId="18" shapeId="0" xr:uid="{00000000-0006-0000-0800-0000F2010000}">
      <text>
        <r>
          <rPr>
            <sz val="9"/>
            <color theme="1"/>
            <rFont val="Calibri"/>
            <family val="2"/>
            <scheme val="minor"/>
          </rPr>
          <t>Joanna REVERSAT (2/5/23):
Suivi décennal. Montant basé sur le devis du CPIE Sud Champagne</t>
        </r>
      </text>
    </comment>
    <comment ref="T141" authorId="234" shapeId="0" xr:uid="{00000000-0006-0000-0800-0000F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suppression 25k€
- aléas 26k€</t>
      </text>
    </comment>
    <comment ref="V141" authorId="235" shapeId="0" xr:uid="{00000000-0006-0000-0800-0000F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Espace vert 9k€</t>
      </text>
    </comment>
    <comment ref="X141" authorId="236" shapeId="0" xr:uid="{00000000-0006-0000-0800-0000F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suppression 6400€
- transport modules FS to Potiche2: 9k€</t>
      </text>
    </comment>
    <comment ref="Z141" authorId="237" shapeId="0" xr:uid="{00000000-0006-0000-0800-0000F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41" authorId="238" shapeId="0" xr:uid="{00000000-0006-0000-0800-0000F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J142" authorId="20" shapeId="0" xr:uid="{00000000-0006-0000-0800-0000F9010000}">
      <text>
        <r>
          <rPr>
            <sz val="9"/>
            <color theme="1"/>
            <rFont val="Calibri"/>
            <family val="2"/>
            <scheme val="minor"/>
          </rPr>
          <t>Simon CLEMENCEAU:
10k€ pour pdl</t>
        </r>
      </text>
    </comment>
    <comment ref="N142" authorId="20" shapeId="0" xr:uid="{00000000-0006-0000-0800-0000FA010000}">
      <text>
        <r>
          <rPr>
            <sz val="9"/>
            <color theme="1"/>
            <rFont val="Calibri"/>
            <family val="2"/>
            <scheme val="minor"/>
          </rPr>
          <t>Simon CLEMENCEAU:
inspection pales</t>
        </r>
      </text>
    </comment>
    <comment ref="P142" authorId="90" shapeId="0" xr:uid="{00000000-0006-0000-0800-0000FB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Reprise SCADA 10k€
RDL 440€/MWh</t>
        </r>
      </text>
    </comment>
    <comment ref="Y142" authorId="90" shapeId="0" xr:uid="{00000000-0006-0000-0800-0000FC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décommisioning scada Vestas : 14k€</t>
        </r>
      </text>
    </comment>
    <comment ref="AG142" authorId="239" shapeId="0" xr:uid="{00000000-0006-0000-0800-0000F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fonction du bureau d'étude choisi, cf JPA avec mutualisation OUPIA
Réponse :
    prorata sur 2023 selon devis EXEN</t>
      </text>
    </comment>
    <comment ref="T143" authorId="240" shapeId="0" xr:uid="{00000000-0006-0000-0800-0000F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143" authorId="241" shapeId="0" xr:uid="{00000000-0006-0000-0800-0000F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7,2k€</t>
      </text>
    </comment>
    <comment ref="W143" authorId="242" shapeId="0" xr:uid="{00000000-0006-0000-0800-00000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drone1,9k€
- inspection électrique apave 1,2k€ suite vol</t>
      </text>
    </comment>
    <comment ref="Z143" authorId="243" shapeId="0" xr:uid="{00000000-0006-0000-0800-00000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43" authorId="244" shapeId="0" xr:uid="{00000000-0006-0000-0800-000002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K144" authorId="245" shapeId="0" xr:uid="{2B963523-533F-4706-A2FC-1EB1C83B432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16276€ d'installation gastop</t>
      </text>
    </comment>
    <comment ref="P144" authorId="3" shapeId="0" xr:uid="{00000000-0006-0000-0800-00000302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 pour 2023 : 350€/MW soumis à validation avec le partenaire fin 2022</t>
        </r>
      </text>
    </comment>
    <comment ref="V144" authorId="3" shapeId="0" xr:uid="{00000000-0006-0000-0800-00000502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1330€ Débroussaillage plateforme MCR + 2500€ a prévoir pour le débrousaillage de toutes les plateformes.</t>
        </r>
      </text>
    </comment>
    <comment ref="K145" authorId="246" shapeId="0" xr:uid="{61AF0D17-7946-4899-889C-7668F7DEC8F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42285€ d'installation gastop</t>
      </text>
    </comment>
    <comment ref="N145" authorId="3" shapeId="0" xr:uid="{00000000-0006-0000-0800-00000702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03/03/23
Inspections pales</t>
        </r>
      </text>
    </comment>
    <comment ref="P145" authorId="3" shapeId="0" xr:uid="{00000000-0006-0000-0800-00000802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 pour 2023 : 350€/MW soumis à validation avec le partenaire fin 2022</t>
        </r>
      </text>
    </comment>
    <comment ref="Z145" authorId="247" shapeId="0" xr:uid="{00000000-0006-0000-0800-00000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13680€ d'instalation windfit 
9922 € installatio système Lidar</t>
      </text>
    </comment>
    <comment ref="AK145" authorId="248" shapeId="0" xr:uid="{00000000-0006-0000-0800-00000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86910€ de paiement final à SGRE pour energy trust</t>
      </text>
    </comment>
    <comment ref="K146" authorId="249" shapeId="0" xr:uid="{69929152-8FD9-46A5-8EE0-A3337050E46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13089€ d'installation gastop</t>
      </text>
    </comment>
    <comment ref="N147" authorId="90" shapeId="0" xr:uid="{00000000-0006-0000-0800-00000F020000}">
      <text>
        <r>
          <rPr>
            <sz val="9"/>
            <color theme="1"/>
            <rFont val="Calibri"/>
            <family val="2"/>
            <scheme val="minor"/>
          </rPr>
          <t>Sarah Houdusse:
Inspection fin de vie + inspection pales</t>
        </r>
      </text>
    </comment>
    <comment ref="P147" authorId="90" shapeId="0" xr:uid="{00000000-0006-0000-0800-00001002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RDL: 440€/MWh</t>
        </r>
      </text>
    </comment>
    <comment ref="Q147" authorId="90" shapeId="0" xr:uid="{00000000-0006-0000-0800-00001102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Accompagnement câbles HTA</t>
        </r>
      </text>
    </comment>
    <comment ref="Z147" authorId="250" shapeId="0" xr:uid="{00000000-0006-0000-0800-000012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3240€ géoréférencement réseaux HTA</t>
      </text>
    </comment>
    <comment ref="AA148" authorId="251" shapeId="0" xr:uid="{00000000-0006-0000-0800-00001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P149" authorId="29" shapeId="0" xr:uid="{00000000-0006-0000-0800-00001402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AF149" authorId="252" shapeId="0" xr:uid="{00000000-0006-0000-0800-000015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AG149" authorId="253" shapeId="0" xr:uid="{00000000-0006-0000-0800-00001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AI149" authorId="254" shapeId="0" xr:uid="{00000000-0006-0000-0800-00001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apiculteur, vu avec Olivier</t>
      </text>
    </comment>
    <comment ref="J150" authorId="255" shapeId="0" xr:uid="{00000000-0006-0000-0800-00001802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calcul de l'O&amp;M non fait, estimation
</t>
      </text>
    </comment>
    <comment ref="P152" authorId="256" shapeId="0" xr:uid="{00000000-0006-0000-0800-000019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+ retrofit PDL reboot distant</t>
      </text>
    </comment>
    <comment ref="V152" authorId="257" shapeId="0" xr:uid="{00000000-0006-0000-0800-00001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Débrouissaillage  + reprises diverse suite inspection ICPE (anticipation)</t>
      </text>
    </comment>
    <comment ref="W152" authorId="258" shapeId="0" xr:uid="{00000000-0006-0000-0800-00001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 light</t>
      </text>
    </comment>
    <comment ref="AC152" authorId="259" shapeId="0" xr:uid="{00000000-0006-0000-0800-00001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Audiobat</t>
      </text>
    </comment>
    <comment ref="AF152" authorId="260" shapeId="0" xr:uid="{00000000-0006-0000-0800-00001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(3/3)</t>
      </text>
    </comment>
    <comment ref="AG152" authorId="261" shapeId="0" xr:uid="{00000000-0006-0000-0800-00001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(3/3)</t>
      </text>
    </comment>
    <comment ref="AI152" authorId="262" shapeId="0" xr:uid="{00000000-0006-0000-0800-00001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Zones Humides</t>
      </text>
    </comment>
    <comment ref="AK152" authorId="263" shapeId="0" xr:uid="{00000000-0006-0000-0800-00002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</t>
      </text>
    </comment>
    <comment ref="J153" authorId="152" shapeId="0" xr:uid="{00000000-0006-0000-0800-00002102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+ variable 0.00633
</t>
        </r>
      </text>
    </comment>
    <comment ref="V153" authorId="83" shapeId="0" xr:uid="{00000000-0006-0000-0800-000022020000}">
      <text>
        <r>
          <rPr>
            <sz val="9"/>
            <color theme="1"/>
            <rFont val="Calibri"/>
            <family val="2"/>
            <scheme val="minor"/>
          </rPr>
          <t>Antoine NEELZ:
AnN 19/04/2023 : 
1600€ entretien végétation
1500€ panneaux ICPE (prévisionnel)</t>
        </r>
      </text>
    </comment>
    <comment ref="X153" authorId="83" shapeId="0" xr:uid="{00000000-0006-0000-0800-000023020000}">
      <text>
        <r>
          <rPr>
            <sz val="9"/>
            <color theme="1"/>
            <rFont val="Calibri"/>
            <family val="2"/>
            <scheme val="minor"/>
          </rPr>
          <t>Antoine NEELZ:
AnN 19/04/2023 : 
Etude acoustique ?</t>
        </r>
      </text>
    </comment>
    <comment ref="K154" authorId="264" shapeId="0" xr:uid="{E96F0C8B-2610-4640-919D-337673BB20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3221€ d'installation gastop</t>
      </text>
    </comment>
    <comment ref="AH156" authorId="18" shapeId="0" xr:uid="{00000000-0006-0000-0800-000026020000}">
      <text>
        <r>
          <rPr>
            <sz val="9"/>
            <color theme="1"/>
            <rFont val="Calibri"/>
            <family val="2"/>
            <scheme val="minor"/>
          </rPr>
          <t>Joanna REVERSAT (3/5/23):
Aucun suivi faune/flore indiqué dans l'étude d'impact</t>
        </r>
      </text>
    </comment>
    <comment ref="AK156" authorId="17" shapeId="0" xr:uid="{00000000-0006-0000-0800-00002702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Bonus 23
</t>
        </r>
      </text>
    </comment>
    <comment ref="T157" authorId="79" shapeId="0" xr:uid="{00000000-0006-0000-0800-000028020000}">
      <text>
        <r>
          <rPr>
            <b/>
            <sz val="9"/>
            <color indexed="81"/>
            <rFont val="Tahoma"/>
            <family val="2"/>
          </rPr>
          <t>Melanie SICARD:</t>
        </r>
        <r>
          <rPr>
            <sz val="9"/>
            <color indexed="81"/>
            <rFont val="Tahoma"/>
            <family val="2"/>
          </rPr>
          <t xml:space="preserve">
Mélanie Sicard (17/04/2023) : estimation dépose batcorder (500€)
</t>
        </r>
      </text>
    </comment>
    <comment ref="V157" authorId="79" shapeId="0" xr:uid="{00000000-0006-0000-0800-000029020000}">
      <text>
        <r>
          <rPr>
            <sz val="9"/>
            <color theme="1"/>
            <rFont val="Calibri"/>
            <family val="2"/>
            <scheme val="minor"/>
          </rPr>
          <t>Mélanie Sicard (17/04/2023):
- Entretient paysager (1313€)
- Contacts locaux (1200€)</t>
        </r>
      </text>
    </comment>
    <comment ref="J158" authorId="265" shapeId="0" xr:uid="{00000000-0006-0000-0800-00002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calcul de l'O&amp;M non fait, estimation</t>
      </text>
    </comment>
    <comment ref="V159" authorId="17" shapeId="0" xr:uid="{00000000-0006-0000-0800-00002C020000}">
      <text>
        <r>
          <rPr>
            <sz val="9"/>
            <color theme="1"/>
            <rFont val="Calibri"/>
            <family val="2"/>
            <scheme val="minor"/>
          </rPr>
          <t>Arthur BROCHE:
entretien végétation</t>
        </r>
      </text>
    </comment>
    <comment ref="AK159" authorId="17" shapeId="0" xr:uid="{00000000-0006-0000-0800-00002D02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Bonus 23
</t>
        </r>
      </text>
    </comment>
    <comment ref="T160" authorId="17" shapeId="0" xr:uid="{00000000-0006-0000-0800-00002E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
</t>
        </r>
      </text>
    </comment>
    <comment ref="J161" authorId="266" shapeId="0" xr:uid="{00000000-0006-0000-0800-00002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79.1k€/an</t>
      </text>
    </comment>
    <comment ref="Q161" authorId="267" shapeId="0" xr:uid="{00000000-0006-0000-0800-00003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Luxel : scope de maintenance n'est pas le meme que le contrat cadre (15%)</t>
      </text>
    </comment>
    <comment ref="AH161" authorId="18" shapeId="0" xr:uid="{00000000-0006-0000-0800-000031020000}">
      <text>
        <r>
          <rPr>
            <sz val="9"/>
            <color theme="1"/>
            <rFont val="Calibri"/>
            <family val="2"/>
            <scheme val="minor"/>
          </rPr>
          <t>Joanna REVERSAT (3/5/23):
Suivi faune/flore 1e année. Montant basé sur devis du BE AEPE-Gingko</t>
        </r>
      </text>
    </comment>
    <comment ref="J162" authorId="52" shapeId="0" xr:uid="{00000000-0006-0000-0800-000032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Contrat cadre</t>
        </r>
      </text>
    </comment>
    <comment ref="T162" authorId="52" shapeId="0" xr:uid="{00000000-0006-0000-0800-000033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 - 500€x2 (changement consigne tan phi)   - 30000€ (provision réparation pale)</t>
        </r>
      </text>
    </comment>
    <comment ref="V162" authorId="52" shapeId="0" xr:uid="{00000000-0006-0000-0800-000034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-20000€ (débroussaillage+pistes) -3000€ (provision 2 tests à la plaque) - 15000€ (provision reprise 1 plateforme)</t>
        </r>
      </text>
    </comment>
    <comment ref="W162" authorId="52" shapeId="0" xr:uid="{00000000-0006-0000-0800-000035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inspection pale</t>
        </r>
      </text>
    </comment>
    <comment ref="Z162" authorId="52" shapeId="0" xr:uid="{00000000-0006-0000-0800-000036020000}">
      <text>
        <r>
          <rPr>
            <sz val="9"/>
            <color theme="1"/>
            <rFont val="Calibri"/>
            <family val="2"/>
            <scheme val="minor"/>
          </rPr>
          <t>Theo CAVEY:
2 accomp + 10000€ de télésurveillance/gardiennage</t>
        </r>
      </text>
    </comment>
    <comment ref="AF162" authorId="268" shapeId="0" xr:uid="{00000000-0006-0000-0800-00003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62" authorId="269" shapeId="0" xr:uid="{00000000-0006-0000-0800-000038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N163" authorId="20" shapeId="0" xr:uid="{00000000-0006-0000-0800-000039020000}">
      <text>
        <r>
          <rPr>
            <sz val="9"/>
            <color theme="1"/>
            <rFont val="Calibri"/>
            <family val="2"/>
            <scheme val="minor"/>
          </rPr>
          <t>Simon CLEMENCEAU:
presta edc 
+ seconde inspection 400 € / WTG</t>
        </r>
      </text>
    </comment>
    <comment ref="O163" authorId="7" shapeId="0" xr:uid="{00000000-0006-0000-0800-00003A020000}">
      <text>
        <r>
          <rPr>
            <sz val="9"/>
            <color theme="1"/>
            <rFont val="Calibri"/>
            <family val="2"/>
            <scheme val="minor"/>
          </rPr>
          <t>Aubin EXBRAYAT:
entretien MDM</t>
        </r>
      </text>
    </comment>
    <comment ref="P163" authorId="7" shapeId="0" xr:uid="{00000000-0006-0000-0800-00003B020000}">
      <text>
        <r>
          <rPr>
            <sz val="9"/>
            <color theme="1"/>
            <rFont val="Calibri"/>
            <family val="2"/>
            <scheme val="minor"/>
          </rPr>
          <t>Aubin EXBRAYAT:
Aubin EXBRAYAT:
440 € / MW</t>
        </r>
      </text>
    </comment>
    <comment ref="T163" authorId="7" shapeId="0" xr:uid="{00000000-0006-0000-0800-00003C020000}">
      <text>
        <r>
          <rPr>
            <sz val="9"/>
            <color theme="1"/>
            <rFont val="Calibri"/>
            <family val="2"/>
            <scheme val="minor"/>
          </rPr>
          <t>Aubin EXBRAYAT:
pour cirteus</t>
        </r>
      </text>
    </comment>
    <comment ref="V163" authorId="7" shapeId="0" xr:uid="{00000000-0006-0000-0800-00003D02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X163" authorId="7" shapeId="0" xr:uid="{00000000-0006-0000-0800-00003E020000}">
      <text>
        <r>
          <rPr>
            <sz val="9"/>
            <color theme="1"/>
            <rFont val="Calibri"/>
            <family val="2"/>
            <scheme val="minor"/>
          </rPr>
          <t>Aubin EXBRAYAT:
Entretien MDM</t>
        </r>
      </text>
    </comment>
    <comment ref="AG163" authorId="270" shapeId="0" xr:uid="{00000000-0006-0000-0800-00003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K163" authorId="7" shapeId="0" xr:uid="{00000000-0006-0000-0800-000040020000}">
      <text>
        <r>
          <rPr>
            <sz val="9"/>
            <color theme="1"/>
            <rFont val="Calibri"/>
            <family val="2"/>
            <scheme val="minor"/>
          </rPr>
          <t xml:space="preserve">Aubin EXBRAYAT:
sur la base des années précedentes </t>
        </r>
      </text>
    </comment>
    <comment ref="N164" authorId="20" shapeId="0" xr:uid="{00000000-0006-0000-0800-000041020000}">
      <text>
        <r>
          <rPr>
            <sz val="9"/>
            <color theme="1"/>
            <rFont val="Calibri"/>
            <family val="2"/>
            <scheme val="minor"/>
          </rPr>
          <t>Simon CLEMENCEAU:
presta edc
+ seconde inspection 400 € / WTG</t>
        </r>
      </text>
    </comment>
    <comment ref="P164" authorId="7" shapeId="0" xr:uid="{00000000-0006-0000-0800-000042020000}">
      <text>
        <r>
          <rPr>
            <sz val="9"/>
            <color theme="1"/>
            <rFont val="Calibri"/>
            <family val="2"/>
            <scheme val="minor"/>
          </rPr>
          <t>Aubin EXBRAYAT:
440 € / MW</t>
        </r>
      </text>
    </comment>
    <comment ref="T164" authorId="7" shapeId="0" xr:uid="{00000000-0006-0000-0800-000043020000}">
      <text>
        <r>
          <rPr>
            <sz val="9"/>
            <color theme="1"/>
            <rFont val="Calibri"/>
            <family val="2"/>
            <scheme val="minor"/>
          </rPr>
          <t>Aubin EXBRAYAT:
pour cirteus</t>
        </r>
      </text>
    </comment>
    <comment ref="V164" authorId="7" shapeId="0" xr:uid="{00000000-0006-0000-0800-00004402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AK164" authorId="7" shapeId="0" xr:uid="{00000000-0006-0000-0800-000045020000}">
      <text>
        <r>
          <rPr>
            <sz val="9"/>
            <color theme="1"/>
            <rFont val="Calibri"/>
            <family val="2"/>
            <scheme val="minor"/>
          </rPr>
          <t xml:space="preserve">Aubin EXBRAYAT:
sur la base des années précedentes </t>
        </r>
      </text>
    </comment>
    <comment ref="J165" authorId="152" shapeId="0" xr:uid="{00000000-0006-0000-0800-000047020000}">
      <text>
        <r>
          <rPr>
            <b/>
            <sz val="9"/>
            <color indexed="81"/>
            <rFont val="Tahoma"/>
            <family val="2"/>
          </rPr>
          <t>marnould:14.04.23</t>
        </r>
        <r>
          <rPr>
            <sz val="9"/>
            <color indexed="81"/>
            <rFont val="Tahoma"/>
            <family val="2"/>
          </rPr>
          <t xml:space="preserve">
+ variable 0.00792
</t>
        </r>
      </text>
    </comment>
    <comment ref="U165" authorId="83" shapeId="0" xr:uid="{00000000-0006-0000-0800-000048020000}">
      <text>
        <r>
          <rPr>
            <sz val="9"/>
            <color theme="1"/>
            <rFont val="Calibri"/>
            <family val="2"/>
            <scheme val="minor"/>
          </rPr>
          <t>Antoine NEELZ:
AnN 19/04/2023 : 500€ transport MB pour expertise</t>
        </r>
      </text>
    </comment>
    <comment ref="V165" authorId="83" shapeId="0" xr:uid="{00000000-0006-0000-0800-000049020000}">
      <text>
        <r>
          <rPr>
            <sz val="9"/>
            <color theme="1"/>
            <rFont val="Calibri"/>
            <family val="2"/>
            <scheme val="minor"/>
          </rPr>
          <t xml:space="preserve">Antoine NEELZ:
AnN 19/04/2023 : 1500€ 
prévision entretien végétation </t>
        </r>
      </text>
    </comment>
    <comment ref="K166" authorId="271" shapeId="0" xr:uid="{AB1D61D2-51F3-46A3-8CC2-DF8583471C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13089€ d'installation gastop</t>
      </text>
    </comment>
    <comment ref="Z166" authorId="272" shapeId="0" xr:uid="{00000000-0006-0000-0800-00004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Réponse :
    3240€ géoréférencement réseaux HTA</t>
      </text>
    </comment>
    <comment ref="T167" authorId="273" shapeId="0" xr:uid="{00000000-0006-0000-0800-00004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7300€
Réponse :
    DP : + 50k€ pour le remplacement des 900 modules</t>
      </text>
    </comment>
    <comment ref="V167" authorId="274" shapeId="0" xr:uid="{00000000-0006-0000-0800-00004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12,5k€</t>
      </text>
    </comment>
    <comment ref="W167" authorId="275" shapeId="0" xr:uid="{00000000-0006-0000-0800-00004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 2,4k€
- inspection électrique Apave 1,7k€</t>
      </text>
    </comment>
    <comment ref="Z167" authorId="276" shapeId="0" xr:uid="{00000000-0006-0000-0800-00005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67" authorId="277" shapeId="0" xr:uid="{00000000-0006-0000-0800-00005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P168" authorId="29" shapeId="0" xr:uid="{00000000-0006-0000-0800-000052020000}">
      <text>
        <r>
          <rPr>
            <sz val="9"/>
            <color theme="1"/>
            <rFont val="Calibri"/>
            <family val="2"/>
            <scheme val="minor"/>
          </rPr>
          <t>Olivier DE PESSEMIER:
RDL+telecom</t>
        </r>
      </text>
    </comment>
    <comment ref="Z168" authorId="29" shapeId="0" xr:uid="{00000000-0006-0000-0800-000053020000}">
      <text>
        <r>
          <rPr>
            <sz val="9"/>
            <color theme="1"/>
            <rFont val="Calibri"/>
            <family val="2"/>
            <scheme val="minor"/>
          </rPr>
          <t>Olivier DE PESSEMIER:
Accompagnement Enercon installation SDA</t>
        </r>
      </text>
    </comment>
    <comment ref="AC168" authorId="29" shapeId="0" xr:uid="{00000000-0006-0000-0800-000054020000}">
      <text>
        <r>
          <rPr>
            <sz val="9"/>
            <color theme="1"/>
            <rFont val="Calibri"/>
            <family val="2"/>
            <scheme val="minor"/>
          </rPr>
          <t>Olivier DE PESSEMIER:
Contrat O&amp;M (3 mois) + nacelle</t>
        </r>
      </text>
    </comment>
    <comment ref="AE168" authorId="18" shapeId="0" xr:uid="{00000000-0006-0000-0800-000055020000}">
      <text>
        <r>
          <rPr>
            <sz val="9"/>
            <color theme="1"/>
            <rFont val="Calibri"/>
            <family val="2"/>
            <scheme val="minor"/>
          </rPr>
          <t>Joanna REVERSAT (3/5/23):
Surveillance du site par des ornithologues suite à collisions Faucon crécerellette et Milan royal (en attendant SDA prévu en oct-23) + tests de fonctionnement des SDA par drone à l'automne 2023</t>
        </r>
      </text>
    </comment>
    <comment ref="AF168" authorId="18" shapeId="0" xr:uid="{00000000-0006-0000-0800-000056020000}">
      <text>
        <r>
          <rPr>
            <sz val="9"/>
            <color theme="1"/>
            <rFont val="Calibri"/>
            <family val="2"/>
            <scheme val="minor"/>
          </rPr>
          <t>Joanna REVERSAT (3/5/23):
Prestation Exen 2022 restant à payer. Montant basé sur bon de commande</t>
        </r>
      </text>
    </comment>
    <comment ref="AG168" authorId="18" shapeId="0" xr:uid="{00000000-0006-0000-0800-000057020000}">
      <text>
        <r>
          <rPr>
            <sz val="9"/>
            <color theme="1"/>
            <rFont val="Calibri"/>
            <family val="2"/>
            <scheme val="minor"/>
          </rPr>
          <t>Joanna REVERSAT (3/5/23):
Prestation Exen 2022 restant à payer. Montant basé sur bon de commande</t>
        </r>
      </text>
    </comment>
    <comment ref="T169" authorId="17" shapeId="0" xr:uid="{00000000-0006-0000-0800-000059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</t>
        </r>
      </text>
    </comment>
    <comment ref="S170" authorId="278" shapeId="0" xr:uid="{00000000-0006-0000-0800-00005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Siemens 27000€
- Espaces verts 42000€
- TotalEnergies 49000€
- dératisation 2200€
- Vidéo alarme 9000€</t>
      </text>
    </comment>
    <comment ref="W170" authorId="279" shapeId="0" xr:uid="{00000000-0006-0000-0800-00005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-drone1,9k€</t>
      </text>
    </comment>
    <comment ref="Y170" authorId="280" shapeId="0" xr:uid="{00000000-0006-0000-0800-00005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4/05/20223
- Digicel: 3,5k€</t>
      </text>
    </comment>
    <comment ref="Z170" authorId="281" shapeId="0" xr:uid="{00000000-0006-0000-0800-00005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70" authorId="282" shapeId="0" xr:uid="{00000000-0006-0000-0800-00005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71" authorId="17" shapeId="0" xr:uid="{00000000-0006-0000-0800-000060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</t>
        </r>
      </text>
    </comment>
    <comment ref="Z172" authorId="283" shapeId="0" xr:uid="{00000000-0006-0000-0800-00006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2220€ géoréférencement réseaux HTA</t>
      </text>
    </comment>
    <comment ref="V173" authorId="9" shapeId="0" xr:uid="{00000000-0006-0000-0800-000062020000}">
      <text>
        <r>
          <rPr>
            <sz val="9"/>
            <color theme="1"/>
            <rFont val="Calibri"/>
            <family val="2"/>
            <scheme val="minor"/>
          </rPr>
          <t>Barbara ATENE:
27/04/2023: Entretien végétation (arrosage des jeunes arbustes de mars à octobre 2023).</t>
        </r>
      </text>
    </comment>
    <comment ref="Z173" authorId="9" shapeId="0" xr:uid="{00000000-0006-0000-0800-000063020000}">
      <text>
        <r>
          <rPr>
            <sz val="9"/>
            <color theme="1"/>
            <rFont val="Calibri"/>
            <family val="2"/>
            <scheme val="minor"/>
          </rPr>
          <t>Barbara ATENE:
27/04/2023: Convention Compensation Agricole</t>
        </r>
      </text>
    </comment>
    <comment ref="Z174" authorId="9" shapeId="0" xr:uid="{00000000-0006-0000-0800-000064020000}">
      <text>
        <r>
          <rPr>
            <sz val="9"/>
            <color theme="1"/>
            <rFont val="Calibri"/>
            <family val="2"/>
            <scheme val="minor"/>
          </rPr>
          <t>Barbara ATENE:
27/04/2023: Convention avec CPIE Bassin de Thau</t>
        </r>
      </text>
    </comment>
    <comment ref="T175" authorId="17" shapeId="0" xr:uid="{00000000-0006-0000-0800-000065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</t>
        </r>
      </text>
    </comment>
    <comment ref="J176" authorId="284" shapeId="0" xr:uid="{00000000-0006-0000-0800-00006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Fin au 31.08.23 ?
Réponse :
    Oui finde contrat au 31/08/2023 (sans préventif à partir du 27/04/2023)</t>
      </text>
    </comment>
    <comment ref="Z176" authorId="6" shapeId="0" xr:uid="{00000000-0006-0000-0800-000067020000}">
      <text>
        <r>
          <rPr>
            <sz val="9"/>
            <color theme="1"/>
            <rFont val="Calibri"/>
            <family val="2"/>
            <scheme val="minor"/>
          </rPr>
          <t>Aymeric BIGOURDAN:
Transformation de la pale en abri vélo 40k€</t>
        </r>
      </text>
    </comment>
    <comment ref="T179" authorId="17" shapeId="0" xr:uid="{00000000-0006-0000-0800-000068020000}">
      <text>
        <r>
          <rPr>
            <sz val="9"/>
            <color theme="1"/>
            <rFont val="Calibri"/>
            <family val="2"/>
            <scheme val="minor"/>
          </rPr>
          <t xml:space="preserve">Arthur BROCHE:
Aleas contrat OM </t>
        </r>
      </text>
    </comment>
    <comment ref="AH179" authorId="18" shapeId="0" xr:uid="{00000000-0006-0000-0800-000069020000}">
      <text>
        <r>
          <rPr>
            <sz val="9"/>
            <color theme="1"/>
            <rFont val="Calibri"/>
            <family val="2"/>
            <scheme val="minor"/>
          </rPr>
          <t>Joanna REVERSAT (3/5/23):
Suivi faune/flore la 1e année. C'est géré par Luxel</t>
        </r>
      </text>
    </comment>
    <comment ref="AH180" authorId="18" shapeId="0" xr:uid="{00000000-0006-0000-0800-00006A020000}">
      <text>
        <r>
          <rPr>
            <sz val="9"/>
            <color theme="1"/>
            <rFont val="Calibri"/>
            <family val="2"/>
            <scheme val="minor"/>
          </rPr>
          <t>Joanna REVERSAT (3/5/23):
Suivi faune/flore les 5 premières années. Montant basé sur devis du BE Symbiodiv</t>
        </r>
      </text>
    </comment>
    <comment ref="K181" authorId="285" shapeId="0" xr:uid="{B957815A-973A-4C45-9E51-0561B751A6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16276€ d'installation gastop</t>
      </text>
    </comment>
    <comment ref="V181" authorId="286" shapeId="0" xr:uid="{00000000-0006-0000-0800-00006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1390 * 2 Essais à la plaque
15925 Travaux élargissement chemin d'accès</t>
      </text>
    </comment>
    <comment ref="AK181" authorId="287" shapeId="0" xr:uid="{00000000-0006-0000-0800-00006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MaA 26/04/2023
Estimation Malus 2022 : 20132€
Malus réel 2022 : 7046€</t>
      </text>
    </comment>
    <comment ref="Q183" authorId="288" shapeId="0" xr:uid="{00000000-0006-0000-0800-00006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Configuration et remise des clés SCADA</t>
      </text>
    </comment>
    <comment ref="S183" authorId="78" shapeId="0" xr:uid="{00000000-0006-0000-0800-00006F020000}">
      <text>
        <r>
          <rPr>
            <b/>
            <sz val="9"/>
            <color indexed="81"/>
            <rFont val="Tahoma"/>
            <family val="2"/>
          </rPr>
          <t>pfourdinier:</t>
        </r>
        <r>
          <rPr>
            <sz val="9"/>
            <color indexed="81"/>
            <rFont val="Tahoma"/>
            <family val="2"/>
          </rPr>
          <t xml:space="preserve">
69,6k€/WTG/an * 9mois (MSI au 31/03/23)</t>
        </r>
      </text>
    </comment>
    <comment ref="V183" authorId="289" shapeId="0" xr:uid="{00000000-0006-0000-0800-00007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183" authorId="290" shapeId="0" xr:uid="{00000000-0006-0000-0800-00007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2nd inspection pales ICPE</t>
      </text>
    </comment>
    <comment ref="V184" authorId="291" shapeId="0" xr:uid="{00000000-0006-0000-0800-00007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Chiffrage réparation panneau ICPE</t>
      </text>
    </comment>
    <comment ref="W184" authorId="292" shapeId="0" xr:uid="{00000000-0006-0000-0800-000074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Z184" authorId="293" shapeId="0" xr:uid="{00000000-0006-0000-0800-000075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ALEA = 500*NbMW</t>
      </text>
    </comment>
    <comment ref="AE184" authorId="294" shapeId="0" xr:uid="{00000000-0006-0000-0800-00007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avifaune</t>
      </text>
    </comment>
    <comment ref="AG184" authorId="295" shapeId="0" xr:uid="{00000000-0006-0000-0800-00007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 plan chiro</t>
      </text>
    </comment>
    <comment ref="AK184" authorId="296" shapeId="0" xr:uid="{00000000-0006-0000-0800-000078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Vestas</t>
      </text>
    </comment>
    <comment ref="S185" authorId="90" shapeId="0" xr:uid="{00000000-0006-0000-0800-00007902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Prorata O&amp;M PDL</t>
        </r>
      </text>
    </comment>
    <comment ref="AD185" authorId="90" shapeId="0" xr:uid="{00000000-0006-0000-0800-00007A02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Container déchet</t>
        </r>
      </text>
    </comment>
    <comment ref="T186" authorId="297" shapeId="0" xr:uid="{00000000-0006-0000-0800-00007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52000€</t>
      </text>
    </comment>
    <comment ref="V186" authorId="298" shapeId="0" xr:uid="{00000000-0006-0000-0800-00007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reprise piste: 13k€
- lavage modules 35k€</t>
      </text>
    </comment>
    <comment ref="W186" authorId="299" shapeId="0" xr:uid="{00000000-0006-0000-0800-00007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 3,9k€
- inspection électrique apave 2,7k€ suite vol</t>
      </text>
    </comment>
    <comment ref="Y186" authorId="300" shapeId="0" xr:uid="{00000000-0006-0000-0800-00007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mise à jour EMS suite demande EDF SEI: 1k€</t>
      </text>
    </comment>
    <comment ref="Z186" authorId="301" shapeId="0" xr:uid="{00000000-0006-0000-0800-00007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
- gardiannage 5k€/mois jusquà juin</t>
      </text>
    </comment>
    <comment ref="AA186" authorId="302" shapeId="0" xr:uid="{00000000-0006-0000-0800-000080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87" authorId="303" shapeId="0" xr:uid="{00000000-0006-0000-0800-00008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12600€</t>
      </text>
    </comment>
    <comment ref="V187" authorId="304" shapeId="0" xr:uid="{00000000-0006-0000-0800-000082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reprise piste= 10k€
- lavage module 80k€</t>
      </text>
    </comment>
    <comment ref="W187" authorId="305" shapeId="0" xr:uid="{00000000-0006-0000-0800-00008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-drone 5k€</t>
      </text>
    </comment>
    <comment ref="Y187" authorId="306" shapeId="0" xr:uid="{00000000-0006-0000-0800-000084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mise à jour EMS suite demande EDF SEI: 1k€</t>
      </text>
    </comment>
    <comment ref="Z187" authorId="307" shapeId="0" xr:uid="{00000000-0006-0000-0800-000085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 PDP 3,3k€
- gardiannage 5k€/mois jusquà juin
- rondier+maintenance= 16k:€/an</t>
      </text>
    </comment>
    <comment ref="AA187" authorId="308" shapeId="0" xr:uid="{00000000-0006-0000-0800-00008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H187" authorId="309" shapeId="0" xr:uid="{00000000-0006-0000-0800-00008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étude oiseaux et flore (BIOTOPE)</t>
      </text>
    </comment>
    <comment ref="T188" authorId="310" shapeId="0" xr:uid="{00000000-0006-0000-0800-000089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Remplacement rislans sur 2 tranches</t>
      </text>
    </comment>
    <comment ref="V188" authorId="311" shapeId="0" xr:uid="{00000000-0006-0000-0800-00008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Elagage arbres pistes 4200
Réponse :
    Nettoyage modules 2 tranches 30 000</t>
      </text>
    </comment>
    <comment ref="K189" authorId="312" shapeId="0" xr:uid="{1EC9108C-60A9-4FD3-A665-BFA34CC498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16107€ d'installation gastop</t>
      </text>
    </comment>
    <comment ref="U189" authorId="313" shapeId="0" xr:uid="{00000000-0006-0000-0800-00008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réparation pale definitive E04</t>
      </text>
    </comment>
    <comment ref="V189" authorId="314" shapeId="0" xr:uid="{00000000-0006-0000-0800-00008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40k à corriger??! (valeur pas saisie par BK) 2k débroussaillage
Réponse :
    OK. 40k supprimé dans la partie groupe (M189)</t>
      </text>
    </comment>
    <comment ref="Z189" authorId="315" shapeId="0" xr:uid="{00000000-0006-0000-0800-00008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Réponse :
    3750€ géoréférencement réseaux HTA</t>
      </text>
    </comment>
    <comment ref="AG189" authorId="316" shapeId="0" xr:uid="{00000000-0006-0000-0800-00008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probable suivi à cheval entre 2023 et 2024 suite aux résultats du suivi 2022</t>
      </text>
    </comment>
    <comment ref="AC190" authorId="317" shapeId="0" xr:uid="{00000000-0006-0000-0800-000091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6184€/turbine /an + 1500€ de location nacelle et autres frais.</t>
      </text>
    </comment>
    <comment ref="AE190" authorId="318" shapeId="0" xr:uid="{00000000-0006-0000-0800-000092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Suivi Busard et Aigle royal (Biotope)</t>
      </text>
    </comment>
    <comment ref="AI190" authorId="319" shapeId="0" xr:uid="{00000000-0006-0000-0800-00009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travaux ouverture (SERPE)</t>
      </text>
    </comment>
    <comment ref="T191" authorId="320" shapeId="0" xr:uid="{00000000-0006-0000-0800-000094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191" authorId="321" shapeId="0" xr:uid="{00000000-0006-0000-0800-000095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lavage module 7,2k€</t>
      </text>
    </comment>
    <comment ref="W191" authorId="322" shapeId="0" xr:uid="{00000000-0006-0000-0800-000096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drone1,9k€
- inspection électrique apave 1,2k€ suite vol</t>
      </text>
    </comment>
    <comment ref="Z191" authorId="323" shapeId="0" xr:uid="{00000000-0006-0000-0800-000097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91" authorId="324" shapeId="0" xr:uid="{00000000-0006-0000-0800-000098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92" authorId="325" shapeId="0" xr:uid="{00000000-0006-0000-0800-000099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 réparation de pales</t>
      </text>
    </comment>
    <comment ref="V192" authorId="326" shapeId="0" xr:uid="{00000000-0006-0000-0800-00009A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Réfection Chemin + Débroussaillage</t>
      </text>
    </comment>
    <comment ref="W192" authorId="327" shapeId="0" xr:uid="{00000000-0006-0000-0800-00009B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Y192" authorId="328" shapeId="0" xr:uid="{00000000-0006-0000-0800-00009C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COMIP</t>
      </text>
    </comment>
    <comment ref="Z192" authorId="329" shapeId="0" xr:uid="{00000000-0006-0000-0800-00009D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ALEA = 500*NbMW</t>
      </text>
    </comment>
    <comment ref="AK192" authorId="330" shapeId="0" xr:uid="{00000000-0006-0000-0800-00009E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Bonus Vestas</t>
      </text>
    </comment>
    <comment ref="N194" authorId="96" shapeId="0" xr:uid="{00000000-0006-0000-0800-0000A002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PDL : Inspection fin contrat Dalkia par AOS + contrôle ultrasons tpete de cable)
-32625€ (Installation Lidar sur E1 par AOS)</t>
        </r>
      </text>
    </comment>
    <comment ref="P194" authorId="20" shapeId="0" xr:uid="{00000000-0006-0000-0800-0000A1020000}">
      <text>
        <r>
          <rPr>
            <sz val="9"/>
            <color theme="1"/>
            <rFont val="Calibri"/>
            <family val="2"/>
            <scheme val="minor"/>
          </rPr>
          <t xml:space="preserve">Simon CLEMENCEAU:
rdl
</t>
        </r>
      </text>
    </comment>
    <comment ref="T194" authorId="96" shapeId="0" xr:uid="{00000000-0006-0000-0800-0000A2020000}">
      <text>
        <r>
          <rPr>
            <sz val="9"/>
            <color theme="1"/>
            <rFont val="Calibri"/>
            <family val="2"/>
            <scheme val="minor"/>
          </rPr>
          <t xml:space="preserve">Pierre MOUSQUE:
-3000€ (provision interventions Dalkia/Inéo non prévu dans contrat : reboot com, relance pdl, ...)
</t>
        </r>
      </text>
    </comment>
    <comment ref="V194" authorId="96" shapeId="0" xr:uid="{00000000-0006-0000-0800-0000A302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pour travaux piste, débroussaillage, …)</t>
        </r>
      </text>
    </comment>
    <comment ref="W194" authorId="96" shapeId="0" xr:uid="{00000000-0006-0000-0800-0000A402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-2250€ (2ème inspection drone)
-1310€ (location boitier Serema - complément étude lidar)
</t>
        </r>
      </text>
    </comment>
    <comment ref="Z194" authorId="20" shapeId="0" xr:uid="{00000000-0006-0000-0800-0000A5020000}">
      <text>
        <r>
          <rPr>
            <sz val="9"/>
            <color theme="1"/>
            <rFont val="Calibri"/>
            <family val="2"/>
            <scheme val="minor"/>
          </rPr>
          <t>Simon CLEMENCEAU:
-1485,60€ (Dalkia accompagnement Orange remplacement box et routeur)
-1000€ (Vestas accompagnement Ventus)
-3200€ (Vestas accompagnement insta lidar)
-1600€ (Vestas accompagnement batmode)
-1600€ (Provision Vestas accompagnement dépose batmode</t>
        </r>
      </text>
    </comment>
    <comment ref="AE194" authorId="18" shapeId="0" xr:uid="{00000000-0006-0000-0800-0000A6020000}">
      <text>
        <r>
          <rPr>
            <sz val="9"/>
            <color theme="1"/>
            <rFont val="Calibri"/>
            <family val="2"/>
            <scheme val="minor"/>
          </rPr>
          <t>Joanna REVERSAT (3/5/23):
Option du suivi qui pourra être déclenchée en cas d'enjeu avifaune avéré. Montant basé sur devis du BE Encis</t>
        </r>
      </text>
    </comment>
    <comment ref="AF194" authorId="18" shapeId="0" xr:uid="{00000000-0006-0000-0800-0000A7020000}">
      <text>
        <r>
          <rPr>
            <sz val="9"/>
            <color theme="1"/>
            <rFont val="Calibri"/>
            <family val="2"/>
            <scheme val="minor"/>
          </rPr>
          <t>Joanna REVERSAT (3/5/23):
Suivi des chiroptères au sol et en nacelle conformément à l'AP. Montant basé sur le devis du BE Encis</t>
        </r>
      </text>
    </comment>
    <comment ref="AG194" authorId="18" shapeId="0" xr:uid="{00000000-0006-0000-0800-0000A8020000}">
      <text>
        <r>
          <rPr>
            <sz val="9"/>
            <color theme="1"/>
            <rFont val="Calibri"/>
            <family val="2"/>
            <scheme val="minor"/>
          </rPr>
          <t>Joanna REVERSAT (3/5/23):
Suivi conforme à l'AP. Montant basé sur le devis du BE Encis</t>
        </r>
      </text>
    </comment>
    <comment ref="AI194" authorId="18" shapeId="0" xr:uid="{00000000-0006-0000-0800-0000A9020000}">
      <text>
        <r>
          <rPr>
            <sz val="9"/>
            <color theme="1"/>
            <rFont val="Calibri"/>
            <family val="2"/>
            <scheme val="minor"/>
          </rPr>
          <t>Joanna REVERSAT (3/5/23):
mesure compensatoire oiseaux et chiroptères</t>
        </r>
      </text>
    </comment>
    <comment ref="AK194" authorId="96" shapeId="0" xr:uid="{00000000-0006-0000-0800-0000AA020000}">
      <text>
        <r>
          <rPr>
            <sz val="9"/>
            <color theme="1"/>
            <rFont val="Calibri"/>
            <family val="2"/>
            <scheme val="minor"/>
          </rPr>
          <t xml:space="preserve">Pierre MOUSQUE:
Prévision bonus au 02/05/23 : 
Dispo année 1 estimée à 98,97% vs 97% et prod estimée à 23,5GWh =&gt; bonus de 3350e sur année contractuelle 1 (du 12/07/22 au 11/07/2023)
</t>
        </r>
      </text>
    </comment>
    <comment ref="T196" authorId="83" shapeId="0" xr:uid="{00000000-0006-0000-0800-0000AB020000}">
      <text>
        <r>
          <rPr>
            <sz val="9"/>
            <color theme="1"/>
            <rFont val="Calibri"/>
            <family val="2"/>
            <scheme val="minor"/>
          </rPr>
          <t>Antoine NEELZ:
AnN 19/04/2023 :
1870€ accompagnement SGRE localisation de câbles HTA</t>
        </r>
      </text>
    </comment>
    <comment ref="V196" authorId="83" shapeId="0" xr:uid="{00000000-0006-0000-0800-0000AC020000}">
      <text>
        <r>
          <rPr>
            <sz val="9"/>
            <color theme="1"/>
            <rFont val="Calibri"/>
            <family val="2"/>
            <scheme val="minor"/>
          </rPr>
          <t>Antoine NEELZ:
AnN 19/04/2023 : 2600€ Entretien paysager</t>
        </r>
      </text>
    </comment>
    <comment ref="W196" authorId="83" shapeId="0" xr:uid="{00000000-0006-0000-0800-0000AD020000}">
      <text>
        <r>
          <rPr>
            <sz val="9"/>
            <color theme="1"/>
            <rFont val="Calibri"/>
            <family val="2"/>
            <scheme val="minor"/>
          </rPr>
          <t>Antoine NEELZ:
AnN 19/04/2023 : 2080€ inspection de pale semestrielle SGRE</t>
        </r>
      </text>
    </comment>
    <comment ref="Y196" authorId="83" shapeId="0" xr:uid="{00000000-0006-0000-0800-0000AE020000}">
      <text>
        <r>
          <rPr>
            <sz val="9"/>
            <color theme="1"/>
            <rFont val="Calibri"/>
            <family val="2"/>
            <scheme val="minor"/>
          </rPr>
          <t>Antoine NEELZ:
AnN 19/04/2023 : 8k€ configuration interface IEC par SGRE pour contrôle OCC</t>
        </r>
      </text>
    </comment>
    <comment ref="Z196" authorId="331" shapeId="0" xr:uid="{00000000-0006-0000-0800-0000AF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5280€ géoréférencement réseaux HTA</t>
      </text>
    </comment>
    <comment ref="AF196" authorId="18" shapeId="0" xr:uid="{00000000-0006-0000-0800-0000B0020000}">
      <text>
        <r>
          <rPr>
            <sz val="9"/>
            <color theme="1"/>
            <rFont val="Calibri"/>
            <family val="2"/>
            <scheme val="minor"/>
          </rPr>
          <t>Joanna REVERSAT (3/5/23):
Suivi décennal réalisé en 2022, restant à payer. Montant basé sur devis du BE Ecosphère</t>
        </r>
      </text>
    </comment>
    <comment ref="AG196" authorId="18" shapeId="0" xr:uid="{00000000-0006-0000-0800-0000B1020000}">
      <text>
        <r>
          <rPr>
            <sz val="9"/>
            <color theme="1"/>
            <rFont val="Calibri"/>
            <family val="2"/>
            <scheme val="minor"/>
          </rPr>
          <t>Joanna REVERSAT (3/5/23):
Suivi décennal réalisé en 2022, restant à payer. Montant basé sur devis du BE Ecosphère</t>
        </r>
      </text>
    </comment>
    <comment ref="K197" authorId="332" shapeId="0" xr:uid="{B713178D-6ACE-459C-9225-01FA147006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9732€ d'installation gastop</t>
      </text>
    </comment>
    <comment ref="Z197" authorId="333" shapeId="0" xr:uid="{00000000-0006-0000-0800-0000B3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2730€ géoréférencement réseaux HTA</t>
      </text>
    </comment>
    <comment ref="Q198" authorId="52" shapeId="0" xr:uid="{00000000-0006-0000-0800-0000B4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-24000 pour vérification combinés de mesure</t>
        </r>
      </text>
    </comment>
    <comment ref="T198" authorId="52" shapeId="0" xr:uid="{00000000-0006-0000-0800-0000B502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nettoyage tours, désactivation lumière chiro
</t>
        </r>
      </text>
    </comment>
    <comment ref="V198" authorId="20" shapeId="0" xr:uid="{00000000-0006-0000-0800-0000B6020000}">
      <text>
        <r>
          <rPr>
            <sz val="9"/>
            <color theme="1"/>
            <rFont val="Calibri"/>
            <family val="2"/>
            <scheme val="minor"/>
          </rPr>
          <t>Simon CLEMENCEAU:
débrou + test à la plaque</t>
        </r>
      </text>
    </comment>
    <comment ref="Y198" authorId="52" shapeId="0" xr:uid="{00000000-0006-0000-0800-0000B7020000}">
      <text>
        <r>
          <rPr>
            <sz val="9"/>
            <color theme="1"/>
            <rFont val="Calibri"/>
            <family val="2"/>
            <scheme val="minor"/>
          </rPr>
          <t>Theo CAVEY:
RDL + entretien TCD TCM Cirteus</t>
        </r>
      </text>
    </comment>
    <comment ref="AG198" authorId="334" shapeId="0" xr:uid="{00000000-0006-0000-0800-0000B8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éval plan chiro</t>
      </text>
    </comment>
    <comment ref="AH198" authorId="335" shapeId="0" xr:uid="{00000000-0006-0000-0800-0000B902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LPO et suivi éclairages turbines</t>
      </text>
    </comment>
    <comment ref="Z199" authorId="152" shapeId="0" xr:uid="{5C3D1ED0-519E-48EF-B690-F81216E34A12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gestion des risques / accès marché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Bastien Bodoville</author>
    <author>tc={9E55C0F6-E1CC-4A92-8AFC-91AA1DA96D16}</author>
    <author>Simon CLEMENCEAU</author>
    <author>Aubin EXBRAYAT</author>
    <author>tc={80580391-CD4E-4BEF-B92B-A4B435F2A79D}</author>
    <author>tc={632041D3-B3A0-4072-A2ED-6DFEFB24F7DB}</author>
    <author>tc={10D5EBEE-B60E-407E-86BF-37EE38DB093D}</author>
    <author>Joanna REVERSAT</author>
    <author>Arthur Broche</author>
    <author>tc={7CC9C70C-2B43-4EAA-95A2-8947BE19BC20}</author>
    <author>tc={DDA26EF0-514B-477B-9F00-132126B4FD46}</author>
    <author>tc={ACFCFDF7-B2C7-4063-9E78-055564C961F3}</author>
    <author>tc={995D4026-3C98-4872-93DC-98D97D882506}</author>
    <author>tc={29BDAD91-1DBB-4C9E-AB3B-93CA06FA5C39}</author>
    <author>tc={BC9818CB-2817-4968-9658-500FBA22B3BB}</author>
    <author>tc={3187DDF0-3119-4AB1-B8CF-16E0588E1C47}</author>
    <author>tc={9CBDE59A-CCA5-4410-87E0-9291540D45E2}</author>
    <author>Nopphadol SRIKONG</author>
    <author>tc={976F2504-5CAE-49EC-9F54-0585DB5C8B3D}</author>
    <author>tc={4737146C-5447-433A-A7EF-3F0A99CADE80}</author>
    <author>tc={5F9DD53E-7CDD-479B-8720-23C27A43A119}</author>
    <author>Theo CAVEY</author>
    <author>tc={F43DD2DF-3A6E-41A5-8F65-3483BEE111F3}</author>
    <author>tc={9DA87695-ACD9-4701-B172-FC32D35AF6CC}</author>
    <author>tc={70C25666-AB8C-40BF-9573-A4AA1807FAA6}</author>
    <author>tc={80D78F76-BF15-4D9C-A406-7E8CEA536B23}</author>
    <author>tc={C7BFE545-F1C9-4B3C-BBBD-5B1698983DAA}</author>
    <author>tc={34AD73F9-C70C-4AE3-AF99-F24816336CB0}</author>
    <author>tc={B3B4F594-96D7-40B3-A9F9-AD294A087ED4}</author>
    <author>tc={79FAF7AE-D2B7-4C2E-9B7F-9627735EFD90}</author>
    <author>tc={BF94BEEB-4924-4DDC-A662-D84BE441CA65}</author>
    <author>tc={6BDAE274-6368-4648-AD9C-AC9F812197C3}</author>
    <author>tc={DA79979F-4441-4702-AEB3-412E3615660A}</author>
    <author>tc={584FCE0B-0424-49B0-9CFA-33181DF5337F}</author>
    <author>tc={AA637726-F2EC-45D9-A899-CA4124AA4D2B}</author>
    <author>tc={0BC3FF77-9270-4946-A4BD-1D218A06597A}</author>
    <author>tc={7DEA9764-E79F-4515-BB2A-5D6A40816281}</author>
    <author>tc={53E65FC3-142C-4ED6-9814-D6B373B79A61}</author>
    <author>tc={F00B41A6-5233-4B02-B8F6-1582386B2F3D}</author>
    <author>tc={71FCC02B-F971-46DE-966A-AE85D132BA20}</author>
    <author>Melanie SICARD</author>
    <author>Alejandro YAHUACA</author>
    <author>tc={61B499CB-2FCF-41A2-BCAD-A1596CE0D1AC}</author>
    <author>tc={54BA4309-9597-4C74-AE04-5BBF6372E046}</author>
    <author>tc={40C8F5A3-C76A-4EA4-B1BF-3214C9FC61B9}</author>
    <author>tc={E57547D7-8B68-4922-B383-5E3D2AF60266}</author>
    <author>Stephane Estrabaut</author>
    <author>Stephane ESTRABAUT</author>
    <author>tc={22844CB6-7C79-49CF-98BB-D000C94E938A}</author>
    <author>Sarah Houdusse</author>
    <author>Aymeric BIGOURDAN</author>
    <author>tc={468CF554-3FF3-42D8-960A-BA3C7FB1CED3}</author>
    <author>tc={5CD7A3BE-73C7-4B3A-84C4-8419B086E258}</author>
    <author>Pierre MOUSQUE</author>
    <author>Barbara ATENE</author>
    <author>tc={39134D65-445A-4FA4-8ADB-BE2140065A97}</author>
    <author>tc={7BB36C95-FB6F-4CFC-B918-EC7AEF5AD3E7}</author>
    <author>tc={30D2C63D-9E9B-4451-AE9F-60C4F65C9A48}</author>
    <author>tc={E79FF6C4-3A61-44F1-ACB9-661F0621CFD2}</author>
    <author>tc={310C4E73-898A-411A-915D-A1D7364D7AB9}</author>
    <author>Arthur BROCHE</author>
    <author>tc={9564D811-BB53-4CC5-81B0-B59608465CA9}</author>
    <author>tc={D4148E48-0196-47E6-8BAD-AE1BA646575A}</author>
    <author>tc={AE617204-2530-4E71-BBF8-77CAC1C50F99}</author>
    <author>tc={C68BEE9F-1992-4CEB-ACE2-E4526B3BC062}</author>
    <author>tc={B93708D4-3084-4023-8399-06021459DD4E}</author>
    <author>tc={9A7C6BC8-1321-419E-96DB-3D74AA106AE3}</author>
    <author>tc={B2D6417F-97CC-462E-8A64-E53B72980339}</author>
    <author>tc={F476E40D-70ED-4F9C-B977-E7580D061C5C}</author>
    <author>tc={47A21DD0-7725-4602-8FF5-39A59916665A}</author>
    <author>tc={D3A2A686-B441-4D89-8D2D-0A92AB2830B1}</author>
    <author>tc={9689A65E-E682-4417-961F-BBA30E44EEA2}</author>
    <author>tc={3F1CB7BB-3D99-4275-BAA1-DC7E0C300817}</author>
    <author>tc={C5581155-6839-41D1-BB5A-92AD2A7E117E}</author>
    <author>tc={6A02E2A5-9CB4-4DC3-8D7C-E9312FD828DF}</author>
    <author>tc={55440405-338B-496A-A842-3C21673D5C9A}</author>
    <author>tc={49B5F52F-CE63-4600-AAA9-6E2E5ED88F0F}</author>
    <author>tc={9FD806B3-8445-41CF-AD29-299537985BFB}</author>
    <author>tc={894BB9A4-3F98-4236-A6DA-80BFA1760A98}</author>
    <author>tc={86BBC861-AD5C-40B5-B5C0-2EC52C5BA14D}</author>
    <author>tc={0A0F91F3-B71E-4E33-9919-8935EE3C1776}</author>
    <author>tc={82DEB2EF-1D8B-463A-9EB8-D8684936EDB3}</author>
    <author>tc={34BF566A-4C8B-4BD0-AB1B-2E4BB2E9A47C}</author>
    <author>tc={5E1BFB8F-360B-432C-A6EB-38954873C2D2}</author>
    <author>tc={B917E494-95B5-48F6-9067-5E87A1481B64}</author>
    <author>tc={94BE51C0-EDB6-4760-8ED4-D81F25E55F41}</author>
    <author>tc={9FB1F915-2F90-4129-BDBC-53CCFDA58B1A}</author>
    <author>tc={ED45DC91-1BFE-40FC-A20E-72684D15DCD2}</author>
    <author>tc={44C23B92-2998-4886-B69E-51A05F3A7A45}</author>
    <author>tc={CA50C760-5C65-4B9F-A83F-CF2A013EA1B1}</author>
    <author>tc={8DAFF8D2-0E8F-48E2-B091-3455876CC280}</author>
    <author>tc={696A7211-8DEB-4836-B89E-05553A21A7AF}</author>
    <author>tc={C901F12F-8C56-4A9E-BA7F-47A9BFBA58F3}</author>
    <author>tc={A7516C0E-A1B4-4041-8142-BF03D2CFB657}</author>
    <author>tc={F7C2BC44-BADA-41EB-BAEA-02B55895E9EF}</author>
    <author>tc={213FE229-D074-4800-B981-072B6D1D2B2D}</author>
    <author>tc={BDC04518-7809-4DF6-922E-98A3606945DA}</author>
    <author>tc={0640C23C-22C0-4630-A50A-B5366770E5D3}</author>
    <author>tc={A59F3A82-A010-4FE3-9C3D-7C34C4FE9BFE}</author>
    <author>tc={021EDD10-A1CB-492B-8237-BC34F6C47AA1}</author>
    <author>tc={BC92F833-122A-4CA8-8BB5-59142D17B3BE}</author>
    <author>tc={7C5FDCD6-90C4-416F-99C2-BA5704B67A46}</author>
    <author>tc={76548EC9-FB9D-4A99-9493-821EF22C9AB6}</author>
    <author>tc={6A50D4F4-BBF1-4BDD-8E76-807EA85DBA51}</author>
    <author>tc={A6E94C7D-ADF8-43A7-8796-DC10F942CA0B}</author>
    <author>tc={DFB81133-D6D6-431B-8654-23AAFBBBE591}</author>
    <author>tc={97AF35B5-C29C-491A-8746-E72237740CBF}</author>
    <author>tc={2E6A3266-190D-491D-B894-0080EC97D862}</author>
    <author>tc={5A1BF6F3-157D-4851-838F-030B8DD51B0D}</author>
    <author>tc={A1074BD1-B0F1-46EA-AC8E-C9A24A816C46}</author>
    <author>tc={C502CA3D-3C7F-4926-AE50-83E7FA638197}</author>
    <author>tc={D0EB64A7-DAB6-4FC9-859D-EE9E3F657ACD}</author>
    <author>tc={4D74F990-7E60-4787-8E45-B9876FF65674}</author>
    <author>tc={34364444-834C-4548-BC0B-4D879DFA6043}</author>
    <author>tc={4FDF4380-0218-42EA-A5AF-7526567DDB9C}</author>
    <author>tc={532ADCFA-7771-44AB-8518-BE2BBEF60FAA}</author>
    <author>Sarah HOUDUSSE</author>
    <author>tc={5940E505-5074-482D-A71E-7FD96C4463AC}</author>
    <author>tc={55707F43-FB91-46A4-A81D-BC03A96295F5}</author>
    <author>tc={D952B2C0-BF0B-47AC-B0B9-9A813F362D99}</author>
    <author>tc={4CA152B9-88C7-4F3E-9499-78D4A40C9B9A}</author>
    <author>tc={A8587F05-C584-424D-B1B7-3FB6CC7ED6B0}</author>
    <author>tc={925BA3FE-49BF-4147-A20D-BE0779DCB034}</author>
    <author>tc={33325F96-AC54-49C0-A72F-9AD371E5690C}</author>
    <author>tc={7FACEF36-8C30-4606-9BA4-2B585E9DB272}</author>
    <author>tc={52468DF3-C16E-4E15-AD9F-4EA6790FC16D}</author>
    <author>tc={572275D9-462D-417E-B6DB-473DD4F4254B}</author>
    <author>tc={1017FDC9-C9C8-4D6E-91B0-A5B67A97E9B0}</author>
    <author>tc={CAEE14E0-6B9B-496F-953F-BC1CC9DA4841}</author>
    <author>tc={B6B41FA3-9928-4626-AD8D-334B15CC2DED}</author>
    <author>tc={5C262CC4-A49F-42D8-BF0A-B4735EC2DC0B}</author>
    <author>tc={884B5CF8-AD10-433D-8C76-E8C18ABD1841}</author>
    <author>tc={BB977307-5C9A-493A-B24A-B7B472AFAC4B}</author>
    <author>tc={67F497B7-C5DA-4C99-A598-DC54F4BD6655}</author>
    <author>tc={B30B53B4-2E58-491D-BF30-4DDF60190778}</author>
    <author>tc={6487CE38-F02E-4F0E-89BF-74E94DF5E666}</author>
    <author>tc={01CA9E59-BB33-40D4-8486-3D65A13BEEB0}</author>
    <author>tc={8A4D903D-B745-438A-9E79-FAFE1599883C}</author>
    <author>tc={69D2D7C7-2BB0-481D-8CF4-FBB50B260C9F}</author>
    <author>tc={BD10E35D-F669-4C86-BC6E-46AFDD725B25}</author>
    <author>ooutayeb</author>
    <author>tc={73093662-9579-4F00-AA6D-EA70BFE53F92}</author>
    <author>tc={7B70AEC4-4852-42EF-B6B3-A03AF6D36EAD}</author>
    <author>tc={DC7042AE-CBD5-40E8-8445-425F2506E22C}</author>
    <author>tc={E7039396-D239-44AE-A424-B82DF8F30C04}</author>
    <author>tc={9BF5F47D-7658-4BE7-9A54-FE95F3EAE674}</author>
    <author>tc={FD9ECA25-86C2-4DB0-A5DB-35E1A2C602DE}</author>
    <author>tc={F60BE5A0-471E-4F08-B480-AF6E69CB170A}</author>
    <author>tc={6933AF68-8D9D-48FC-948C-0FC1C2D4B5C0}</author>
    <author>tc={D86DACA5-61AD-4C89-96A5-63ECFF7A99A1}</author>
    <author>tc={70A3DA25-D6EC-4663-8A3D-33CE946127CB}</author>
    <author>tc={C05F173E-41F9-4226-92B4-F2ECB97CF69E}</author>
    <author>tc={FF8B0E20-8157-4851-8A90-37AE80797280}</author>
    <author>tc={08A101A8-3D05-4AC2-B645-156649C8FD57}</author>
    <author>tc={43A9F0D9-BDF4-4A42-A59C-E932C21DC6E6}</author>
    <author>tc={F81A1856-17D3-4334-8D70-47F5BF1F2ACF}</author>
    <author>tc={6A3C1DD8-7A8A-4BF6-9AB5-567B2BA5B486}</author>
    <author>tc={59508A00-49AF-4B54-913C-BB49D82C71EF}</author>
    <author>tc={A78FF69A-603E-4BAC-AB64-A50AC28A3D96}</author>
    <author>tc={5192F723-2E82-4F4E-A3C8-6B403A8F6B0A}</author>
    <author>tc={B888C1F7-1B97-4BF1-868F-CDD1965E8BA2}</author>
    <author>tc={E2C55C84-6F48-4854-9EB0-EA5C2DF0FC97}</author>
    <author>tc={8D6EEC32-CF0B-4212-A72C-4AD1FFF812A2}</author>
    <author>tc={78EB5A8A-F990-4912-B56F-C6728FDFAE24}</author>
    <author>tc={DAB3F337-082A-4460-8B16-C3802562F3F9}</author>
    <author>tc={BBC38578-5AA5-4EB8-96C5-92F96A39914E}</author>
    <author>tc={F83F9E93-E00B-487B-B3D3-E08E3017BCE6}</author>
    <author>tc={D5FA1CE5-0330-48DE-B862-607C73367315}</author>
    <author>Paul FOURDINIER</author>
    <author>tc={A2D2195A-36E6-4EEF-9CBA-009DC0B2E8A2}</author>
    <author>tc={C2DF0EFA-186F-4462-8D7D-4AD20255948D}</author>
    <author>tc={002FC952-F86B-4DC7-9D21-F013D0B8227C}</author>
    <author>tc={177F5D31-F5B5-4F63-901C-80D8438664E0}</author>
    <author>tc={AF05ACB2-5352-4DEF-9AA7-2CC13354ADF8}</author>
    <author>tc={7375E02E-68FD-4D7B-A7FD-35E9D64F5741}</author>
    <author>tc={F947E955-2479-4F9A-9B96-FA5E8667D839}</author>
    <author>tc={F4FEE22B-93E4-4988-BB58-AE050803C599}</author>
    <author>tc={7010822B-4363-498F-8FE9-3EA6F2C0FFBF}</author>
    <author>tc={AD5C7FD3-4016-44E5-ABC8-BFE7B22FA01B}</author>
    <author>tc={61746582-2C4F-410A-9973-1891ED783CB0}</author>
    <author>tc={53FDF2FF-41E7-4B58-802A-2D911BA76D1F}</author>
    <author>tc={C5A4F108-B51B-4E46-9964-0DAEF3958B2C}</author>
    <author>tc={5690232E-8538-400B-8AF6-8603F852859B}</author>
    <author>tc={6F6D32C2-105A-47A8-A4B4-5628892C07DC}</author>
    <author>tc={2708C8E1-5AD4-4FC0-9CB6-F95D42A6AC7F}</author>
    <author>tc={746D7FF5-7EAB-4215-A425-BC24A8A9EF06}</author>
    <author>tc={74734966-725B-4602-B76E-1675CEB85932}</author>
    <author>tc={A2E4424D-36FD-420D-BA05-BB5CAF58B668}</author>
    <author>tc={4CDC33F5-E922-4BE1-B422-80ACB9C0656E}</author>
    <author>tc={33704B15-EE5A-4F0D-ADA7-45BEBA4D35F3}</author>
    <author>tc={3BC16A21-0C95-46DE-9DE0-80DFF8C7150D}</author>
    <author>tc={7A913D8B-39AA-4CE2-B4E0-D53D15B551D7}</author>
    <author>tc={43354A73-ACA9-48DB-9FB2-E110A00F9308}</author>
    <author>marnould</author>
  </authors>
  <commentList>
    <comment ref="V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Débroussaillage</t>
        </r>
      </text>
    </comment>
    <comment ref="AI9" authorId="1" shapeId="0" xr:uid="{00000000-0006-0000-09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mesures en fonction de la mortalité sur le f crécerelle (en fonction des résultats suivi de 2023)</t>
      </text>
    </comment>
    <comment ref="P10" authorId="2" shapeId="0" xr:uid="{00000000-0006-0000-0900-000003000000}">
      <text>
        <r>
          <rPr>
            <sz val="9"/>
            <color theme="1"/>
            <rFont val="Calibri"/>
            <family val="2"/>
            <scheme val="minor"/>
          </rPr>
          <t xml:space="preserve">Simon CLEMENCEAU:
RDL + ligne telecom (bvpn)
</t>
        </r>
      </text>
    </comment>
    <comment ref="S10" authorId="3" shapeId="0" xr:uid="{00000000-0006-0000-0900-000004000000}">
      <text>
        <r>
          <rPr>
            <sz val="9"/>
            <color theme="1"/>
            <rFont val="Calibri"/>
            <family val="2"/>
            <scheme val="minor"/>
          </rPr>
          <t>Aubin EXBRAYAT:
32 ke pour contrat SDA
5ke pour cirteus</t>
        </r>
      </text>
    </comment>
    <comment ref="T10" authorId="3" shapeId="0" xr:uid="{00000000-0006-0000-0900-000005000000}">
      <text>
        <r>
          <rPr>
            <sz val="9"/>
            <color theme="1"/>
            <rFont val="Calibri"/>
            <family val="2"/>
            <scheme val="minor"/>
          </rPr>
          <t>Aubin EXBRAYAT:
deuxième inspection pale + citeus</t>
        </r>
      </text>
    </comment>
    <comment ref="V10" authorId="3" shapeId="0" xr:uid="{00000000-0006-0000-0900-000006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Y10" authorId="3" shapeId="0" xr:uid="{00000000-0006-0000-0900-000007000000}">
      <text>
        <r>
          <rPr>
            <sz val="9"/>
            <color theme="1"/>
            <rFont val="Calibri"/>
            <family val="2"/>
            <scheme val="minor"/>
          </rPr>
          <t>Aubin EXBRAYAT:
Aubin EXBRAYAT:
440 € / MW RDL</t>
        </r>
      </text>
    </comment>
    <comment ref="AC10" authorId="3" shapeId="0" xr:uid="{00000000-0006-0000-0900-000008000000}">
      <text>
        <r>
          <rPr>
            <sz val="9"/>
            <color theme="1"/>
            <rFont val="Calibri"/>
            <family val="2"/>
            <scheme val="minor"/>
          </rPr>
          <t>Aubin EXBRAYAT:
presta addi pour sda (loc..)+ 32 k€ o&amp;m sda</t>
        </r>
      </text>
    </comment>
    <comment ref="V12" authorId="3" shapeId="0" xr:uid="{00000000-0006-0000-0900-000009000000}">
      <text>
        <r>
          <rPr>
            <sz val="9"/>
            <color theme="1"/>
            <rFont val="Calibri"/>
            <family val="2"/>
            <scheme val="minor"/>
          </rPr>
          <t>2 passages</t>
        </r>
      </text>
    </comment>
    <comment ref="P13" authorId="4" shapeId="0" xr:uid="{00000000-0006-0000-0900-00000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</t>
      </text>
    </comment>
    <comment ref="V13" authorId="5" shapeId="0" xr:uid="{00000000-0006-0000-0900-00000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Y13" authorId="6" shapeId="0" xr:uid="{00000000-0006-0000-0900-00000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Orange</t>
      </text>
    </comment>
    <comment ref="AE13" authorId="7" shapeId="0" xr:uid="{00000000-0006-0000-0900-00000D000000}">
      <text>
        <r>
          <rPr>
            <sz val="9"/>
            <color theme="1"/>
            <rFont val="Calibri"/>
            <family val="2"/>
            <scheme val="minor"/>
          </rPr>
          <t>Joanna REVERSAT:
Estimation tenant compte de l'inflation</t>
        </r>
      </text>
    </comment>
    <comment ref="AF13" authorId="7" shapeId="0" xr:uid="{00000000-0006-0000-0900-00000E000000}">
      <text>
        <r>
          <rPr>
            <sz val="9"/>
            <color theme="1"/>
            <rFont val="Calibri"/>
            <family val="2"/>
            <scheme val="minor"/>
          </rPr>
          <t>Joanna REVERSAT:
Estimation tenant compte de l'inflation</t>
        </r>
      </text>
    </comment>
    <comment ref="AG13" authorId="7" shapeId="0" xr:uid="{00000000-0006-0000-0900-00000F000000}">
      <text>
        <r>
          <rPr>
            <sz val="9"/>
            <color theme="1"/>
            <rFont val="Calibri"/>
            <family val="2"/>
            <scheme val="minor"/>
          </rPr>
          <t>Joanna REVERSAT:
Estimation tenant compte de l'inflation</t>
        </r>
      </text>
    </comment>
    <comment ref="V14" authorId="8" shapeId="0" xr:uid="{00000000-0006-0000-0900-000010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Cout entretien végétation
+ nettoyage module
</t>
        </r>
      </text>
    </comment>
    <comment ref="AK14" authorId="8" shapeId="0" xr:uid="{00000000-0006-0000-0900-000011000000}">
      <text>
        <r>
          <rPr>
            <b/>
            <sz val="9"/>
            <color indexed="81"/>
            <rFont val="Tahoma"/>
            <family val="2"/>
          </rPr>
          <t xml:space="preserve">Arthur Broche
Bonus année 4.
</t>
        </r>
      </text>
    </comment>
    <comment ref="AH15" authorId="7" shapeId="0" xr:uid="{00000000-0006-0000-0900-000012000000}">
      <text>
        <r>
          <rPr>
            <sz val="9"/>
            <color theme="1"/>
            <rFont val="Calibri"/>
            <family val="2"/>
            <scheme val="minor"/>
          </rPr>
          <t>Joanna REVERSAT (28/4/23):
Ce chiffre est basé sur le devis du BE.</t>
        </r>
      </text>
    </comment>
    <comment ref="J19" authorId="9" shapeId="0" xr:uid="{00000000-0006-0000-0900-00001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WTG chez SGRE et PDL chez INEO</t>
      </text>
    </comment>
    <comment ref="P19" authorId="10" shapeId="0" xr:uid="{00000000-0006-0000-0900-00001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W19" authorId="11" shapeId="0" xr:uid="{00000000-0006-0000-0900-00001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inspection pâles</t>
      </text>
    </comment>
    <comment ref="AF20" authorId="12" shapeId="0" xr:uid="{00000000-0006-0000-0900-00001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20" authorId="13" shapeId="0" xr:uid="{00000000-0006-0000-0900-00001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P23" authorId="14" shapeId="0" xr:uid="{00000000-0006-0000-0900-00001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</t>
      </text>
    </comment>
    <comment ref="W23" authorId="15" shapeId="0" xr:uid="{00000000-0006-0000-09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pâles light</t>
      </text>
    </comment>
    <comment ref="Y23" authorId="2" shapeId="0" xr:uid="{00000000-0006-0000-0900-00001A000000}">
      <text>
        <r>
          <rPr>
            <sz val="9"/>
            <color theme="1"/>
            <rFont val="Calibri"/>
            <family val="2"/>
            <scheme val="minor"/>
          </rPr>
          <t xml:space="preserve">Simon CLEMENCEAU:
lien orange bvpn
</t>
        </r>
      </text>
    </comment>
    <comment ref="AA23" authorId="16" shapeId="0" xr:uid="{00000000-0006-0000-0900-00001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Budget ancrage + chèques énergie (esitmation)</t>
      </text>
    </comment>
    <comment ref="AI23" authorId="2" shapeId="0" xr:uid="{00000000-0006-0000-0900-00001C000000}">
      <text>
        <r>
          <rPr>
            <sz val="9"/>
            <color theme="1"/>
            <rFont val="Calibri"/>
            <family val="2"/>
            <scheme val="minor"/>
          </rPr>
          <t>Simon CLEMENCEAU:
Chèque énergie</t>
        </r>
      </text>
    </comment>
    <comment ref="AH24" authorId="7" shapeId="0" xr:uid="{00000000-0006-0000-0900-00001D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du BE</t>
        </r>
      </text>
    </comment>
    <comment ref="AE25" authorId="7" shapeId="0" xr:uid="{00000000-0006-0000-0900-00001E000000}">
      <text>
        <r>
          <rPr>
            <sz val="9"/>
            <color theme="1"/>
            <rFont val="Calibri"/>
            <family val="2"/>
            <scheme val="minor"/>
          </rPr>
          <t>Joanna REVERSAT (28/4/23):
rien n'est à prévoir d'après le COPIL de 2022, mais c'est au cas où, pour les milans royaux, avec l'inflation</t>
        </r>
      </text>
    </comment>
    <comment ref="AI25" authorId="7" shapeId="0" xr:uid="{00000000-0006-0000-0900-00001F000000}">
      <text>
        <r>
          <rPr>
            <sz val="9"/>
            <color theme="1"/>
            <rFont val="Calibri"/>
            <family val="2"/>
            <scheme val="minor"/>
          </rPr>
          <t>Joanna REVERSAT (28/4/23):
Rien n'est à prévoir d'après le COPIL de 2022, mais c'est au cas où (actions chiroptères)</t>
        </r>
      </text>
    </comment>
    <comment ref="V27" authorId="17" shapeId="0" xr:uid="{00000000-0006-0000-0900-000020000000}">
      <text>
        <r>
          <rPr>
            <sz val="9"/>
            <color theme="1"/>
            <rFont val="Calibri"/>
            <family val="2"/>
            <scheme val="minor"/>
          </rPr>
          <t>Nopphadol SRIKONG:
passage 2-3 fois, pb de Milan</t>
        </r>
      </text>
    </comment>
    <comment ref="AM28" authorId="18" shapeId="0" xr:uid="{00000000-0006-0000-0900-00002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si décalage des travaux</t>
      </text>
    </comment>
    <comment ref="AH29" authorId="19" shapeId="0" xr:uid="{00000000-0006-0000-0900-00002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orthoptère</t>
      </text>
    </comment>
    <comment ref="V30" authorId="20" shapeId="0" xr:uid="{00000000-0006-0000-0900-000023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4passages par an préconisés par BE
</t>
      </text>
    </comment>
    <comment ref="P32" authorId="2" shapeId="0" xr:uid="{00000000-0006-0000-0900-000024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W32" authorId="21" shapeId="0" xr:uid="{00000000-0006-0000-0900-000025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5*1,2k controles reg</t>
        </r>
      </text>
    </comment>
    <comment ref="T33" authorId="22" shapeId="0" xr:uid="{00000000-0006-0000-0900-00002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33" authorId="23" shapeId="0" xr:uid="{00000000-0006-0000-0900-00002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suppression 4k€</t>
      </text>
    </comment>
    <comment ref="W33" authorId="24" shapeId="0" xr:uid="{00000000-0006-0000-0900-00002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1,2k€</t>
      </text>
    </comment>
    <comment ref="Z33" authorId="25" shapeId="0" xr:uid="{00000000-0006-0000-0900-00002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33" authorId="26" shapeId="0" xr:uid="{00000000-0006-0000-0900-00002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P35" authorId="27" shapeId="0" xr:uid="{00000000-0006-0000-0900-00002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35" authorId="28" shapeId="0" xr:uid="{00000000-0006-0000-0900-00002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E36" authorId="29" shapeId="0" xr:uid="{00000000-0006-0000-0900-00002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biomonitoring suite mise en place SDA (APC)</t>
      </text>
    </comment>
    <comment ref="T37" authorId="30" shapeId="0" xr:uid="{00000000-0006-0000-0900-00002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W37" authorId="31" shapeId="0" xr:uid="{00000000-0006-0000-0900-00002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1,2k€</t>
      </text>
    </comment>
    <comment ref="Z37" authorId="32" shapeId="0" xr:uid="{00000000-0006-0000-0900-00003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37" authorId="33" shapeId="0" xr:uid="{00000000-0006-0000-0900-00003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H38" authorId="7" shapeId="0" xr:uid="{00000000-0006-0000-0900-000032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une moyenne de coût pour ce type d'étude, incluant l'inflation</t>
        </r>
      </text>
    </comment>
    <comment ref="AH39" authorId="34" shapeId="0" xr:uid="{00000000-0006-0000-0900-00003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année 2/3</t>
      </text>
    </comment>
    <comment ref="AC40" authorId="35" shapeId="0" xr:uid="{00000000-0006-0000-0900-00003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OM + Nacelle</t>
      </text>
    </comment>
    <comment ref="AF40" authorId="36" shapeId="0" xr:uid="{00000000-0006-0000-0900-00003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40" authorId="37" shapeId="0" xr:uid="{00000000-0006-0000-0900-00003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H40" authorId="38" shapeId="0" xr:uid="{00000000-0006-0000-0900-00003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biomonitoring ? dépend APc et installation SDA</t>
      </text>
    </comment>
    <comment ref="AM40" authorId="39" shapeId="0" xr:uid="{00000000-0006-0000-0900-00003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Installation SDA</t>
      </text>
    </comment>
    <comment ref="N41" authorId="40" shapeId="0" xr:uid="{00000000-0006-0000-0900-000039000000}">
      <text>
        <r>
          <rPr>
            <sz val="9"/>
            <color theme="1"/>
            <rFont val="Calibri"/>
            <family val="2"/>
            <scheme val="minor"/>
          </rPr>
          <t>Mélanie Sicard (17/04/2023) : inspections fissures fondations 5311€</t>
        </r>
      </text>
    </comment>
    <comment ref="O41" authorId="40" shapeId="0" xr:uid="{00000000-0006-0000-0900-00003A000000}">
      <text>
        <r>
          <rPr>
            <sz val="9"/>
            <color theme="1"/>
            <rFont val="Calibri"/>
            <family val="2"/>
            <scheme val="minor"/>
          </rPr>
          <t xml:space="preserve">Mélanie Sicard (17/04/2023) : forfait DI pour 1 mât de mesure (Chivres). Le mat de Machecourt a été démonté. </t>
        </r>
      </text>
    </comment>
    <comment ref="P41" authorId="40" shapeId="0" xr:uid="{00000000-0006-0000-0900-00003B00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V41" authorId="40" shapeId="0" xr:uid="{00000000-0006-0000-0900-00003C000000}">
      <text>
        <r>
          <rPr>
            <sz val="9"/>
            <color theme="1"/>
            <rFont val="Calibri"/>
            <family val="2"/>
            <scheme val="minor"/>
          </rPr>
          <t xml:space="preserve">Mélanie Sicard (17/04/2023) : Débroussaillage (4425)
</t>
        </r>
      </text>
    </comment>
    <comment ref="X41" authorId="40" shapeId="0" xr:uid="{00000000-0006-0000-0900-00003D000000}">
      <text>
        <r>
          <rPr>
            <sz val="9"/>
            <color theme="1"/>
            <rFont val="Calibri"/>
            <family val="2"/>
            <scheme val="minor"/>
          </rPr>
          <t>Entretient du mat météo 4000e</t>
        </r>
      </text>
    </comment>
    <comment ref="J42" authorId="41" shapeId="0" xr:uid="{00000000-0006-0000-0900-00003E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Moyenne de la rémunération 
forfaitaire pour la durée 
d’application du Contrat Cadre d'Exploitation 
et Maintenance.
</t>
        </r>
      </text>
    </comment>
    <comment ref="AI42" authorId="7" shapeId="0" xr:uid="{00000000-0006-0000-0900-00003F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l'étude d'impact = en théorie, budget annuel à prévoir pendant 15 ans pour les oiseaux et les chiroptères</t>
        </r>
      </text>
    </comment>
    <comment ref="AH43" authorId="7" shapeId="0" xr:uid="{00000000-0006-0000-0900-000040000000}">
      <text>
        <r>
          <rPr>
            <sz val="9"/>
            <color theme="1"/>
            <rFont val="Calibri"/>
            <family val="2"/>
            <scheme val="minor"/>
          </rPr>
          <t>Joanna REVERSAT (3/5/23):
Estimation incluant l'inflation</t>
        </r>
      </text>
    </comment>
    <comment ref="P46" authorId="42" shapeId="0" xr:uid="{00000000-0006-0000-0900-00004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46" authorId="43" shapeId="0" xr:uid="{00000000-0006-0000-0900-00004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F47" authorId="44" shapeId="0" xr:uid="{00000000-0006-0000-0900-00004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ICPE décennal</t>
      </text>
    </comment>
    <comment ref="AG47" authorId="45" shapeId="0" xr:uid="{00000000-0006-0000-0900-00004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ICPE décennal</t>
      </text>
    </comment>
    <comment ref="AH48" authorId="7" shapeId="0" xr:uid="{00000000-0006-0000-0900-000045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coût 2023 + inflation</t>
        </r>
      </text>
    </comment>
    <comment ref="J49" authorId="46" shapeId="0" xr:uid="{00000000-0006-0000-0900-000046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Contrat cadre N+10</t>
        </r>
      </text>
    </comment>
    <comment ref="P49" authorId="47" shapeId="0" xr:uid="{00000000-0006-0000-0900-000047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49" authorId="47" shapeId="0" xr:uid="{00000000-0006-0000-0900-000048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</t>
        </r>
      </text>
    </comment>
    <comment ref="AE49" authorId="48" shapeId="0" xr:uid="{00000000-0006-0000-0900-00004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prévoir biomonitoring suite mise en place de SDA (APC)
Réponse :
    35K biomonitoring + 10K avifaune nicheuse et migratrice</t>
      </text>
    </comment>
    <comment ref="S51" authorId="49" shapeId="0" xr:uid="{00000000-0006-0000-0900-00004A000000}">
      <text>
        <r>
          <rPr>
            <sz val="9"/>
            <color theme="1"/>
            <rFont val="Calibri"/>
            <family val="2"/>
            <scheme val="minor"/>
          </rPr>
          <t>Sarah Houdusse:
Estimatif pas de contrat O&amp;M (hors correctif)</t>
        </r>
      </text>
    </comment>
    <comment ref="T51" authorId="49" shapeId="0" xr:uid="{00000000-0006-0000-0900-00004B000000}">
      <text>
        <r>
          <rPr>
            <sz val="9"/>
            <color theme="1"/>
            <rFont val="Calibri"/>
            <family val="2"/>
            <scheme val="minor"/>
          </rPr>
          <t>Sarah Houdusse:
Estimatif correctif hors scope (20ke/WTG)</t>
        </r>
      </text>
    </comment>
    <comment ref="AM51" authorId="2" shapeId="0" xr:uid="{00000000-0006-0000-0900-00004C000000}">
      <text>
        <r>
          <rPr>
            <sz val="9"/>
            <color theme="1"/>
            <rFont val="Calibri"/>
            <family val="2"/>
            <scheme val="minor"/>
          </rPr>
          <t>Simon CLEMENCEAU:
Remise en etat des WTG pour contrat Enercon</t>
        </r>
      </text>
    </comment>
    <comment ref="S52" authorId="50" shapeId="0" xr:uid="{00000000-0006-0000-0900-00004D000000}">
      <text>
        <r>
          <rPr>
            <b/>
            <sz val="9"/>
            <color indexed="81"/>
            <rFont val="Tahoma"/>
            <family val="2"/>
          </rPr>
          <t>Aymeric BIGOURDAN:</t>
        </r>
        <r>
          <rPr>
            <sz val="9"/>
            <color indexed="81"/>
            <rFont val="Tahoma"/>
            <family val="2"/>
          </rPr>
          <t xml:space="preserve">
Nouveau contrat O&amp;M estimation à +20%</t>
        </r>
      </text>
    </comment>
    <comment ref="AI52" authorId="7" shapeId="0" xr:uid="{00000000-0006-0000-0900-00004E000000}">
      <text>
        <r>
          <rPr>
            <sz val="9"/>
            <color theme="1"/>
            <rFont val="Calibri"/>
            <family val="2"/>
            <scheme val="minor"/>
          </rPr>
          <t>Joanna REVERSAT (28/4/23):
Estimation des actions alentours, permettant d'entretenir de bonnes relations avec LPO85</t>
        </r>
      </text>
    </comment>
    <comment ref="P53" authorId="0" shapeId="0" xr:uid="{00000000-0006-0000-0900-00004F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</t>
        </r>
      </text>
    </comment>
    <comment ref="V53" authorId="0" shapeId="0" xr:uid="{00000000-0006-0000-0900-000050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Débroussaillage</t>
        </r>
      </text>
    </comment>
    <comment ref="AH55" authorId="7" shapeId="0" xr:uid="{00000000-0006-0000-0900-000051000000}">
      <text>
        <r>
          <rPr>
            <sz val="9"/>
            <color theme="1"/>
            <rFont val="Calibri"/>
            <family val="2"/>
            <scheme val="minor"/>
          </rPr>
          <t>Joanna REVERSAT (28/4/23):
Estimation basée sur le devis 2023 du LEE (qui incluait leur action de 2022)</t>
        </r>
      </text>
    </comment>
    <comment ref="AI55" authorId="7" shapeId="0" xr:uid="{00000000-0006-0000-0900-000052000000}">
      <text>
        <r>
          <rPr>
            <sz val="9"/>
            <color theme="1"/>
            <rFont val="Calibri"/>
            <family val="2"/>
            <scheme val="minor"/>
          </rPr>
          <t>Joanna REVERSAT:
Montant basé sur budget 2023 + inflation</t>
        </r>
      </text>
    </comment>
    <comment ref="P56" authorId="51" shapeId="0" xr:uid="{00000000-0006-0000-0900-00005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56" authorId="52" shapeId="0" xr:uid="{00000000-0006-0000-0900-00005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P57" authorId="2" shapeId="0" xr:uid="{00000000-0006-0000-0900-000055000000}">
      <text>
        <r>
          <rPr>
            <sz val="9"/>
            <color theme="1"/>
            <rFont val="Calibri"/>
            <family val="2"/>
            <scheme val="minor"/>
          </rPr>
          <t>Simon CLEMENCEAU:
rdl</t>
        </r>
      </text>
    </comment>
    <comment ref="S57" authorId="53" shapeId="0" xr:uid="{00000000-0006-0000-0900-000056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D'où vient cette valeur?
A modifier avec -~15000 contrats CIRTEUS</t>
        </r>
      </text>
    </comment>
    <comment ref="V57" authorId="53" shapeId="0" xr:uid="{00000000-0006-0000-0900-000057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-15000€ (débroussaillage) - 15000€ (entretien piste)</t>
        </r>
      </text>
    </comment>
    <comment ref="Y57" authorId="53" shapeId="0" xr:uid="{00000000-0006-0000-0900-000058000000}">
      <text>
        <r>
          <rPr>
            <sz val="9"/>
            <color theme="1"/>
            <rFont val="Calibri"/>
            <family val="2"/>
            <scheme val="minor"/>
          </rPr>
          <t xml:space="preserve">Pierre MOUSQUE:
-15500 (Maintenance full scope Scada par Vestas)
-5000 liaison bvpn
</t>
        </r>
      </text>
    </comment>
    <comment ref="AA57" authorId="53" shapeId="0" xr:uid="{00000000-0006-0000-0900-000059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-192000 (Convention avec agplo Perpignan)-30000 (convention avec Sydetom)
-4000€ (conventions avec ACCA)</t>
        </r>
      </text>
    </comment>
    <comment ref="V60" authorId="41" shapeId="0" xr:uid="{00000000-0006-0000-0900-00005A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entretien de parcelle conventionnée.</t>
        </r>
      </text>
    </comment>
    <comment ref="V63" authorId="54" shapeId="0" xr:uid="{00000000-0006-0000-0900-00005B000000}">
      <text>
        <r>
          <rPr>
            <sz val="9"/>
            <color theme="1"/>
            <rFont val="Calibri"/>
            <family val="2"/>
            <scheme val="minor"/>
          </rPr>
          <t>Barbara ATENE:
27/04/2023: Entretien des haies à  réaliser</t>
        </r>
      </text>
    </comment>
    <comment ref="O64" authorId="40" shapeId="0" xr:uid="{00000000-0006-0000-0900-00005C000000}">
      <text>
        <r>
          <rPr>
            <sz val="9"/>
            <color theme="1"/>
            <rFont val="Calibri"/>
            <family val="2"/>
            <scheme val="minor"/>
          </rPr>
          <t xml:space="preserve"> Mélanie Sicard (17/04/2023) : mât en veille, 1417€ forfait DI </t>
        </r>
      </text>
    </comment>
    <comment ref="P64" authorId="40" shapeId="0" xr:uid="{00000000-0006-0000-0900-00005D00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T64" authorId="40" shapeId="0" xr:uid="{00000000-0006-0000-0900-00005E000000}">
      <text>
        <r>
          <rPr>
            <sz val="9"/>
            <color theme="1"/>
            <rFont val="Calibri"/>
            <family val="2"/>
            <scheme val="minor"/>
          </rPr>
          <t>Mélanie Sicard (17/04/2023) : 
accompagnement visite site (459€)</t>
        </r>
      </text>
    </comment>
    <comment ref="V64" authorId="40" shapeId="0" xr:uid="{00000000-0006-0000-0900-00005F000000}">
      <text>
        <r>
          <rPr>
            <sz val="9"/>
            <color theme="1"/>
            <rFont val="Calibri"/>
            <family val="2"/>
            <scheme val="minor"/>
          </rPr>
          <t>Mélanie Sicard (17/04/2023) :
débroussaillage 1100 €</t>
        </r>
      </text>
    </comment>
    <comment ref="L65" authorId="47" shapeId="0" xr:uid="{00000000-0006-0000-0900-000060000000}">
      <text>
        <r>
          <rPr>
            <sz val="9"/>
            <color theme="1"/>
            <rFont val="Calibri"/>
            <family val="2"/>
            <scheme val="minor"/>
          </rPr>
          <t>Stephane ESTRABAUT:
MCR gearbox WT07 150K€
MCR meanbearing WT08: 58K€</t>
        </r>
      </text>
    </comment>
    <comment ref="Q65" authorId="47" shapeId="0" xr:uid="{00000000-0006-0000-0900-000061000000}">
      <text>
        <r>
          <rPr>
            <sz val="9"/>
            <color theme="1"/>
            <rFont val="Calibri"/>
            <family val="2"/>
            <scheme val="minor"/>
          </rPr>
          <t>Stephane ESTRABAUT:
Accompagnement EM à negocier pour intervenants extérieurs</t>
        </r>
      </text>
    </comment>
    <comment ref="S65" authorId="46" shapeId="0" xr:uid="{00000000-0006-0000-0900-000062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Renégociation en cours du contrat avec EM. Devrait être à la baisse</t>
        </r>
      </text>
    </comment>
    <comment ref="V65" authorId="47" shapeId="0" xr:uid="{00000000-0006-0000-0900-000063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
+ Essais à la plaque</t>
        </r>
      </text>
    </comment>
    <comment ref="AE65" authorId="55" shapeId="0" xr:uid="{00000000-0006-0000-0900-00006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prévoir biomonitoring suite mise en place de SDA (APC)</t>
      </text>
    </comment>
    <comment ref="P66" authorId="56" shapeId="0" xr:uid="{00000000-0006-0000-0900-00006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66" authorId="57" shapeId="0" xr:uid="{00000000-0006-0000-0900-00006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P67" authorId="58" shapeId="0" xr:uid="{00000000-0006-0000-0900-00006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67" authorId="59" shapeId="0" xr:uid="{00000000-0006-0000-0900-00006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entretien BOP + débroussaillage</t>
      </text>
    </comment>
    <comment ref="T68" authorId="60" shapeId="0" xr:uid="{00000000-0006-0000-0900-000069000000}">
      <text>
        <r>
          <rPr>
            <sz val="9"/>
            <color theme="1"/>
            <rFont val="Calibri"/>
            <family val="2"/>
            <scheme val="minor"/>
          </rPr>
          <t xml:space="preserve">Arthur BROCHE:
Extension garantie SMA </t>
        </r>
      </text>
    </comment>
    <comment ref="P69" authorId="61" shapeId="0" xr:uid="{00000000-0006-0000-0900-00006A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+ ligne bvpn
</t>
      </text>
    </comment>
    <comment ref="T69" authorId="21" shapeId="0" xr:uid="{00000000-0006-0000-0900-00006B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 - 30000 (provision réparation 2 pales par Vestas)</t>
        </r>
      </text>
    </comment>
    <comment ref="V69" authorId="21" shapeId="0" xr:uid="{00000000-0006-0000-0900-00006C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Provision réfection plateforme ou voierie</t>
        </r>
      </text>
    </comment>
    <comment ref="M70" authorId="54" shapeId="0" xr:uid="{00000000-0006-0000-0900-00006D000000}">
      <text>
        <r>
          <rPr>
            <sz val="9"/>
            <color theme="1"/>
            <rFont val="Calibri"/>
            <family val="2"/>
            <scheme val="minor"/>
          </rPr>
          <t>Barbara ATENE:
27/04/2023 : Remplacement poteaux à réaliser en 2024</t>
        </r>
      </text>
    </comment>
    <comment ref="AH70" authorId="62" shapeId="0" xr:uid="{00000000-0006-0000-0900-00006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loi sur l'eau</t>
      </text>
    </comment>
    <comment ref="AM70" authorId="54" shapeId="0" xr:uid="{00000000-0006-0000-0900-00006F000000}">
      <text>
        <r>
          <rPr>
            <sz val="9"/>
            <color theme="1"/>
            <rFont val="Calibri"/>
            <family val="2"/>
            <scheme val="minor"/>
          </rPr>
          <t xml:space="preserve">Barbara ATENE:
28/04/2023: Rétrofit CERIO à réaliser en 2024 </t>
        </r>
      </text>
    </comment>
    <comment ref="M71" authorId="54" shapeId="0" xr:uid="{00000000-0006-0000-0900-000070000000}">
      <text>
        <r>
          <rPr>
            <sz val="9"/>
            <color theme="1"/>
            <rFont val="Calibri"/>
            <family val="2"/>
            <scheme val="minor"/>
          </rPr>
          <t>Barbara ATENE:
27/04/2023 : Remplacement poteaux à réaliser en 2024</t>
        </r>
      </text>
    </comment>
    <comment ref="M72" authorId="54" shapeId="0" xr:uid="{00000000-0006-0000-0900-000071000000}">
      <text>
        <r>
          <rPr>
            <sz val="9"/>
            <color theme="1"/>
            <rFont val="Calibri"/>
            <family val="2"/>
            <scheme val="minor"/>
          </rPr>
          <t>Barbara ATENE:
27/04/2023 : 
- 6000€ pour remplacement poteaux à réaliser en 2024
- 3000€ pour défrichement à réaliser en début 2024</t>
        </r>
      </text>
    </comment>
    <comment ref="M73" authorId="54" shapeId="0" xr:uid="{00000000-0006-0000-0900-000072000000}">
      <text>
        <r>
          <rPr>
            <sz val="9"/>
            <color theme="1"/>
            <rFont val="Calibri"/>
            <family val="2"/>
            <scheme val="minor"/>
          </rPr>
          <t>Barbara ATENE:
27/04/2023 : Remplacement poteaux à réaliser en 2024</t>
        </r>
      </text>
    </comment>
    <comment ref="V74" authorId="17" shapeId="0" xr:uid="{00000000-0006-0000-0900-000073000000}">
      <text>
        <r>
          <rPr>
            <sz val="9"/>
            <color theme="1"/>
            <rFont val="Calibri"/>
            <family val="2"/>
            <scheme val="minor"/>
          </rPr>
          <t>Nopphadol SRIKONG:
devis en place 1620 e par an+ contact local</t>
        </r>
      </text>
    </comment>
    <comment ref="T75" authorId="8" shapeId="0" xr:uid="{00000000-0006-0000-0900-000074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V75" authorId="60" shapeId="0" xr:uid="{00000000-0006-0000-0900-000075000000}">
      <text>
        <r>
          <rPr>
            <sz val="9"/>
            <color theme="1"/>
            <rFont val="Calibri"/>
            <family val="2"/>
            <scheme val="minor"/>
          </rPr>
          <t>Arthur BROCHE:
Entretien par La Bel Solution</t>
        </r>
      </text>
    </comment>
    <comment ref="P78" authorId="63" shapeId="0" xr:uid="{00000000-0006-0000-0900-00007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78" authorId="64" shapeId="0" xr:uid="{00000000-0006-0000-0900-00007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P79" authorId="65" shapeId="0" xr:uid="{00000000-0006-0000-0900-00007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79" authorId="66" shapeId="0" xr:uid="{00000000-0006-0000-0900-00007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G79" authorId="67" shapeId="0" xr:uid="{00000000-0006-0000-0900-00007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suite mise en place bridage lors de la msi de SARA + suite suivi 2023</t>
      </text>
    </comment>
    <comment ref="AI79" authorId="68" shapeId="0" xr:uid="{00000000-0006-0000-0900-00007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chasseurs jusqu'en 2026</t>
      </text>
    </comment>
    <comment ref="P81" authorId="2" shapeId="0" xr:uid="{00000000-0006-0000-0900-00007C000000}">
      <text>
        <r>
          <rPr>
            <sz val="9"/>
            <color theme="1"/>
            <rFont val="Calibri"/>
            <family val="2"/>
            <scheme val="minor"/>
          </rPr>
          <t xml:space="preserve">Simon CLEMENCEAU:
rdl
</t>
        </r>
      </text>
    </comment>
    <comment ref="T81" authorId="53" shapeId="0" xr:uid="{00000000-0006-0000-0900-00007D000000}">
      <text>
        <r>
          <rPr>
            <sz val="9"/>
            <color theme="1"/>
            <rFont val="Calibri"/>
            <family val="2"/>
            <scheme val="minor"/>
          </rPr>
          <t>Pierre MOUSQUE:
-2000€ (intervention supplémentaires Dalkia)</t>
        </r>
      </text>
    </comment>
    <comment ref="V81" authorId="53" shapeId="0" xr:uid="{00000000-0006-0000-0900-00007E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pour travaux piste, débroussaillage, …)</t>
        </r>
      </text>
    </comment>
    <comment ref="W81" authorId="53" shapeId="0" xr:uid="{00000000-0006-0000-0900-00007F000000}">
      <text>
        <r>
          <rPr>
            <sz val="9"/>
            <color theme="1"/>
            <rFont val="Calibri"/>
            <family val="2"/>
            <scheme val="minor"/>
          </rPr>
          <t>Pierre MOUSQUE:
-2250€ (2ème inspection drone)
-15000€ (provision campagne de mesure acoustique)</t>
        </r>
      </text>
    </comment>
    <comment ref="Y81" authorId="2" shapeId="0" xr:uid="{00000000-0006-0000-0900-000080000000}">
      <text>
        <r>
          <rPr>
            <sz val="9"/>
            <color theme="1"/>
            <rFont val="Calibri"/>
            <family val="2"/>
            <scheme val="minor"/>
          </rPr>
          <t>Simon CLEMENCEAU:
lien bvpn</t>
        </r>
      </text>
    </comment>
    <comment ref="Z81" authorId="2" shapeId="0" xr:uid="{00000000-0006-0000-0900-000081000000}">
      <text>
        <r>
          <rPr>
            <sz val="9"/>
            <color theme="1"/>
            <rFont val="Calibri"/>
            <family val="2"/>
            <scheme val="minor"/>
          </rPr>
          <t xml:space="preserve">Simon CLEMENCEAU:
-3000€ (accompagnement Vestas pour instal/dépose enregistreur chiro)
</t>
        </r>
      </text>
    </comment>
    <comment ref="AF81" authorId="69" shapeId="0" xr:uid="{00000000-0006-0000-0900-00008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année 3/3</t>
      </text>
    </comment>
    <comment ref="AG81" authorId="70" shapeId="0" xr:uid="{00000000-0006-0000-0900-00008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AP année 3/3</t>
      </text>
    </comment>
    <comment ref="AH81" authorId="71" shapeId="0" xr:uid="{00000000-0006-0000-0900-000084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complément pour analyse suivis </t>
      </text>
    </comment>
    <comment ref="AI81" authorId="53" shapeId="0" xr:uid="{00000000-0006-0000-0900-00008500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-12500€ (Commande paysagiste pour suivi aménagements paysagers)
</t>
        </r>
      </text>
    </comment>
    <comment ref="P82" authorId="72" shapeId="0" xr:uid="{00000000-0006-0000-0900-00008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</t>
      </text>
    </comment>
    <comment ref="V82" authorId="73" shapeId="0" xr:uid="{00000000-0006-0000-0900-00008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Y82" authorId="74" shapeId="0" xr:uid="{00000000-0006-0000-0900-00008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Orange + ComIP</t>
      </text>
    </comment>
    <comment ref="AC82" authorId="75" shapeId="0" xr:uid="{00000000-0006-0000-0900-00008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DTBird + 3 locations nacelles</t>
      </text>
    </comment>
    <comment ref="AE82" authorId="7" shapeId="0" xr:uid="{00000000-0006-0000-0900-00008A000000}">
      <text>
        <r>
          <rPr>
            <sz val="9"/>
            <color theme="1"/>
            <rFont val="Calibri"/>
            <family val="2"/>
            <scheme val="minor"/>
          </rPr>
          <t>Joanna REVERSAT (28/4/23):
Montant basé sur devis 2023 d'Exen + inflation</t>
        </r>
      </text>
    </comment>
    <comment ref="V83" authorId="76" shapeId="0" xr:uid="{00000000-0006-0000-0900-00008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Débrouissaillage</t>
      </text>
    </comment>
    <comment ref="Y83" authorId="2" shapeId="0" xr:uid="{00000000-0006-0000-0900-00008C000000}">
      <text>
        <r>
          <rPr>
            <sz val="9"/>
            <color theme="1"/>
            <rFont val="Calibri"/>
            <family val="2"/>
            <scheme val="minor"/>
          </rPr>
          <t xml:space="preserve">Simon CLEMENCEAU:
lien orange bvpn
</t>
        </r>
      </text>
    </comment>
    <comment ref="AC83" authorId="77" shapeId="0" xr:uid="{00000000-0006-0000-0900-00008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Contrat O&amp;M + préventif SafeWind</t>
      </text>
    </comment>
    <comment ref="AD83" authorId="78" shapeId="0" xr:uid="{00000000-0006-0000-0900-00008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Location conteneur déchet  +une rotation</t>
      </text>
    </comment>
    <comment ref="AE83" authorId="79" shapeId="0" xr:uid="{00000000-0006-0000-0900-00008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Aigle ou autre</t>
      </text>
    </comment>
    <comment ref="AG83" authorId="2" shapeId="0" xr:uid="{00000000-0006-0000-0900-000090000000}">
      <text>
        <r>
          <rPr>
            <sz val="9"/>
            <color theme="1"/>
            <rFont val="Calibri"/>
            <family val="2"/>
            <scheme val="minor"/>
          </rPr>
          <t>Simon CLEMENCEAU:
suite échange MArie et Dreal + 40k€ pour suivi enviro 2024</t>
        </r>
      </text>
    </comment>
    <comment ref="AI83" authorId="80" shapeId="0" xr:uid="{00000000-0006-0000-0900-00009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 enviro</t>
      </text>
    </comment>
    <comment ref="AI84" authorId="81" shapeId="0" xr:uid="{00000000-0006-0000-0900-00009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PG : presta Néosolus et Ecostudiz</t>
      </text>
    </comment>
    <comment ref="V85" authorId="82" shapeId="0" xr:uid="{00000000-0006-0000-0900-00009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Nettoyage + végétation + Drone</t>
      </text>
    </comment>
    <comment ref="Z85" authorId="83" shapeId="0" xr:uid="{00000000-0006-0000-0900-000094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DP/ Aléa
</t>
      </text>
    </comment>
    <comment ref="AA85" authorId="84" shapeId="0" xr:uid="{00000000-0006-0000-0900-000095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Ancrage : 10 Ans
</t>
      </text>
    </comment>
    <comment ref="T86" authorId="8" shapeId="0" xr:uid="{00000000-0006-0000-0900-000096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V86" authorId="8" shapeId="0" xr:uid="{00000000-0006-0000-0900-000097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entretien végétation
</t>
        </r>
      </text>
    </comment>
    <comment ref="AH86" authorId="85" shapeId="0" xr:uid="{00000000-0006-0000-0900-00009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annuel AP</t>
      </text>
    </comment>
    <comment ref="S88" authorId="86" shapeId="0" xr:uid="{00000000-0006-0000-0900-00009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Montant 2024 contrat pales</t>
      </text>
    </comment>
    <comment ref="AF88" authorId="87" shapeId="0" xr:uid="{00000000-0006-0000-0900-00009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 : suivi en cours en 2023</t>
      </text>
    </comment>
    <comment ref="AG88" authorId="88" shapeId="0" xr:uid="{00000000-0006-0000-0900-00009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 : suivi en cours en 2023</t>
      </text>
    </comment>
    <comment ref="T89" authorId="60" shapeId="0" xr:uid="{00000000-0006-0000-0900-00009C000000}">
      <text>
        <r>
          <rPr>
            <sz val="9"/>
            <color theme="1"/>
            <rFont val="Calibri"/>
            <family val="2"/>
            <scheme val="minor"/>
          </rPr>
          <t>Arthur BROCHE:
Alès contrat OM provisoire et prestation complémentaire</t>
        </r>
      </text>
    </comment>
    <comment ref="AH89" authorId="89" shapeId="0" xr:uid="{00000000-0006-0000-0900-00009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PC</t>
      </text>
    </comment>
    <comment ref="AA90" authorId="60" shapeId="0" xr:uid="{00000000-0006-0000-0900-00009E000000}">
      <text>
        <r>
          <rPr>
            <sz val="9"/>
            <color theme="1"/>
            <rFont val="Calibri"/>
            <family val="2"/>
            <scheme val="minor"/>
          </rPr>
          <t xml:space="preserve">Arthur BROCHE:
Estimation avec  PPA Air France
</t>
        </r>
      </text>
    </comment>
    <comment ref="AH90" authorId="90" shapeId="0" xr:uid="{00000000-0006-0000-0900-00009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prévu</t>
      </text>
    </comment>
    <comment ref="P92" authorId="40" shapeId="0" xr:uid="{00000000-0006-0000-0900-0000A000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T92" authorId="40" shapeId="0" xr:uid="{00000000-0006-0000-0900-0000A1000000}">
      <text>
        <r>
          <rPr>
            <sz val="9"/>
            <color theme="1"/>
            <rFont val="Calibri"/>
            <family val="2"/>
            <scheme val="minor"/>
          </rPr>
          <t xml:space="preserve">Mélanie Sicard (17/04/2023) : 
- Changement consigne réactif x2 (1026€ par changement, augmentation du prix en 2023)
</t>
        </r>
      </text>
    </comment>
    <comment ref="V92" authorId="40" shapeId="0" xr:uid="{00000000-0006-0000-0900-0000A200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(3*1200=3600€)
Contacts locaux (1600€ + 600€)</t>
        </r>
      </text>
    </comment>
    <comment ref="AI92" authorId="40" shapeId="0" xr:uid="{00000000-0006-0000-0900-0000A3000000}">
      <text>
        <r>
          <rPr>
            <sz val="9"/>
            <color theme="1"/>
            <rFont val="Calibri"/>
            <family val="2"/>
            <scheme val="minor"/>
          </rPr>
          <t>MSIC (17/04/2023) : Mesure compensatoir enviro avec Ferme de MontBelAir.  Entretien année 5 terminée en 04/2024. Comptabiliser 539.30€/an, dernier paiement à la fin de la 20ième année en avril 2039</t>
        </r>
      </text>
    </comment>
    <comment ref="P93" authorId="40" shapeId="0" xr:uid="{00000000-0006-0000-0900-0000A400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T93" authorId="40" shapeId="0" xr:uid="{00000000-0006-0000-0900-0000A5000000}">
      <text>
        <r>
          <rPr>
            <sz val="9"/>
            <color theme="1"/>
            <rFont val="Calibri"/>
            <family val="2"/>
            <scheme val="minor"/>
          </rPr>
          <t>Mélanie Sicard (17/04/2023)
- Changement consigne réactif x2 (342
€/ changement, augmentation prix en 2023)
- Inspection pales 6 mois nouvel arrêté ICPE (1800€)</t>
        </r>
      </text>
    </comment>
    <comment ref="V93" authorId="40" shapeId="0" xr:uid="{00000000-0006-0000-0900-0000A600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(3600€)
Contacts locaux (1000€)</t>
        </r>
      </text>
    </comment>
    <comment ref="AI93" authorId="40" shapeId="0" xr:uid="{00000000-0006-0000-0900-0000A7000000}">
      <text>
        <r>
          <rPr>
            <sz val="9"/>
            <color theme="1"/>
            <rFont val="Calibri"/>
            <family val="2"/>
            <scheme val="minor"/>
          </rPr>
          <t>MSIC (12/5/2022) : Mesure compensatoir enviro avec Ferme de MontBelAir. Entretien année 5 terminée en 4/2024. Comptabiliser 207.42€/an, dernier paiement à la fin de la 20ième année en avril 2039</t>
        </r>
      </text>
    </comment>
    <comment ref="P94" authorId="47" shapeId="0" xr:uid="{00000000-0006-0000-0900-0000A8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94" authorId="47" shapeId="0" xr:uid="{00000000-0006-0000-0900-0000A9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
Déneigement</t>
        </r>
      </text>
    </comment>
    <comment ref="X94" authorId="47" shapeId="0" xr:uid="{00000000-0006-0000-0900-0000AA000000}">
      <text>
        <r>
          <rPr>
            <sz val="9"/>
            <color theme="1"/>
            <rFont val="Calibri"/>
            <family val="2"/>
            <scheme val="minor"/>
          </rPr>
          <t>Stephane ESTRABAUT:
Données Theo</t>
        </r>
      </text>
    </comment>
    <comment ref="AC94" authorId="47" shapeId="0" xr:uid="{00000000-0006-0000-0900-0000AB000000}">
      <text>
        <r>
          <rPr>
            <sz val="9"/>
            <color theme="1"/>
            <rFont val="Calibri"/>
            <family val="2"/>
            <scheme val="minor"/>
          </rPr>
          <t xml:space="preserve">Stephane ESTRABAUT:
Contrat BioDivWind
</t>
        </r>
      </text>
    </comment>
    <comment ref="AF94" authorId="91" shapeId="0" xr:uid="{00000000-0006-0000-0900-0000A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94" authorId="92" shapeId="0" xr:uid="{00000000-0006-0000-0900-0000A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V95" authorId="93" shapeId="0" xr:uid="{00000000-0006-0000-0900-0000A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Déneigement et débroussaillage</t>
      </text>
    </comment>
    <comment ref="Y95" authorId="94" shapeId="0" xr:uid="{00000000-0006-0000-0900-0000A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satellite</t>
      </text>
    </comment>
    <comment ref="AC95" authorId="95" shapeId="0" xr:uid="{00000000-0006-0000-0900-0000B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OM + Nacelle + Tests de plaques</t>
      </text>
    </comment>
    <comment ref="J96" authorId="96" shapeId="0" xr:uid="{00000000-0006-0000-0900-0000B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Nouveau contrat le 01/01/2023 : montant similaire à celui de CEFF (correctif inclus dans le contrat)</t>
      </text>
    </comment>
    <comment ref="P96" authorId="97" shapeId="0" xr:uid="{00000000-0006-0000-0900-0000B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96" authorId="98" shapeId="0" xr:uid="{00000000-0006-0000-0900-0000B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P97" authorId="0" shapeId="0" xr:uid="{00000000-0006-0000-0900-0000B400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</t>
        </r>
      </text>
    </comment>
    <comment ref="AF97" authorId="99" shapeId="0" xr:uid="{00000000-0006-0000-0900-0000B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97" authorId="100" shapeId="0" xr:uid="{00000000-0006-0000-0900-0000B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P98" authorId="2" shapeId="0" xr:uid="{00000000-0006-0000-0900-0000B7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S98" authorId="21" shapeId="0" xr:uid="{00000000-0006-0000-0900-0000B8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O&amp;M MCR hors scope</t>
        </r>
      </text>
    </comment>
    <comment ref="U98" authorId="21" shapeId="0" xr:uid="{00000000-0006-0000-0900-0000B9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Provision en cas de MCR</t>
        </r>
      </text>
    </comment>
    <comment ref="V98" authorId="21" shapeId="0" xr:uid="{00000000-0006-0000-0900-0000BA00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Déneig + débro</t>
        </r>
      </text>
    </comment>
    <comment ref="AH99" authorId="101" shapeId="0" xr:uid="{00000000-0006-0000-0900-0000B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PC</t>
      </text>
    </comment>
    <comment ref="P100" authorId="2" shapeId="0" xr:uid="{00000000-0006-0000-0900-0000BC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V100" authorId="49" shapeId="0" xr:uid="{00000000-0006-0000-0900-0000BD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2k€ essaie plaque
3k€ entretien</t>
        </r>
      </text>
    </comment>
    <comment ref="Y100" authorId="49" shapeId="0" xr:uid="{00000000-0006-0000-0900-0000BE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RDL (440€/MWh)
Com Satellite 700
Contrat Scada SGRE 5000
</t>
        </r>
      </text>
    </comment>
    <comment ref="AG100" authorId="102" shapeId="0" xr:uid="{00000000-0006-0000-0900-0000B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mutualisation avec plaine de l'orbieu (suivi au sol) ?</t>
      </text>
    </comment>
    <comment ref="V103" authorId="41" shapeId="0" xr:uid="{00000000-0006-0000-0900-0000C0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débroussaillage annuel du site. </t>
        </r>
      </text>
    </comment>
    <comment ref="AF103" authorId="7" shapeId="0" xr:uid="{00000000-0006-0000-0900-0000C1000000}">
      <text>
        <r>
          <rPr>
            <sz val="9"/>
            <color theme="1"/>
            <rFont val="Calibri"/>
            <family val="2"/>
            <scheme val="minor"/>
          </rPr>
          <t>Joanna REVERSAT (2/5/23):
Comme le bridage chiroptères n'est mis en place qu'à partir de 2023, je préfère allouer un budget au cas où un nouveau suivi serait nécessaire suite à des ajustements de paramètres.</t>
        </r>
      </text>
    </comment>
    <comment ref="AG103" authorId="7" shapeId="0" xr:uid="{00000000-0006-0000-0900-0000C2000000}">
      <text>
        <r>
          <rPr>
            <sz val="9"/>
            <color theme="1"/>
            <rFont val="Calibri"/>
            <family val="2"/>
            <scheme val="minor"/>
          </rPr>
          <t>Joanna REVERSAT (2/5/23):
Comme le bridage chiroptères n'est mis en place qu'à partir de 2023, je préfère allouer un budget au cas où un nouveau suivi serait nécessaire suite à des ajustements de paramètres.</t>
        </r>
      </text>
    </comment>
    <comment ref="V105" authorId="103" shapeId="0" xr:uid="{00000000-0006-0000-0900-0000C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nettoyage module</t>
      </text>
    </comment>
    <comment ref="AF106" authorId="104" shapeId="0" xr:uid="{00000000-0006-0000-0900-0000C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06" authorId="105" shapeId="0" xr:uid="{00000000-0006-0000-0900-0000C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T107" authorId="8" shapeId="0" xr:uid="{00000000-0006-0000-0900-0000C600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AH107" authorId="7" shapeId="0" xr:uid="{00000000-0006-0000-0900-0000C7000000}">
      <text>
        <r>
          <rPr>
            <sz val="9"/>
            <color theme="1"/>
            <rFont val="Calibri"/>
            <family val="2"/>
            <scheme val="minor"/>
          </rPr>
          <t>Joanna REVERSAT (2/5/23):
Suivi faune/flore les 3 premières années puis n+5 et n+10</t>
        </r>
      </text>
    </comment>
    <comment ref="P108" authorId="106" shapeId="0" xr:uid="{00000000-0006-0000-0900-0000C8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abonnement RDL</t>
      </text>
    </comment>
    <comment ref="V108" authorId="107" shapeId="0" xr:uid="{00000000-0006-0000-0900-0000C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AE108" authorId="7" shapeId="0" xr:uid="{00000000-0006-0000-0900-0000CA000000}">
      <text>
        <r>
          <rPr>
            <sz val="9"/>
            <color theme="1"/>
            <rFont val="Calibri"/>
            <family val="2"/>
            <scheme val="minor"/>
          </rPr>
          <t>Joanna REVERSAT (2/5/23):
Cela inclut le suivi des busards (prescription de l'étude d'impact) et celui des milans royaux.</t>
        </r>
      </text>
    </comment>
    <comment ref="AI108" authorId="7" shapeId="0" xr:uid="{00000000-0006-0000-0900-0000CB000000}">
      <text>
        <r>
          <rPr>
            <sz val="9"/>
            <color theme="1"/>
            <rFont val="Calibri"/>
            <family val="2"/>
            <scheme val="minor"/>
          </rPr>
          <t>Joanna REVERSAT (2/5/23):
Mesures compensatoires prescrites par l'étude d'impact, dont la mise en oeuvre débute en 2023</t>
        </r>
      </text>
    </comment>
    <comment ref="P109" authorId="47" shapeId="0" xr:uid="{00000000-0006-0000-0900-0000CC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109" authorId="47" shapeId="0" xr:uid="{00000000-0006-0000-0900-0000CD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
Deneigement</t>
        </r>
      </text>
    </comment>
    <comment ref="X109" authorId="47" shapeId="0" xr:uid="{00000000-0006-0000-0900-0000CE000000}">
      <text>
        <r>
          <rPr>
            <sz val="9"/>
            <color theme="1"/>
            <rFont val="Calibri"/>
            <family val="2"/>
            <scheme val="minor"/>
          </rPr>
          <t>Stephane ESTRABAUT:
Données Theo</t>
        </r>
      </text>
    </comment>
    <comment ref="AH110" authorId="108" shapeId="0" xr:uid="{00000000-0006-0000-0900-0000C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Evaluation des travaux réalisés automne 2023 - à valider</t>
      </text>
    </comment>
    <comment ref="N111" authorId="3" shapeId="0" xr:uid="{00000000-0006-0000-0900-0000D0000000}">
      <text>
        <r>
          <rPr>
            <sz val="9"/>
            <color theme="1"/>
            <rFont val="Calibri"/>
            <family val="2"/>
            <scheme val="minor"/>
          </rPr>
          <t>Aubin EXBRAYAT:
2ND INSPECTION</t>
        </r>
      </text>
    </comment>
    <comment ref="P111" authorId="2" shapeId="0" xr:uid="{00000000-0006-0000-0900-0000D1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V111" authorId="3" shapeId="0" xr:uid="{00000000-0006-0000-0900-0000D200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Y111" authorId="3" shapeId="0" xr:uid="{00000000-0006-0000-0900-0000D3000000}">
      <text>
        <r>
          <rPr>
            <sz val="9"/>
            <color theme="1"/>
            <rFont val="Calibri"/>
            <family val="2"/>
            <scheme val="minor"/>
          </rPr>
          <t>Aubin EXBRAYAT:
Aubin EXBRAYAT:
440 € / MW RDL</t>
        </r>
      </text>
    </comment>
    <comment ref="AC111" authorId="3" shapeId="0" xr:uid="{00000000-0006-0000-0900-0000D4000000}">
      <text>
        <r>
          <rPr>
            <sz val="9"/>
            <color theme="1"/>
            <rFont val="Calibri"/>
            <family val="2"/>
            <scheme val="minor"/>
          </rPr>
          <t>Aubin EXBRAYAT:
presta addi pour sda (loc..)+48k€ o&amp;m 
 sda</t>
        </r>
      </text>
    </comment>
    <comment ref="AE111" authorId="109" shapeId="0" xr:uid="{00000000-0006-0000-0900-0000D5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drone si changement de caméra</t>
      </text>
    </comment>
    <comment ref="P112" authorId="110" shapeId="0" xr:uid="{00000000-0006-0000-0900-0000D6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112" authorId="111" shapeId="0" xr:uid="{00000000-0006-0000-0900-0000D7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AE112" authorId="7" shapeId="0" xr:uid="{00000000-0006-0000-0900-0000D8000000}">
      <text>
        <r>
          <rPr>
            <sz val="9"/>
            <color theme="1"/>
            <rFont val="Calibri"/>
            <family val="2"/>
            <scheme val="minor"/>
          </rPr>
          <t>Joanna REVERSAT (2/5/23):
Suivi des milans royaux suite à mortalité en 2022</t>
        </r>
      </text>
    </comment>
    <comment ref="V113" authorId="112" shapeId="0" xr:uid="{00000000-0006-0000-0900-0000D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NiD : débrousaillage</t>
      </text>
    </comment>
    <comment ref="V114" authorId="17" shapeId="0" xr:uid="{00000000-0006-0000-0900-0000DA000000}">
      <text>
        <r>
          <rPr>
            <sz val="9"/>
            <color theme="1"/>
            <rFont val="Calibri"/>
            <family val="2"/>
            <scheme val="minor"/>
          </rPr>
          <t xml:space="preserve">Nopphadol SRIKONG:
entretien paysager + contact local
</t>
        </r>
      </text>
    </comment>
    <comment ref="Y114" authorId="17" shapeId="0" xr:uid="{00000000-0006-0000-0900-0000DB000000}">
      <text>
        <r>
          <rPr>
            <sz val="9"/>
            <color theme="1"/>
            <rFont val="Calibri"/>
            <family val="2"/>
            <scheme val="minor"/>
          </rPr>
          <t>Nopphadol SRIKONG:
réparation sur les antennes TV approvisionnée</t>
        </r>
      </text>
    </comment>
    <comment ref="AE114" authorId="7" shapeId="0" xr:uid="{00000000-0006-0000-0900-0000DC000000}">
      <text>
        <r>
          <rPr>
            <sz val="9"/>
            <color theme="1"/>
            <rFont val="Calibri"/>
            <family val="2"/>
            <scheme val="minor"/>
          </rPr>
          <t>Joanna REVERSAT (2/5/23):
Suivi des busards avec LPO17</t>
        </r>
      </text>
    </comment>
    <comment ref="AI114" authorId="7" shapeId="0" xr:uid="{00000000-0006-0000-0900-0000DD000000}">
      <text>
        <r>
          <rPr>
            <sz val="9"/>
            <color theme="1"/>
            <rFont val="Calibri"/>
            <family val="2"/>
            <scheme val="minor"/>
          </rPr>
          <t>Joanna REVERSAT (2/5/23):
Mesures compensatoires (prescrites par l'étude d'impact) à mettre en oeuvre en faveur des oiseaux et des chauves-souris, débutées en 2023</t>
        </r>
      </text>
    </comment>
    <comment ref="AI117" authorId="113" shapeId="0" xr:uid="{00000000-0006-0000-0900-0000D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mesures compensatoires CEN</t>
      </text>
    </comment>
    <comment ref="AH119" authorId="114" shapeId="0" xr:uid="{00000000-0006-0000-0900-0000D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 PC</t>
      </text>
    </comment>
    <comment ref="V121" authorId="115" shapeId="0" xr:uid="{00000000-0006-0000-0900-0000E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4passages par an préconisés par BE</t>
      </text>
    </comment>
    <comment ref="AH122" authorId="7" shapeId="0" xr:uid="{00000000-0006-0000-0900-0000E1000000}">
      <text>
        <r>
          <rPr>
            <sz val="9"/>
            <color theme="1"/>
            <rFont val="Calibri"/>
            <family val="2"/>
            <scheme val="minor"/>
          </rPr>
          <t>Joanna REVERSAT (2/5/23):
Pas de suivi faune/flore prévu sur la 2e année d'exploitation</t>
        </r>
      </text>
    </comment>
    <comment ref="J124" authorId="49" shapeId="0" xr:uid="{00000000-0006-0000-0900-0000E2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O&amp;M PDL</t>
        </r>
      </text>
    </comment>
    <comment ref="P124" authorId="116" shapeId="0" xr:uid="{00000000-0006-0000-0900-0000E3000000}">
      <text>
        <r>
          <rPr>
            <sz val="9"/>
            <color theme="1"/>
            <rFont val="Calibri"/>
            <family val="2"/>
            <scheme val="minor"/>
          </rPr>
          <t>Sarah HOUDUSSE:
RDL:440€/MW + bvpn</t>
        </r>
      </text>
    </comment>
    <comment ref="S124" authorId="49" shapeId="0" xr:uid="{00000000-0006-0000-0900-0000E4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39,3k€ /WTG + indexation</t>
        </r>
      </text>
    </comment>
    <comment ref="W124" authorId="2" shapeId="0" xr:uid="{00000000-0006-0000-0900-0000E5000000}">
      <text>
        <r>
          <rPr>
            <sz val="9"/>
            <color theme="1"/>
            <rFont val="Calibri"/>
            <family val="2"/>
            <scheme val="minor"/>
          </rPr>
          <t>Simon CLEMENCEAU:
inspection pales</t>
        </r>
      </text>
    </comment>
    <comment ref="Y124" authorId="2" shapeId="0" xr:uid="{00000000-0006-0000-0900-0000E6000000}">
      <text>
        <r>
          <rPr>
            <sz val="9"/>
            <color theme="1"/>
            <rFont val="Calibri"/>
            <family val="2"/>
            <scheme val="minor"/>
          </rPr>
          <t>Simon CLEMENCEAU:
+ bvpn</t>
        </r>
      </text>
    </comment>
    <comment ref="AC124" authorId="49" shapeId="0" xr:uid="{00000000-0006-0000-0900-0000E7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O&amp;M SDA</t>
        </r>
      </text>
    </comment>
    <comment ref="AD124" authorId="49" shapeId="0" xr:uid="{00000000-0006-0000-0900-0000E800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Container déchet</t>
        </r>
      </text>
    </comment>
    <comment ref="T126" authorId="41" shapeId="0" xr:uid="{00000000-0006-0000-0900-0000E9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remplacement des lifts Zarges par des nouveux lifts Hailo, prix estimé de 15k€ par turbine.
Deduction de reprise des anciens lifts (pieces detachés ou autre) par BWTS our Nordex (+30k€).
Remplacement des rails avanti, prix estimé de 10k€ par machine.
</t>
        </r>
      </text>
    </comment>
    <comment ref="V126" authorId="41" shapeId="0" xr:uid="{00000000-0006-0000-0900-0000EA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Fauchage de la végétation sauvage autour des éoliennes et débroussaillage des bandes enherbées</t>
        </r>
      </text>
    </comment>
    <comment ref="AI126" authorId="117" shapeId="0" xr:uid="{00000000-0006-0000-0900-0000EB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convention CEN</t>
      </text>
    </comment>
    <comment ref="T127" authorId="118" shapeId="0" xr:uid="{00000000-0006-0000-0900-0000E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40000€</t>
      </text>
    </comment>
    <comment ref="V127" authorId="119" shapeId="0" xr:uid="{00000000-0006-0000-0900-0000ED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espaces verts et divers 30k€</t>
      </text>
    </comment>
    <comment ref="W127" authorId="120" shapeId="0" xr:uid="{00000000-0006-0000-0900-0000E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7k€</t>
      </text>
    </comment>
    <comment ref="Z127" authorId="121" shapeId="0" xr:uid="{00000000-0006-0000-0900-0000E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3,7k€</t>
      </text>
    </comment>
    <comment ref="AA127" authorId="122" shapeId="0" xr:uid="{00000000-0006-0000-0900-0000F0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I127" authorId="123" shapeId="0" xr:uid="{00000000-0006-0000-0900-0000F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 enviro</t>
      </text>
    </comment>
    <comment ref="V129" authorId="124" shapeId="0" xr:uid="{00000000-0006-0000-0900-0000F2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Thermo
</t>
      </text>
    </comment>
    <comment ref="Z129" authorId="125" shapeId="0" xr:uid="{00000000-0006-0000-0900-0000F3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Aléa
</t>
      </text>
    </comment>
    <comment ref="AA129" authorId="126" shapeId="0" xr:uid="{00000000-0006-0000-0900-0000F4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Ancrage</t>
      </text>
    </comment>
    <comment ref="J130" authorId="46" shapeId="0" xr:uid="{00000000-0006-0000-0900-0000F5000000}">
      <text>
        <r>
          <rPr>
            <b/>
            <sz val="9"/>
            <color indexed="81"/>
            <rFont val="Tahoma"/>
            <family val="2"/>
          </rPr>
          <t>Stephane Estrabaut:</t>
        </r>
        <r>
          <rPr>
            <sz val="9"/>
            <color indexed="81"/>
            <rFont val="Tahoma"/>
            <family val="2"/>
          </rPr>
          <t xml:space="preserve">
Contrat cadre poste N+10</t>
        </r>
      </text>
    </comment>
    <comment ref="P130" authorId="47" shapeId="0" xr:uid="{00000000-0006-0000-0900-0000F6000000}">
      <text>
        <r>
          <rPr>
            <sz val="9"/>
            <color theme="1"/>
            <rFont val="Calibri"/>
            <family val="2"/>
            <scheme val="minor"/>
          </rPr>
          <t>Stephane ESTRABAUT:
440€/MW</t>
        </r>
      </text>
    </comment>
    <comment ref="V130" authorId="47" shapeId="0" xr:uid="{00000000-0006-0000-0900-0000F7000000}">
      <text>
        <r>
          <rPr>
            <sz val="9"/>
            <color theme="1"/>
            <rFont val="Calibri"/>
            <family val="2"/>
            <scheme val="minor"/>
          </rPr>
          <t>Stephane ESTRABAUT:
Débroussaillage + entretien pistes</t>
        </r>
      </text>
    </comment>
    <comment ref="X130" authorId="47" shapeId="0" xr:uid="{00000000-0006-0000-0900-0000F8000000}">
      <text>
        <r>
          <rPr>
            <sz val="9"/>
            <color theme="1"/>
            <rFont val="Calibri"/>
            <family val="2"/>
            <scheme val="minor"/>
          </rPr>
          <t>Stephane ESTRABAUT:
Données Theo</t>
        </r>
      </text>
    </comment>
    <comment ref="AE130" authorId="127" shapeId="0" xr:uid="{00000000-0006-0000-0900-0000F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prévoir biomonitoring suite mise en place de SDA (APC)
Réponse :
    mutualisation avec Luc sur orbieu</t>
      </text>
    </comment>
    <comment ref="AG130" authorId="128" shapeId="0" xr:uid="{00000000-0006-0000-0900-0000FA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mutualisation avec Luc2</t>
      </text>
    </comment>
    <comment ref="J132" authorId="41" shapeId="0" xr:uid="{00000000-0006-0000-0900-0000FB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25/04/2023: Moyenne de la rémunération 
forfaitaire pour la durée 
d’application du Contrat Cadre d'Exploitation 
et Maintenance.
</t>
        </r>
      </text>
    </comment>
    <comment ref="V132" authorId="41" shapeId="0" xr:uid="{00000000-0006-0000-0900-0000FC000000}">
      <text>
        <r>
          <rPr>
            <b/>
            <sz val="9"/>
            <color indexed="81"/>
            <rFont val="Tahoma"/>
            <family val="2"/>
          </rPr>
          <t>Alejandro YAHUACA:</t>
        </r>
        <r>
          <rPr>
            <sz val="9"/>
            <color indexed="81"/>
            <rFont val="Tahoma"/>
            <family val="2"/>
          </rPr>
          <t xml:space="preserve">
26/04/2023: débroussaillage plateformes éoliennes et PDL.</t>
        </r>
      </text>
    </comment>
    <comment ref="P134" authorId="2" shapeId="0" xr:uid="{00000000-0006-0000-0900-0000FD00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T139" authorId="129" shapeId="0" xr:uid="{00000000-0006-0000-0900-0000FE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suppression 25k€
- aléas 26k€</t>
      </text>
    </comment>
    <comment ref="V139" authorId="130" shapeId="0" xr:uid="{00000000-0006-0000-0900-0000FF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Espace vert 9k€</t>
      </text>
    </comment>
    <comment ref="W139" authorId="131" shapeId="0" xr:uid="{00000000-0006-0000-0900-00000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inspection élec 3k€</t>
      </text>
    </comment>
    <comment ref="X139" authorId="132" shapeId="0" xr:uid="{00000000-0006-0000-0900-00000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suppression 6400€</t>
      </text>
    </comment>
    <comment ref="Z139" authorId="133" shapeId="0" xr:uid="{00000000-0006-0000-0900-00000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39" authorId="134" shapeId="0" xr:uid="{00000000-0006-0000-0900-00000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J140" authorId="2" shapeId="0" xr:uid="{00000000-0006-0000-0900-000004010000}">
      <text>
        <r>
          <rPr>
            <sz val="9"/>
            <color theme="1"/>
            <rFont val="Calibri"/>
            <family val="2"/>
            <scheme val="minor"/>
          </rPr>
          <t>Simon CLEMENCEAU:
10k€ pdl</t>
        </r>
      </text>
    </comment>
    <comment ref="P140" authorId="2" shapeId="0" xr:uid="{00000000-0006-0000-0900-00000501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V140" authorId="49" shapeId="0" xr:uid="{00000000-0006-0000-0900-000006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5k€ entretien</t>
        </r>
      </text>
    </comment>
    <comment ref="AG140" authorId="135" shapeId="0" xr:uid="{00000000-0006-0000-0900-00000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prorata suivi 2024 selon devis EXEN</t>
      </text>
    </comment>
    <comment ref="T141" authorId="136" shapeId="0" xr:uid="{00000000-0006-0000-0900-00000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W141" authorId="137" shapeId="0" xr:uid="{00000000-0006-0000-0900-00000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1,2k€</t>
      </text>
    </comment>
    <comment ref="Z141" authorId="138" shapeId="0" xr:uid="{00000000-0006-0000-0900-00000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41" authorId="139" shapeId="0" xr:uid="{00000000-0006-0000-0900-00000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P142" authorId="0" shapeId="0" xr:uid="{00000000-0006-0000-0900-00000C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</t>
        </r>
      </text>
    </comment>
    <comment ref="S142" authorId="140" shapeId="0" xr:uid="{00000000-0006-0000-0900-00000D010000}">
      <text>
        <r>
          <rPr>
            <b/>
            <sz val="9"/>
            <color indexed="81"/>
            <rFont val="Tahoma"/>
            <family val="2"/>
          </rPr>
          <t>ooutayeb:</t>
        </r>
        <r>
          <rPr>
            <sz val="9"/>
            <color indexed="81"/>
            <rFont val="Tahoma"/>
            <family val="2"/>
          </rPr>
          <t xml:space="preserve">
Contrat pales SGRE (a expiré en 02/23, renégo en cours)</t>
        </r>
      </text>
    </comment>
    <comment ref="V142" authorId="0" shapeId="0" xr:uid="{00000000-0006-0000-0900-00000E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Débroussaillage</t>
        </r>
      </text>
    </comment>
    <comment ref="P143" authorId="0" shapeId="0" xr:uid="{00000000-0006-0000-0900-00000F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forfait annuel RDL</t>
        </r>
      </text>
    </comment>
    <comment ref="V143" authorId="0" shapeId="0" xr:uid="{00000000-0006-0000-0900-000010010000}">
      <text>
        <r>
          <rPr>
            <b/>
            <sz val="9"/>
            <color indexed="81"/>
            <rFont val="Tahoma"/>
            <family val="2"/>
          </rPr>
          <t>Bastien Bodoville:</t>
        </r>
        <r>
          <rPr>
            <sz val="9"/>
            <color indexed="81"/>
            <rFont val="Tahoma"/>
            <family val="2"/>
          </rPr>
          <t xml:space="preserve">
03/05/23
Débroussaillage</t>
        </r>
      </text>
    </comment>
    <comment ref="V144" authorId="141" shapeId="0" xr:uid="{00000000-0006-0000-0900-00001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4passages par an préconisés par BE</t>
      </text>
    </comment>
    <comment ref="N145" authorId="49" shapeId="0" xr:uid="{00000000-0006-0000-0900-000012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RUL &amp; AOS inspection 20ans</t>
        </r>
      </text>
    </comment>
    <comment ref="P145" authorId="2" shapeId="0" xr:uid="{00000000-0006-0000-0900-00001301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V145" authorId="49" shapeId="0" xr:uid="{00000000-0006-0000-0900-000014010000}">
      <text>
        <r>
          <rPr>
            <b/>
            <sz val="9"/>
            <color indexed="81"/>
            <rFont val="Tahoma"/>
            <family val="2"/>
          </rPr>
          <t>Sarah Houdusse:</t>
        </r>
        <r>
          <rPr>
            <sz val="9"/>
            <color indexed="81"/>
            <rFont val="Tahoma"/>
            <family val="2"/>
          </rPr>
          <t xml:space="preserve">
5k€ entretien</t>
        </r>
      </text>
    </comment>
    <comment ref="AF146" authorId="142" shapeId="0" xr:uid="{00000000-0006-0000-0900-00001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46" authorId="143" shapeId="0" xr:uid="{00000000-0006-0000-0900-00001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P149" authorId="144" shapeId="0" xr:uid="{00000000-0006-0000-0900-00001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RDL + retrofit PDL reboot à distance</t>
      </text>
    </comment>
    <comment ref="V149" authorId="145" shapeId="0" xr:uid="{00000000-0006-0000-0900-00001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Y149" authorId="2" shapeId="0" xr:uid="{00000000-0006-0000-0900-000019010000}">
      <text>
        <r>
          <rPr>
            <sz val="9"/>
            <color theme="1"/>
            <rFont val="Calibri"/>
            <family val="2"/>
            <scheme val="minor"/>
          </rPr>
          <t>Simon CLEMENCEAU:
lien orange bvpn</t>
        </r>
      </text>
    </comment>
    <comment ref="AF149" authorId="146" shapeId="0" xr:uid="{00000000-0006-0000-0900-00001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49" authorId="147" shapeId="0" xr:uid="{00000000-0006-0000-0900-00001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I149" authorId="148" shapeId="0" xr:uid="{00000000-0006-0000-0900-00001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zone humide</t>
      </text>
    </comment>
    <comment ref="Y151" authorId="17" shapeId="0" xr:uid="{00000000-0006-0000-0900-00001D010000}">
      <text>
        <r>
          <rPr>
            <sz val="9"/>
            <color theme="1"/>
            <rFont val="Calibri"/>
            <family val="2"/>
            <scheme val="minor"/>
          </rPr>
          <t>Nopphadol SRIKONG:
abonnement com IP payé par SAS sur 12 mois</t>
        </r>
      </text>
    </comment>
    <comment ref="V153" authorId="8" shapeId="0" xr:uid="{00000000-0006-0000-0900-00001E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nettoyage module</t>
        </r>
      </text>
    </comment>
    <comment ref="AH153" authorId="7" shapeId="0" xr:uid="{00000000-0006-0000-0900-00001F010000}">
      <text>
        <r>
          <rPr>
            <sz val="9"/>
            <color theme="1"/>
            <rFont val="Calibri"/>
            <family val="2"/>
            <scheme val="minor"/>
          </rPr>
          <t>Joanna REVERSAT (3/5/23):
Aucun suivi faune/flore indiqué dans l'étude d'impact</t>
        </r>
      </text>
    </comment>
    <comment ref="P154" authorId="40" shapeId="0" xr:uid="{00000000-0006-0000-0900-000020010000}">
      <text>
        <r>
          <rPr>
            <sz val="9"/>
            <color theme="1"/>
            <rFont val="Calibri"/>
            <family val="2"/>
            <scheme val="minor"/>
          </rPr>
          <t>Mélanie Sicard (17/04/2023) : 
forfait annuel RDL pour 2023 : 440€/MW</t>
        </r>
      </text>
    </comment>
    <comment ref="V154" authorId="40" shapeId="0" xr:uid="{00000000-0006-0000-0900-000021010000}">
      <text>
        <r>
          <rPr>
            <sz val="9"/>
            <color theme="1"/>
            <rFont val="Calibri"/>
            <family val="2"/>
            <scheme val="minor"/>
          </rPr>
          <t>Mélanie Sicard (17/04/2023):
Entretient paysager (3*1200=3600€)
Contacts locaux (1600€ + 600€)</t>
        </r>
      </text>
    </comment>
    <comment ref="V156" authorId="8" shapeId="0" xr:uid="{00000000-0006-0000-0900-000022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Entretient végétation</t>
        </r>
      </text>
    </comment>
    <comment ref="T157" authorId="8" shapeId="0" xr:uid="{00000000-0006-0000-0900-000023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 contrat O&amp;M
</t>
        </r>
      </text>
    </comment>
    <comment ref="V157" authorId="8" shapeId="0" xr:uid="{00000000-0006-0000-0900-000024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entretien végétation
</t>
        </r>
      </text>
    </comment>
    <comment ref="AH157" authorId="149" shapeId="0" xr:uid="{00000000-0006-0000-0900-00002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enviro</t>
      </text>
    </comment>
    <comment ref="AH158" authorId="7" shapeId="0" xr:uid="{00000000-0006-0000-0900-000026010000}">
      <text>
        <r>
          <rPr>
            <sz val="9"/>
            <color theme="1"/>
            <rFont val="Calibri"/>
            <family val="2"/>
            <scheme val="minor"/>
          </rPr>
          <t>Joanna REVERSAT (3/5/23):
pas de suivi faune/flore prescrit pour la 2e année</t>
        </r>
      </text>
    </comment>
    <comment ref="P159" authorId="2" shapeId="0" xr:uid="{00000000-0006-0000-0900-000027010000}">
      <text>
        <r>
          <rPr>
            <sz val="9"/>
            <color theme="1"/>
            <rFont val="Calibri"/>
            <family val="2"/>
            <scheme val="minor"/>
          </rPr>
          <t xml:space="preserve">Simon CLEMENCEAU:
rdl + bvpn
</t>
        </r>
      </text>
    </comment>
    <comment ref="T159" authorId="21" shapeId="0" xr:uid="{00000000-0006-0000-0900-000028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 - 500€x2 (changement consigne tan phi)   - 30000€ (provision réparation pale)</t>
        </r>
      </text>
    </comment>
    <comment ref="V159" authorId="21" shapeId="0" xr:uid="{00000000-0006-0000-0900-000029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-20000€ (débroussaillage+pistes) -3000€ (provision 2 tests à la plaque) - 15000€ (provision reprise 1 plateforme)</t>
        </r>
      </text>
    </comment>
    <comment ref="Z159" authorId="21" shapeId="0" xr:uid="{00000000-0006-0000-0900-00002A010000}">
      <text>
        <r>
          <rPr>
            <sz val="9"/>
            <color theme="1"/>
            <rFont val="Calibri"/>
            <family val="2"/>
            <scheme val="minor"/>
          </rPr>
          <t>Theo CAVEY:
2 accomp + 10000€ de télésurveillance/gardiennage</t>
        </r>
      </text>
    </comment>
    <comment ref="AF159" authorId="150" shapeId="0" xr:uid="{00000000-0006-0000-0900-00002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59" authorId="151" shapeId="0" xr:uid="{00000000-0006-0000-0900-00002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N160" authorId="3" shapeId="0" xr:uid="{00000000-0006-0000-0900-00002D010000}">
      <text>
        <r>
          <rPr>
            <sz val="9"/>
            <color theme="1"/>
            <rFont val="Calibri"/>
            <family val="2"/>
            <scheme val="minor"/>
          </rPr>
          <t>Aubin EXBRAYAT:
Aubin EXBRAYAT:
2ND INSPECTION</t>
        </r>
      </text>
    </comment>
    <comment ref="O160" authorId="3" shapeId="0" xr:uid="{00000000-0006-0000-0900-00002E010000}">
      <text>
        <r>
          <rPr>
            <sz val="9"/>
            <color theme="1"/>
            <rFont val="Calibri"/>
            <family val="2"/>
            <scheme val="minor"/>
          </rPr>
          <t>Aubin EXBRAYAT:
entretien MDM</t>
        </r>
      </text>
    </comment>
    <comment ref="P160" authorId="2" shapeId="0" xr:uid="{00000000-0006-0000-0900-00002F010000}">
      <text>
        <r>
          <rPr>
            <sz val="9"/>
            <color theme="1"/>
            <rFont val="Calibri"/>
            <family val="2"/>
            <scheme val="minor"/>
          </rPr>
          <t>Simon CLEMENCEAU:
rdl +bvpn</t>
        </r>
      </text>
    </comment>
    <comment ref="T160" authorId="3" shapeId="0" xr:uid="{00000000-0006-0000-0900-000030010000}">
      <text>
        <r>
          <rPr>
            <sz val="9"/>
            <color theme="1"/>
            <rFont val="Calibri"/>
            <family val="2"/>
            <scheme val="minor"/>
          </rPr>
          <t>Aubin EXBRAYAT:
contrat Cirteus</t>
        </r>
      </text>
    </comment>
    <comment ref="V160" authorId="3" shapeId="0" xr:uid="{00000000-0006-0000-0900-00003101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Y160" authorId="3" shapeId="0" xr:uid="{00000000-0006-0000-0900-000032010000}">
      <text>
        <r>
          <rPr>
            <sz val="9"/>
            <color theme="1"/>
            <rFont val="Calibri"/>
            <family val="2"/>
            <scheme val="minor"/>
          </rPr>
          <t>Aubin EXBRAYAT:
Aubin EXBRAYAT:
440 € / MW RDL</t>
        </r>
      </text>
    </comment>
    <comment ref="AE160" authorId="152" shapeId="0" xr:uid="{00000000-0006-0000-0900-00003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F160" authorId="153" shapeId="0" xr:uid="{00000000-0006-0000-0900-00003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AG160" authorId="154" shapeId="0" xr:uid="{00000000-0006-0000-0900-00003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N161" authorId="3" shapeId="0" xr:uid="{00000000-0006-0000-0900-000036010000}">
      <text>
        <r>
          <rPr>
            <sz val="9"/>
            <color theme="1"/>
            <rFont val="Calibri"/>
            <family val="2"/>
            <scheme val="minor"/>
          </rPr>
          <t>Aubin EXBRAYAT:
Aubin EXBRAYAT:
2ND INSPECTION</t>
        </r>
      </text>
    </comment>
    <comment ref="P161" authorId="2" shapeId="0" xr:uid="{00000000-0006-0000-0900-00003701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T161" authorId="3" shapeId="0" xr:uid="{00000000-0006-0000-0900-000038010000}">
      <text>
        <r>
          <rPr>
            <sz val="9"/>
            <color theme="1"/>
            <rFont val="Calibri"/>
            <family val="2"/>
            <scheme val="minor"/>
          </rPr>
          <t>Aubin EXBRAYAT:
pour cirteus</t>
        </r>
      </text>
    </comment>
    <comment ref="V161" authorId="3" shapeId="0" xr:uid="{00000000-0006-0000-0900-000039010000}">
      <text>
        <r>
          <rPr>
            <sz val="9"/>
            <color theme="1"/>
            <rFont val="Calibri"/>
            <family val="2"/>
            <scheme val="minor"/>
          </rPr>
          <t xml:space="preserve">Aubin EXBRAYAT:
Travaux entretien végé + reprise piste </t>
        </r>
      </text>
    </comment>
    <comment ref="Y161" authorId="3" shapeId="0" xr:uid="{00000000-0006-0000-0900-00003A010000}">
      <text>
        <r>
          <rPr>
            <sz val="9"/>
            <color theme="1"/>
            <rFont val="Calibri"/>
            <family val="2"/>
            <scheme val="minor"/>
          </rPr>
          <t>Aubin EXBRAYAT:
440 € / MW RDL</t>
        </r>
      </text>
    </comment>
    <comment ref="O163" authorId="155" shapeId="0" xr:uid="{00000000-0006-0000-0900-00003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fichier THEO</t>
      </text>
    </comment>
    <comment ref="V163" authorId="156" shapeId="0" xr:uid="{00000000-0006-0000-0900-00003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4passages par an préconisés par BE</t>
      </text>
    </comment>
    <comment ref="X163" authorId="157" shapeId="0" xr:uid="{00000000-0006-0000-0900-00003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Selon fichier Theo</t>
      </text>
    </comment>
    <comment ref="T164" authorId="158" shapeId="0" xr:uid="{00000000-0006-0000-0900-00003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7300€</t>
      </text>
    </comment>
    <comment ref="W164" authorId="159" shapeId="0" xr:uid="{00000000-0006-0000-0900-00003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1,7k€</t>
      </text>
    </comment>
    <comment ref="Z164" authorId="160" shapeId="0" xr:uid="{00000000-0006-0000-0900-00004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64" authorId="161" shapeId="0" xr:uid="{00000000-0006-0000-0900-00004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A165" authorId="162" shapeId="0" xr:uid="{00000000-0006-0000-0900-00004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AE165" authorId="7" shapeId="0" xr:uid="{00000000-0006-0000-0900-000043010000}">
      <text>
        <r>
          <rPr>
            <sz val="9"/>
            <color theme="1"/>
            <rFont val="Calibri"/>
            <family val="2"/>
            <scheme val="minor"/>
          </rPr>
          <t>Joanna REVERSAT (3/5/23):
Biomonitoring au printemps suite à la mise en place des SDA fin 2023. Estimation basée sur devis Exen pour les Plos</t>
        </r>
      </text>
    </comment>
    <comment ref="AG165" authorId="7" shapeId="0" xr:uid="{00000000-0006-0000-0900-000044010000}">
      <text>
        <r>
          <rPr>
            <sz val="9"/>
            <color theme="1"/>
            <rFont val="Calibri"/>
            <family val="2"/>
            <scheme val="minor"/>
          </rPr>
          <t>Joanna REVERSAT (3/5/23):
Suivi conforme au protocole réglementaire, permettant de vérifier l'efficacité des SDA mis en place fin 2023
Estimation basée sur 5k€ / éolienne</t>
        </r>
      </text>
    </comment>
    <comment ref="T166" authorId="8" shapeId="0" xr:uid="{00000000-0006-0000-0900-000045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66" authorId="163" shapeId="0" xr:uid="{00000000-0006-0000-0900-00004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W167" authorId="164" shapeId="0" xr:uid="{00000000-0006-0000-0900-00004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1,4k€</t>
      </text>
    </comment>
    <comment ref="Y167" authorId="165" shapeId="0" xr:uid="{00000000-0006-0000-0900-00004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4/05/20223
- Digicel: 3,5k€</t>
      </text>
    </comment>
    <comment ref="Z167" authorId="166" shapeId="0" xr:uid="{00000000-0006-0000-0900-00004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67" authorId="167" shapeId="0" xr:uid="{00000000-0006-0000-0900-00004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68" authorId="8" shapeId="0" xr:uid="{00000000-0006-0000-0900-00004B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V168" authorId="8" shapeId="0" xr:uid="{00000000-0006-0000-0900-00004C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entretien végétation
</t>
        </r>
      </text>
    </comment>
    <comment ref="V170" authorId="54" shapeId="0" xr:uid="{00000000-0006-0000-0900-00004D010000}">
      <text>
        <r>
          <rPr>
            <sz val="9"/>
            <color theme="1"/>
            <rFont val="Calibri"/>
            <family val="2"/>
            <scheme val="minor"/>
          </rPr>
          <t>Barbara ATENE:
27/04/2023: Entretien des haies à  réaliser</t>
        </r>
      </text>
    </comment>
    <comment ref="V171" authorId="54" shapeId="0" xr:uid="{00000000-0006-0000-0900-00004E010000}">
      <text>
        <r>
          <rPr>
            <sz val="9"/>
            <color theme="1"/>
            <rFont val="Calibri"/>
            <family val="2"/>
            <scheme val="minor"/>
          </rPr>
          <t>Barbara ATENE:
27/04/2023: Nettoyage modules à réaliser</t>
        </r>
      </text>
    </comment>
    <comment ref="Z171" authorId="54" shapeId="0" xr:uid="{00000000-0006-0000-0900-00004F010000}">
      <text>
        <r>
          <rPr>
            <sz val="9"/>
            <color theme="1"/>
            <rFont val="Calibri"/>
            <family val="2"/>
            <scheme val="minor"/>
          </rPr>
          <t>Barbara ATENE:
27/04/2023: Convention avec CPIE Bassin de Thau</t>
        </r>
      </text>
    </comment>
    <comment ref="T172" authorId="8" shapeId="0" xr:uid="{00000000-0006-0000-0900-000050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J174" authorId="168" shapeId="0" xr:uid="{00000000-0006-0000-0900-000051010000}">
      <text>
        <r>
          <rPr>
            <sz val="9"/>
            <color theme="1"/>
            <rFont val="Calibri"/>
            <family val="2"/>
            <scheme val="minor"/>
          </rPr>
          <t>cout contrat PDL estimé *10/12 si mise en service au 1/03/24</t>
        </r>
      </text>
    </comment>
    <comment ref="S174" authorId="168" shapeId="0" xr:uid="{00000000-0006-0000-0900-000052010000}">
      <text>
        <r>
          <rPr>
            <sz val="9"/>
            <color theme="1"/>
            <rFont val="Calibri"/>
            <family val="2"/>
            <scheme val="minor"/>
          </rPr>
          <t>Aymeric BIGOURDAN:
Contrat avec rémunération variable estimée à 70 000 €/WT/an en se basant sur le P50 (date de début estimée au 01/03/2024)</t>
        </r>
      </text>
    </comment>
    <comment ref="T175" authorId="8" shapeId="0" xr:uid="{00000000-0006-0000-0900-000053010000}">
      <text>
        <r>
          <rPr>
            <b/>
            <sz val="9"/>
            <color indexed="81"/>
            <rFont val="Tahoma"/>
            <family val="2"/>
          </rPr>
          <t>Arthur Broche:</t>
        </r>
        <r>
          <rPr>
            <sz val="9"/>
            <color indexed="81"/>
            <rFont val="Tahoma"/>
            <family val="2"/>
          </rPr>
          <t xml:space="preserve">
Aléas cout O&amp;M
</t>
        </r>
      </text>
    </comment>
    <comment ref="AH176" authorId="7" shapeId="0" xr:uid="{00000000-0006-0000-0900-000054010000}">
      <text>
        <r>
          <rPr>
            <sz val="9"/>
            <color theme="1"/>
            <rFont val="Calibri"/>
            <family val="2"/>
            <scheme val="minor"/>
          </rPr>
          <t>Joanna REVERSAT (3/5/23):
Suivi faune/flore les 5 premières années. Montant basé sur devis du BE Symbiodiv</t>
        </r>
      </text>
    </comment>
    <comment ref="P179" authorId="169" shapeId="0" xr:uid="{00000000-0006-0000-0900-00005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18/04/2023 : forfait annuel RDL pour 2024 : 350€/MW soumis à validation avec le partenaire</t>
      </text>
    </comment>
    <comment ref="V179" authorId="170" shapeId="0" xr:uid="{00000000-0006-0000-0900-00005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Debroussaillage</t>
      </text>
    </comment>
    <comment ref="AG180" authorId="171" shapeId="0" xr:uid="{00000000-0006-0000-0900-00005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aléas enviros</t>
      </text>
    </comment>
    <comment ref="P181" authorId="2" shapeId="0" xr:uid="{00000000-0006-0000-0900-000058010000}">
      <text>
        <r>
          <rPr>
            <sz val="9"/>
            <color theme="1"/>
            <rFont val="Calibri"/>
            <family val="2"/>
            <scheme val="minor"/>
          </rPr>
          <t>Simon CLEMENCEAU:
lien bvpn</t>
        </r>
      </text>
    </comment>
    <comment ref="S181" authorId="116" shapeId="0" xr:uid="{00000000-0006-0000-0900-000059010000}">
      <text>
        <r>
          <rPr>
            <sz val="9"/>
            <color theme="1"/>
            <rFont val="Calibri"/>
            <family val="2"/>
            <scheme val="minor"/>
          </rPr>
          <t>Sarah HOUDUSSE:
O&amp;M 1er année : 7500€/WTG +4% indexation
+15k€ PDL</t>
        </r>
      </text>
    </comment>
    <comment ref="W181" authorId="2" shapeId="0" xr:uid="{00000000-0006-0000-0900-00005A010000}">
      <text>
        <r>
          <rPr>
            <sz val="9"/>
            <color theme="1"/>
            <rFont val="Calibri"/>
            <family val="2"/>
            <scheme val="minor"/>
          </rPr>
          <t>Simon CLEMENCEAU:
Inspection pales</t>
        </r>
      </text>
    </comment>
    <comment ref="Y181" authorId="116" shapeId="0" xr:uid="{00000000-0006-0000-0900-00005B010000}">
      <text>
        <r>
          <rPr>
            <sz val="9"/>
            <color theme="1"/>
            <rFont val="Calibri"/>
            <family val="2"/>
            <scheme val="minor"/>
          </rPr>
          <t>Sarah HOUDUSSE:
RDL : 440E/MW + bvpn 5k€</t>
        </r>
      </text>
    </comment>
    <comment ref="AC181" authorId="116" shapeId="0" xr:uid="{00000000-0006-0000-0900-00005C010000}">
      <text>
        <r>
          <rPr>
            <sz val="9"/>
            <color theme="1"/>
            <rFont val="Calibri"/>
            <family val="2"/>
            <scheme val="minor"/>
          </rPr>
          <t>Sarah HOUDUSSE:
O&amp;M SDA (pas d'installation obligatoire la 1ere année) à installer sur 5/13 WTG</t>
        </r>
      </text>
    </comment>
    <comment ref="AD181" authorId="116" shapeId="0" xr:uid="{00000000-0006-0000-0900-00005D010000}">
      <text>
        <r>
          <rPr>
            <sz val="9"/>
            <color theme="1"/>
            <rFont val="Calibri"/>
            <family val="2"/>
            <scheme val="minor"/>
          </rPr>
          <t>Sarah HOUDUSSE:
Déchet -3k€</t>
        </r>
      </text>
    </comment>
    <comment ref="T182" authorId="172" shapeId="0" xr:uid="{00000000-0006-0000-0900-00005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52000€</t>
      </text>
    </comment>
    <comment ref="W182" authorId="173" shapeId="0" xr:uid="{00000000-0006-0000-0900-00005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4,6k€</t>
      </text>
    </comment>
    <comment ref="Z182" authorId="174" shapeId="0" xr:uid="{00000000-0006-0000-0900-00006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82" authorId="175" shapeId="0" xr:uid="{00000000-0006-0000-0900-00006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83" authorId="176" shapeId="0" xr:uid="{00000000-0006-0000-0900-000062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12600€</t>
      </text>
    </comment>
    <comment ref="V183" authorId="177" shapeId="0" xr:uid="{00000000-0006-0000-0900-000063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suppression 1k€</t>
      </text>
    </comment>
    <comment ref="W183" authorId="178" shapeId="0" xr:uid="{00000000-0006-0000-0900-000064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1,6k€</t>
      </text>
    </comment>
    <comment ref="Z183" authorId="179" shapeId="0" xr:uid="{00000000-0006-0000-0900-000065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3,3k€</t>
      </text>
    </comment>
    <comment ref="AA183" authorId="180" shapeId="0" xr:uid="{00000000-0006-0000-0900-000066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T184" authorId="181" shapeId="0" xr:uid="{00000000-0006-0000-0900-000067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DP : Rislans 1 tranche</t>
      </text>
    </comment>
    <comment ref="U184" authorId="182" shapeId="0" xr:uid="{00000000-0006-0000-0900-000068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Remplacement fusile 1 tranche 27000e et étanchéité Shelter 37000e (pour 1Shelter)</t>
      </text>
    </comment>
    <comment ref="AI184" authorId="183" shapeId="0" xr:uid="{00000000-0006-0000-0900-000069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Évaluation impact pâturage</t>
      </text>
    </comment>
    <comment ref="T187" authorId="184" shapeId="0" xr:uid="{00000000-0006-0000-0900-00006A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Aléas= 3500€</t>
      </text>
    </comment>
    <comment ref="V187" authorId="185" shapeId="0" xr:uid="{00000000-0006-0000-0900-00006B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4/5/2023
- suppression 7,5k€</t>
      </text>
    </comment>
    <comment ref="W187" authorId="186" shapeId="0" xr:uid="{00000000-0006-0000-0900-00006C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4/05/2023
- inspection électrique 1,2k€</t>
      </text>
    </comment>
    <comment ref="Z187" authorId="187" shapeId="0" xr:uid="{00000000-0006-0000-0900-00006D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3/05/2023
-PDP 1,6k€</t>
      </text>
    </comment>
    <comment ref="AA187" authorId="188" shapeId="0" xr:uid="{00000000-0006-0000-0900-00006E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djacob le 03/05/2023
- Ancrage= 0,2% du CA</t>
      </text>
    </comment>
    <comment ref="V188" authorId="189" shapeId="0" xr:uid="{00000000-0006-0000-0900-00006F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Débroussaillage</t>
      </text>
    </comment>
    <comment ref="W188" authorId="190" shapeId="0" xr:uid="{00000000-0006-0000-0900-000070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Inspection de pales</t>
      </text>
    </comment>
    <comment ref="Y188" authorId="191" shapeId="0" xr:uid="{00000000-0006-0000-0900-00007101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Abonnement satellite + 4G</t>
      </text>
    </comment>
    <comment ref="P190" authorId="2" shapeId="0" xr:uid="{00000000-0006-0000-0900-000072010000}">
      <text>
        <r>
          <rPr>
            <sz val="9"/>
            <color theme="1"/>
            <rFont val="Calibri"/>
            <family val="2"/>
            <scheme val="minor"/>
          </rPr>
          <t xml:space="preserve">Simon CLEMENCEAU:
rdl
</t>
        </r>
      </text>
    </comment>
    <comment ref="T190" authorId="53" shapeId="0" xr:uid="{00000000-0006-0000-0900-000073010000}">
      <text>
        <r>
          <rPr>
            <sz val="9"/>
            <color theme="1"/>
            <rFont val="Calibri"/>
            <family val="2"/>
            <scheme val="minor"/>
          </rPr>
          <t xml:space="preserve">Pierre MOUSQUE:
-3000€ (provision interventions PDL non prévu dans contrat : reboot com, relance pdl, correctif ...)
</t>
        </r>
      </text>
    </comment>
    <comment ref="V190" authorId="53" shapeId="0" xr:uid="{00000000-0006-0000-0900-00007401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-3000€ (provision pour travaux piste, débroussaillage, …)</t>
        </r>
      </text>
    </comment>
    <comment ref="W190" authorId="53" shapeId="0" xr:uid="{00000000-0006-0000-0900-000075010000}">
      <text>
        <r>
          <rPr>
            <sz val="9"/>
            <color theme="1"/>
            <rFont val="Calibri"/>
            <family val="2"/>
            <scheme val="minor"/>
          </rPr>
          <t>Pierre MOUSQUE:
-2250€ (2ème inspection drone)
-15000€ (provision campagne de mesure acoustique)</t>
        </r>
      </text>
    </comment>
    <comment ref="Y190" authorId="2" shapeId="0" xr:uid="{00000000-0006-0000-0900-000076010000}">
      <text>
        <r>
          <rPr>
            <sz val="9"/>
            <color theme="1"/>
            <rFont val="Calibri"/>
            <family val="2"/>
            <scheme val="minor"/>
          </rPr>
          <t>Simon CLEMENCEAU:
lien bvpn</t>
        </r>
      </text>
    </comment>
    <comment ref="Z190" authorId="2" shapeId="0" xr:uid="{00000000-0006-0000-0900-000077010000}">
      <text>
        <r>
          <rPr>
            <sz val="9"/>
            <color theme="1"/>
            <rFont val="Calibri"/>
            <family val="2"/>
            <scheme val="minor"/>
          </rPr>
          <t>Simon CLEMENCEAU:
-3000€ (Provision Vestas accompagnement inslta/dépose batmode</t>
        </r>
      </text>
    </comment>
    <comment ref="AE190" authorId="7" shapeId="0" xr:uid="{00000000-0006-0000-0900-000078010000}">
      <text>
        <r>
          <rPr>
            <sz val="9"/>
            <color theme="1"/>
            <rFont val="Calibri"/>
            <family val="2"/>
            <scheme val="minor"/>
          </rPr>
          <t>Joanna REVERSAT (3/5/23):
Option du suivi qui pourra être déclenchée en cas d'enjeu avifaune avéré. Estimation du tarif avec inflation</t>
        </r>
      </text>
    </comment>
    <comment ref="AF190" authorId="7" shapeId="0" xr:uid="{00000000-0006-0000-0900-000079010000}">
      <text>
        <r>
          <rPr>
            <sz val="9"/>
            <color theme="1"/>
            <rFont val="Calibri"/>
            <family val="2"/>
            <scheme val="minor"/>
          </rPr>
          <t>Joanna REVERSAT (3/5/23):
Suivi des chiroptères au sol et en nacelle la 2e année d'exploitation conformément à l'AP. Estimation du tarif avec inflation</t>
        </r>
      </text>
    </comment>
    <comment ref="AG190" authorId="7" shapeId="0" xr:uid="{00000000-0006-0000-0900-00007A010000}">
      <text>
        <r>
          <rPr>
            <sz val="9"/>
            <color theme="1"/>
            <rFont val="Calibri"/>
            <family val="2"/>
            <scheme val="minor"/>
          </rPr>
          <t>Joanna REVERSAT (3/5/23):
Suivi la 2e année d'exploitation conformément à l'AP. Estimation du tarif avec inflation</t>
        </r>
      </text>
    </comment>
    <comment ref="AI190" authorId="53" shapeId="0" xr:uid="{00000000-0006-0000-0900-00007B010000}">
      <text>
        <r>
          <rPr>
            <b/>
            <sz val="9"/>
            <color indexed="81"/>
            <rFont val="Tahoma"/>
            <family val="2"/>
          </rPr>
          <t>Pierre MOUSQUE:</t>
        </r>
        <r>
          <rPr>
            <sz val="9"/>
            <color indexed="81"/>
            <rFont val="Tahoma"/>
            <family val="2"/>
          </rPr>
          <t xml:space="preserve">
-10000€ (suivi mesure compensatoire)</t>
        </r>
      </text>
    </comment>
    <comment ref="AF191" authorId="7" shapeId="0" xr:uid="{00000000-0006-0000-0900-00007C010000}">
      <text>
        <r>
          <rPr>
            <sz val="9"/>
            <color theme="1"/>
            <rFont val="Calibri"/>
            <family val="2"/>
            <scheme val="minor"/>
          </rPr>
          <t>Joanna REVERSAT (3/5/23):
Nouveau suivi nécessaire si besoin de vérifier l'efficacité du bridage chiroptères optimisé</t>
        </r>
      </text>
    </comment>
    <comment ref="AG191" authorId="7" shapeId="0" xr:uid="{00000000-0006-0000-0900-00007D010000}">
      <text>
        <r>
          <rPr>
            <sz val="9"/>
            <color theme="1"/>
            <rFont val="Calibri"/>
            <family val="2"/>
            <scheme val="minor"/>
          </rPr>
          <t>Joanna REVERSAT (3/5/23):
Nouveau suivi nécessaire si besoin de vérifier l'efficacité du bridage chiroptères optimisé</t>
        </r>
      </text>
    </comment>
    <comment ref="V192" authorId="17" shapeId="0" xr:uid="{00000000-0006-0000-0900-00007E010000}">
      <text>
        <r>
          <rPr>
            <sz val="9"/>
            <color theme="1"/>
            <rFont val="Calibri"/>
            <family val="2"/>
            <scheme val="minor"/>
          </rPr>
          <t>Nopphadol SRIKONG:
1600 e : entretien paysager 4 fois par an recommandé par BE
80 000 e: potentiel réparer la piste d'accès (trop de nids de poule)</t>
        </r>
      </text>
    </comment>
    <comment ref="P193" authorId="2" shapeId="0" xr:uid="{00000000-0006-0000-0900-00007F010000}">
      <text>
        <r>
          <rPr>
            <sz val="9"/>
            <color theme="1"/>
            <rFont val="Calibri"/>
            <family val="2"/>
            <scheme val="minor"/>
          </rPr>
          <t>Simon CLEMENCEAU:
rdl + bvpn</t>
        </r>
      </text>
    </comment>
    <comment ref="T193" authorId="21" shapeId="0" xr:uid="{00000000-0006-0000-0900-000080010000}">
      <text>
        <r>
          <rPr>
            <b/>
            <sz val="9"/>
            <color indexed="81"/>
            <rFont val="Tahoma"/>
            <family val="2"/>
          </rPr>
          <t>Theo CAVEY:</t>
        </r>
        <r>
          <rPr>
            <sz val="9"/>
            <color indexed="81"/>
            <rFont val="Tahoma"/>
            <family val="2"/>
          </rPr>
          <t xml:space="preserve">
nettoyage tours, désactivation lumière chiro
</t>
        </r>
      </text>
    </comment>
    <comment ref="V193" authorId="2" shapeId="0" xr:uid="{00000000-0006-0000-0900-000081010000}">
      <text>
        <r>
          <rPr>
            <sz val="9"/>
            <color theme="1"/>
            <rFont val="Calibri"/>
            <family val="2"/>
            <scheme val="minor"/>
          </rPr>
          <t>Simon CLEMENCEAU:
débrou + test plaque</t>
        </r>
      </text>
    </comment>
    <comment ref="Y193" authorId="21" shapeId="0" xr:uid="{00000000-0006-0000-0900-000082010000}">
      <text>
        <r>
          <rPr>
            <sz val="9"/>
            <color theme="1"/>
            <rFont val="Calibri"/>
            <family val="2"/>
            <scheme val="minor"/>
          </rPr>
          <t>Theo CAVEY:
Abo RDL + 5085€ d'entretien TCM TCD Cirteus</t>
        </r>
      </text>
    </comment>
    <comment ref="AE193" authorId="192" shapeId="0" xr:uid="{00000000-0006-0000-0900-00008301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 LPO </t>
      </text>
    </comment>
    <comment ref="W199" authorId="193" shapeId="0" xr:uid="{200D9BFD-5A4B-4137-81EA-F362D3EC12EE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contrôle de conformité</t>
        </r>
      </text>
    </comment>
    <comment ref="Z199" authorId="193" shapeId="0" xr:uid="{A19280EE-D0DD-4222-90E9-E8C9744923DF}">
      <text>
        <r>
          <rPr>
            <b/>
            <sz val="9"/>
            <color indexed="81"/>
            <rFont val="Tahoma"/>
            <family val="2"/>
          </rPr>
          <t>marnould:</t>
        </r>
        <r>
          <rPr>
            <sz val="9"/>
            <color indexed="81"/>
            <rFont val="Tahoma"/>
            <family val="2"/>
          </rPr>
          <t xml:space="preserve">
gestion des risques / accès marché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Aubin EXBRAYAT</author>
  </authors>
  <commentList>
    <comment ref="S10" authorId="0" shapeId="0" xr:uid="{00000000-0006-0000-0B00-000001000000}">
      <text>
        <r>
          <rPr>
            <sz val="9"/>
            <color theme="1"/>
            <rFont val="Calibri"/>
            <family val="2"/>
            <scheme val="minor"/>
          </rPr>
          <t>Aubin EXBRAYAT:
11,5 pour OM SDA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<sst xmlns="http://schemas.openxmlformats.org/spreadsheetml/2006/main" count="5911" uniqueCount="1552">
  <si>
    <t>Quadri</t>
  </si>
  <si>
    <t>SITES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</si>
  <si>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</si>
  <si>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</si>
  <si>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</si>
  <si>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</si>
  <si>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</si>
  <si>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</si>
  <si>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</si>
  <si>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</si>
  <si>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</si>
  <si>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</si>
  <si>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 xml:space="preserve">NOVEMBRE </t>
  </si>
  <si>
    <t>DECEMBRE</t>
  </si>
  <si>
    <t>total</t>
  </si>
  <si>
    <t>quadri</t>
  </si>
  <si>
    <t>Centrale</t>
  </si>
  <si>
    <t>Puissance</t>
  </si>
  <si>
    <t>quadri2</t>
  </si>
  <si>
    <t>Production Th 2023</t>
  </si>
  <si>
    <t>=(RECHERCHEV(B3;Tableau7[[Centrale]:[quadri2]];3;faux)</t>
  </si>
  <si>
    <t>4 Bornes - Aumelas</t>
  </si>
  <si>
    <t>AUQB</t>
  </si>
  <si>
    <t>4 Vallees 3</t>
  </si>
  <si>
    <t>QVA3</t>
  </si>
  <si>
    <t>Allainville aux Bois</t>
  </si>
  <si>
    <t>ALVI</t>
  </si>
  <si>
    <t>Allanche</t>
  </si>
  <si>
    <t>ALLA</t>
  </si>
  <si>
    <t>Ambes</t>
  </si>
  <si>
    <t>AMBE</t>
  </si>
  <si>
    <t>Amelecourt</t>
  </si>
  <si>
    <t>AMEL</t>
  </si>
  <si>
    <t>Antézant</t>
  </si>
  <si>
    <t>ANPA</t>
  </si>
  <si>
    <t>Aramon</t>
  </si>
  <si>
    <t>ARAM</t>
  </si>
  <si>
    <t>Artix</t>
  </si>
  <si>
    <t>ARTI</t>
  </si>
  <si>
    <t>Bambesch</t>
  </si>
  <si>
    <t>BAMB</t>
  </si>
  <si>
    <t>BASSE THIERARCHE SUD 1 ET 2</t>
  </si>
  <si>
    <t>BTS1, BTS2</t>
  </si>
  <si>
    <t>Blauvac</t>
  </si>
  <si>
    <t>BLAU</t>
  </si>
  <si>
    <t>Bois de Belfays</t>
  </si>
  <si>
    <t>BDBS</t>
  </si>
  <si>
    <t>BOIS DES BARTHES</t>
  </si>
  <si>
    <t>BARB</t>
  </si>
  <si>
    <t>Bois des Barthes</t>
  </si>
  <si>
    <t>Boulay Sud</t>
  </si>
  <si>
    <t>BOUS</t>
  </si>
  <si>
    <t>Bouloc</t>
  </si>
  <si>
    <t>BOUL</t>
  </si>
  <si>
    <t>BRIARE</t>
  </si>
  <si>
    <t>BRIA</t>
  </si>
  <si>
    <t>Briare</t>
  </si>
  <si>
    <t>Brissy</t>
  </si>
  <si>
    <t>BRIY</t>
  </si>
  <si>
    <t>Cambouisset - Corbieres</t>
  </si>
  <si>
    <t>CAMB</t>
  </si>
  <si>
    <t>Canopee</t>
  </si>
  <si>
    <t>CANO</t>
  </si>
  <si>
    <t>Canton de Bonneval</t>
  </si>
  <si>
    <t>CDBO</t>
  </si>
  <si>
    <t>Carnoye</t>
  </si>
  <si>
    <t>CARN</t>
  </si>
  <si>
    <t>Castanet Le Haut</t>
  </si>
  <si>
    <t>CASH</t>
  </si>
  <si>
    <t>Centrale Photovoltaïque de Beaurepaire</t>
  </si>
  <si>
    <t>BEAU</t>
  </si>
  <si>
    <t>CENTRALE PHOTOVOLTAIQUE DE LOYETTES</t>
  </si>
  <si>
    <t>LOYE</t>
  </si>
  <si>
    <t>Centrale photovoltaïque de Saint-Jean-le-Vieux</t>
  </si>
  <si>
    <t>SJLV</t>
  </si>
  <si>
    <t>CENTRALE PHOTOVOLTAIQUE DE SAINT-ROMAIN-EN-GAL</t>
  </si>
  <si>
    <t>SREG</t>
  </si>
  <si>
    <t>Centrale photovoltaïque de Samognat</t>
  </si>
  <si>
    <t>SAMO</t>
  </si>
  <si>
    <t>CENTRALE PHOTOVOLTAIQUE DU POUZIN</t>
  </si>
  <si>
    <t>PZIN</t>
  </si>
  <si>
    <t>Cesaree</t>
  </si>
  <si>
    <t>CESA</t>
  </si>
  <si>
    <t>CET DIJON</t>
  </si>
  <si>
    <t>DIJO</t>
  </si>
  <si>
    <t>CET Dijon</t>
  </si>
  <si>
    <t>Champagne Picarde</t>
  </si>
  <si>
    <t>CHPI</t>
  </si>
  <si>
    <t>Champs Gourleau</t>
  </si>
  <si>
    <t>GOUR</t>
  </si>
  <si>
    <t>Chemin Ablis</t>
  </si>
  <si>
    <t>CHAB</t>
  </si>
  <si>
    <t>CHEMIN PERRE</t>
  </si>
  <si>
    <t>CPE1, CPE2</t>
  </si>
  <si>
    <t>Clamanges</t>
  </si>
  <si>
    <t>CLAM</t>
  </si>
  <si>
    <t>Clamanges 2</t>
  </si>
  <si>
    <t>CLA2</t>
  </si>
  <si>
    <t>Clanlieu</t>
  </si>
  <si>
    <t>CLAN</t>
  </si>
  <si>
    <t>Clitourps</t>
  </si>
  <si>
    <t>CLIT</t>
  </si>
  <si>
    <t>Conilhac Corbieres</t>
  </si>
  <si>
    <t>CONI</t>
  </si>
  <si>
    <t>Conque - Aumelas</t>
  </si>
  <si>
    <t>AUCO</t>
  </si>
  <si>
    <t>CORSEOL</t>
  </si>
  <si>
    <t>CORS</t>
  </si>
  <si>
    <t>Courcelles</t>
  </si>
  <si>
    <t>COUR</t>
  </si>
  <si>
    <t>Crucey 1</t>
  </si>
  <si>
    <t>CRUC</t>
  </si>
  <si>
    <t>Crucey 1-1</t>
  </si>
  <si>
    <t>CY11</t>
  </si>
  <si>
    <t>Crucey 1-2</t>
  </si>
  <si>
    <t>CY12</t>
  </si>
  <si>
    <t>Crucey 1-3</t>
  </si>
  <si>
    <t>CY13</t>
  </si>
  <si>
    <t>DEMANGE</t>
  </si>
  <si>
    <t>DEM1, DEM2</t>
  </si>
  <si>
    <t>Ensemble Eolien Catalan</t>
  </si>
  <si>
    <t>PEZI</t>
  </si>
  <si>
    <t>Erize</t>
  </si>
  <si>
    <t>ERIZ</t>
  </si>
  <si>
    <t>Espiers</t>
  </si>
  <si>
    <t>ESPS</t>
  </si>
  <si>
    <t>Eyguieres</t>
  </si>
  <si>
    <t>FECA</t>
  </si>
  <si>
    <t>Fecamp</t>
  </si>
  <si>
    <t>FEND</t>
  </si>
  <si>
    <t>Fendeille</t>
  </si>
  <si>
    <t>FENDEILLE</t>
  </si>
  <si>
    <t>FIEN</t>
  </si>
  <si>
    <t>Fiennes</t>
  </si>
  <si>
    <t>FITO</t>
  </si>
  <si>
    <t>Fitou</t>
  </si>
  <si>
    <t>CEFF</t>
  </si>
  <si>
    <t>FONDS DE FRESNES</t>
  </si>
  <si>
    <t>FOGU</t>
  </si>
  <si>
    <t>Fontaine-la-Guyon</t>
  </si>
  <si>
    <t>FOST</t>
  </si>
  <si>
    <t>Fossette</t>
  </si>
  <si>
    <t>FRA1</t>
  </si>
  <si>
    <t>Fraisse - Roc de l Ayre</t>
  </si>
  <si>
    <t>FREY</t>
  </si>
  <si>
    <t>Freyssenet</t>
  </si>
  <si>
    <t>GAB1</t>
  </si>
  <si>
    <t>Gabardan 1</t>
  </si>
  <si>
    <t>GAB4</t>
  </si>
  <si>
    <t>Gabardan 4</t>
  </si>
  <si>
    <t>GAB7</t>
  </si>
  <si>
    <t>Gabardan 7</t>
  </si>
  <si>
    <t>GABT</t>
  </si>
  <si>
    <t>Gabardan tracker</t>
  </si>
  <si>
    <t>GAR1, GAR2</t>
  </si>
  <si>
    <t>GARGOUILLES</t>
  </si>
  <si>
    <t>GAR1</t>
  </si>
  <si>
    <t>GARGOUILLES 1</t>
  </si>
  <si>
    <t>GAR2</t>
  </si>
  <si>
    <t>GARGOUILLES 2</t>
  </si>
  <si>
    <t>GRGU</t>
  </si>
  <si>
    <t>Grand Guéret</t>
  </si>
  <si>
    <t>GDGT</t>
  </si>
  <si>
    <t>GRPL</t>
  </si>
  <si>
    <t>Grand Place</t>
  </si>
  <si>
    <t>GUIL</t>
  </si>
  <si>
    <t>Guilleville</t>
  </si>
  <si>
    <t>HENI</t>
  </si>
  <si>
    <t>Heninel</t>
  </si>
  <si>
    <t>JADE</t>
  </si>
  <si>
    <t>Jade - Bouin</t>
  </si>
  <si>
    <t>JON2</t>
  </si>
  <si>
    <t>JONCELS-FUTUREN</t>
  </si>
  <si>
    <t>LBDF</t>
  </si>
  <si>
    <t>La Butte de Fraus</t>
  </si>
  <si>
    <t>HAB1, HAB2</t>
  </si>
  <si>
    <t>LA HAUTE BORNE</t>
  </si>
  <si>
    <t>HERO</t>
  </si>
  <si>
    <t>La Heroudiere</t>
  </si>
  <si>
    <t>NOUR</t>
  </si>
  <si>
    <t>La Nourais</t>
  </si>
  <si>
    <t>ROSE</t>
  </si>
  <si>
    <t>La Roseraye</t>
  </si>
  <si>
    <t>LDTE</t>
  </si>
  <si>
    <t>Landes du Tertre</t>
  </si>
  <si>
    <t>LANE</t>
  </si>
  <si>
    <t>Laneuville</t>
  </si>
  <si>
    <t>RODU</t>
  </si>
  <si>
    <t>Le Roduel</t>
  </si>
  <si>
    <t>LERO</t>
  </si>
  <si>
    <t>Lerome</t>
  </si>
  <si>
    <t>COT1, COT2, COT3, COT4</t>
  </si>
  <si>
    <t>LES COTEAUX</t>
  </si>
  <si>
    <t>LEMO</t>
  </si>
  <si>
    <t>LES MONTS</t>
  </si>
  <si>
    <t>PLOS</t>
  </si>
  <si>
    <t>LES PLOS</t>
  </si>
  <si>
    <t>SABL</t>
  </si>
  <si>
    <t>LES SABLONS</t>
  </si>
  <si>
    <t>LOMO</t>
  </si>
  <si>
    <t>Lomont</t>
  </si>
  <si>
    <t>LEPI</t>
  </si>
  <si>
    <t>Longue Epine</t>
  </si>
  <si>
    <t>LORO</t>
  </si>
  <si>
    <t>Longues Roies</t>
  </si>
  <si>
    <t>LOPV</t>
  </si>
  <si>
    <t>Lou Paou 12MW</t>
  </si>
  <si>
    <t>LOU2</t>
  </si>
  <si>
    <t>Lou Paou 2MW</t>
  </si>
  <si>
    <t>LUCO</t>
  </si>
  <si>
    <t>Luc sur Orbieu</t>
  </si>
  <si>
    <t>MACH</t>
  </si>
  <si>
    <t>Mache</t>
  </si>
  <si>
    <t>MAG1, MAG3</t>
  </si>
  <si>
    <t>MAGREMONT</t>
  </si>
  <si>
    <t>MANO</t>
  </si>
  <si>
    <t>Manosque-la fito</t>
  </si>
  <si>
    <t>JONC</t>
  </si>
  <si>
    <t>MAS DE NAÏ</t>
  </si>
  <si>
    <t>MASS2+4</t>
  </si>
  <si>
    <t>Massangis 2</t>
  </si>
  <si>
    <t>MA22</t>
  </si>
  <si>
    <t>Massangis 2-2</t>
  </si>
  <si>
    <t>MA24</t>
  </si>
  <si>
    <t>Massangis 2-4</t>
  </si>
  <si>
    <t>MAUR</t>
  </si>
  <si>
    <t>Mauron</t>
  </si>
  <si>
    <t>MAZU</t>
  </si>
  <si>
    <t>MAZURIER</t>
  </si>
  <si>
    <t>MTAR</t>
  </si>
  <si>
    <t>Montagne Ardéchoise</t>
  </si>
  <si>
    <t>MDR1</t>
  </si>
  <si>
    <t>Montendre</t>
  </si>
  <si>
    <t>MTL1</t>
  </si>
  <si>
    <t>Montlouby</t>
  </si>
  <si>
    <t>MOTT</t>
  </si>
  <si>
    <t>MOTTENBERG</t>
  </si>
  <si>
    <t>MODF</t>
  </si>
  <si>
    <t>MOULIN DE FROIDURE</t>
  </si>
  <si>
    <t>NAC1, NAC2</t>
  </si>
  <si>
    <t>NACHAMPS-COURANT</t>
  </si>
  <si>
    <t>NARB</t>
  </si>
  <si>
    <t>Narbonne</t>
  </si>
  <si>
    <t>TRFR</t>
  </si>
  <si>
    <t>NBTH 3 Freres</t>
  </si>
  <si>
    <t>LAPI</t>
  </si>
  <si>
    <t>NBTH La Pierre</t>
  </si>
  <si>
    <t>NIPL</t>
  </si>
  <si>
    <t>NBTH Nipleau</t>
  </si>
  <si>
    <t>PEMO</t>
  </si>
  <si>
    <t>NBTH Petite Moure</t>
  </si>
  <si>
    <t>NIED</t>
  </si>
  <si>
    <t>Niedervisse</t>
  </si>
  <si>
    <t>NURL</t>
  </si>
  <si>
    <t>Nurlu</t>
  </si>
  <si>
    <t>OUPI</t>
  </si>
  <si>
    <t>Oupia</t>
  </si>
  <si>
    <t>PAMP</t>
  </si>
  <si>
    <t>Pamproux</t>
  </si>
  <si>
    <t>JAVI</t>
  </si>
  <si>
    <t>Parc Eolien de LA JAVIGNE</t>
  </si>
  <si>
    <t>ROUS</t>
  </si>
  <si>
    <t>PARC EOLIEN DE ROUSSAC ET SAINT JUNIEN LES COMBES</t>
  </si>
  <si>
    <t>PAAN</t>
  </si>
  <si>
    <t>Pays d'Anglure</t>
  </si>
  <si>
    <t>EYGU</t>
  </si>
  <si>
    <t>Pierrefonds</t>
  </si>
  <si>
    <t>PIER</t>
  </si>
  <si>
    <t>PLAINE DE L ESCREBIEUX</t>
  </si>
  <si>
    <t>PLES</t>
  </si>
  <si>
    <t>Plaine de l Orbieu</t>
  </si>
  <si>
    <t>LUC2</t>
  </si>
  <si>
    <t>Plat des Graniers - Corbieres</t>
  </si>
  <si>
    <t>PLGR</t>
  </si>
  <si>
    <t>PLATEAU D ANDIGNY</t>
  </si>
  <si>
    <t>PLAN</t>
  </si>
  <si>
    <t>PLATEAU-PLESTAN</t>
  </si>
  <si>
    <t>PLAT</t>
  </si>
  <si>
    <t>Pleugriffet</t>
  </si>
  <si>
    <t>PLEU</t>
  </si>
  <si>
    <t>Porte de Champagne</t>
  </si>
  <si>
    <t>PDCE</t>
  </si>
  <si>
    <t>Porte de France</t>
  </si>
  <si>
    <t>PDFE</t>
  </si>
  <si>
    <t>Potiche 2</t>
  </si>
  <si>
    <t>POTI</t>
  </si>
  <si>
    <t>POUZOLS</t>
  </si>
  <si>
    <t>POUZ</t>
  </si>
  <si>
    <t>Pouzols</t>
  </si>
  <si>
    <t>BVER</t>
  </si>
  <si>
    <t>Projet éolien du Beaujolais Vert</t>
  </si>
  <si>
    <t>Providence</t>
  </si>
  <si>
    <t>PROV</t>
  </si>
  <si>
    <t>Rampont</t>
  </si>
  <si>
    <t>RAM1</t>
  </si>
  <si>
    <t>Rampont II</t>
  </si>
  <si>
    <t>RAM2</t>
  </si>
  <si>
    <t>Petit Canal Repowering</t>
  </si>
  <si>
    <t>PCR1</t>
  </si>
  <si>
    <t>Repowering Petit Canal</t>
  </si>
  <si>
    <t>Ribemont</t>
  </si>
  <si>
    <t>RIBE</t>
  </si>
  <si>
    <t>Riols</t>
  </si>
  <si>
    <t>RIOL</t>
  </si>
  <si>
    <t>Saint Aubin</t>
  </si>
  <si>
    <t>STAU</t>
  </si>
  <si>
    <t>Saint francois 1</t>
  </si>
  <si>
    <t>SFR1</t>
  </si>
  <si>
    <t>Saint Merec</t>
  </si>
  <si>
    <t>STME</t>
  </si>
  <si>
    <t>Saint-Amand-Montrond</t>
  </si>
  <si>
    <t>SAPA</t>
  </si>
  <si>
    <t>SAINT-PARGOIRE</t>
  </si>
  <si>
    <t>Sainte Tulle</t>
  </si>
  <si>
    <t>SAMM</t>
  </si>
  <si>
    <t>STUL</t>
  </si>
  <si>
    <t>SPAR</t>
  </si>
  <si>
    <t>SALLEN</t>
  </si>
  <si>
    <t>SALL</t>
  </si>
  <si>
    <t>Salzuit</t>
  </si>
  <si>
    <t>SALZ</t>
  </si>
  <si>
    <t>SAS Centrale photovoltaïque de Lagnieu</t>
  </si>
  <si>
    <t>LAGN</t>
  </si>
  <si>
    <t>SAS Centrale photovoltaïque de Sainte-Julie</t>
  </si>
  <si>
    <t>STJU</t>
  </si>
  <si>
    <t>SAS du parc éolien des Taillades Sud</t>
  </si>
  <si>
    <t>TAIL</t>
  </si>
  <si>
    <t>Saumur</t>
  </si>
  <si>
    <t>SAUM</t>
  </si>
  <si>
    <t>Sauveterre</t>
  </si>
  <si>
    <t>SAUV</t>
  </si>
  <si>
    <t>SC - Cabreirens</t>
  </si>
  <si>
    <t>SACB</t>
  </si>
  <si>
    <t>SC - Calsigas</t>
  </si>
  <si>
    <t>SACS</t>
  </si>
  <si>
    <t>SC - La Plane</t>
  </si>
  <si>
    <t>SACU</t>
  </si>
  <si>
    <t>SC - Puech Negre</t>
  </si>
  <si>
    <t>SAPN</t>
  </si>
  <si>
    <t>SEGLIEN</t>
  </si>
  <si>
    <t>SAMI</t>
  </si>
  <si>
    <t>Sery</t>
  </si>
  <si>
    <t>SERY</t>
  </si>
  <si>
    <t>SEUIL DE BAPAUME</t>
  </si>
  <si>
    <t>SBAP</t>
  </si>
  <si>
    <t>Sioule</t>
  </si>
  <si>
    <t>SIOU</t>
  </si>
  <si>
    <t>SOFI</t>
  </si>
  <si>
    <t>Sofiva</t>
  </si>
  <si>
    <t>SOUTETS</t>
  </si>
  <si>
    <t>FAYD</t>
  </si>
  <si>
    <t>St Martin des Besaces</t>
  </si>
  <si>
    <t>STMB</t>
  </si>
  <si>
    <t>ST PAPOUL</t>
  </si>
  <si>
    <t>STPA</t>
  </si>
  <si>
    <t>St Simon</t>
  </si>
  <si>
    <t>STEN</t>
  </si>
  <si>
    <t>Stenay</t>
  </si>
  <si>
    <t>SUBL</t>
  </si>
  <si>
    <t>Subligny</t>
  </si>
  <si>
    <t>SARA</t>
  </si>
  <si>
    <t>Sud-Arrageois</t>
  </si>
  <si>
    <t>TLGR</t>
  </si>
  <si>
    <t>Télégraphe</t>
  </si>
  <si>
    <t>TOUC</t>
  </si>
  <si>
    <t>Toucan</t>
  </si>
  <si>
    <t>TOC2</t>
  </si>
  <si>
    <t>TOUCAN 2</t>
  </si>
  <si>
    <t>TL1 A 5</t>
  </si>
  <si>
    <t>Toul 1</t>
  </si>
  <si>
    <t>TL11</t>
  </si>
  <si>
    <t>Toul 1-1</t>
  </si>
  <si>
    <t>TL12</t>
  </si>
  <si>
    <t>Toul 1-2</t>
  </si>
  <si>
    <t>TL13</t>
  </si>
  <si>
    <t>Toul 1-3</t>
  </si>
  <si>
    <t>TL14</t>
  </si>
  <si>
    <t>Toul 1-4</t>
  </si>
  <si>
    <t>TL15</t>
  </si>
  <si>
    <t>Toul 1-5</t>
  </si>
  <si>
    <t>TRAY</t>
  </si>
  <si>
    <t>Trayes</t>
  </si>
  <si>
    <t>TROI</t>
  </si>
  <si>
    <t>Trois Rois</t>
  </si>
  <si>
    <t>SOUR</t>
  </si>
  <si>
    <t>Trois Sources</t>
  </si>
  <si>
    <t>AUM3</t>
  </si>
  <si>
    <t>Vallee de l Herault</t>
  </si>
  <si>
    <t>VANA</t>
  </si>
  <si>
    <t>Vanault</t>
  </si>
  <si>
    <t>VARA</t>
  </si>
  <si>
    <t>Varaize</t>
  </si>
  <si>
    <t>VEUL</t>
  </si>
  <si>
    <t>Veulettes</t>
  </si>
  <si>
    <t>VISE</t>
  </si>
  <si>
    <t>Villers le Sec</t>
  </si>
  <si>
    <t>VLSQ</t>
  </si>
  <si>
    <t>Villeseque</t>
  </si>
  <si>
    <t>LUX1</t>
  </si>
  <si>
    <t>Lux</t>
  </si>
  <si>
    <t>LUX</t>
  </si>
  <si>
    <t>NIEV</t>
  </si>
  <si>
    <t>Nievroz</t>
  </si>
  <si>
    <t>NIEVROZ</t>
  </si>
  <si>
    <t>pour info :</t>
  </si>
  <si>
    <t>EEC a été modifié sur 2020 et 2021 comme suit sans explication et sans commentaire, je remets donc la ventilation stipulée ci-dessus jusqu'à nouvel ordre</t>
  </si>
  <si>
    <t>Pézilla</t>
  </si>
  <si>
    <t>REEL 2022</t>
  </si>
  <si>
    <t>CA_BN-1 (2023)</t>
  </si>
  <si>
    <t>CA_LE3 (2023)</t>
  </si>
  <si>
    <t>CA_BN+1 (2024)</t>
  </si>
  <si>
    <t>PARCS</t>
  </si>
  <si>
    <t>STE</t>
  </si>
  <si>
    <t>EOTP</t>
  </si>
  <si>
    <t>NRJ</t>
  </si>
  <si>
    <t>Zone</t>
  </si>
  <si>
    <t>QUADRI</t>
  </si>
  <si>
    <t>PORTFOLIO</t>
  </si>
  <si>
    <t>CAGA</t>
  </si>
  <si>
    <t>PROD 2022
en MWh</t>
  </si>
  <si>
    <t>CA 2022
en K€</t>
  </si>
  <si>
    <t>PROD en Mwh</t>
  </si>
  <si>
    <t>PRODUITS excep. (PENALITES, indem. Ass.) - BN-1</t>
  </si>
  <si>
    <t>CA</t>
  </si>
  <si>
    <t>PROD en Mwh2</t>
  </si>
  <si>
    <t>PRODUITS excep. (PENALITES, indem. Ass.) - LE3</t>
  </si>
  <si>
    <t>CA4</t>
  </si>
  <si>
    <t>PROD en Mwh5</t>
  </si>
  <si>
    <t>PRODUITS excep. (PENALITES, indem. Ass.) - BN+1</t>
  </si>
  <si>
    <t>CA7</t>
  </si>
  <si>
    <t>LE3 2023 vs REEL 2022 en €</t>
  </si>
  <si>
    <t>LE3 2023 vs REEL 2022 en %</t>
  </si>
  <si>
    <t>BUDGET 2024 vs LE3 2023 en €</t>
  </si>
  <si>
    <t>BUDGET 2024 vs LE3 2023 en %</t>
  </si>
  <si>
    <t>COMMENTAIRES</t>
  </si>
  <si>
    <t>4 VALLEES 3</t>
  </si>
  <si>
    <t>TELEGRAPHE</t>
  </si>
  <si>
    <t>BOULAY SUD</t>
  </si>
  <si>
    <t>OUPIA</t>
  </si>
  <si>
    <t>fin du parc en mars 23</t>
  </si>
  <si>
    <t>AMBES</t>
  </si>
  <si>
    <t>VARAIZE</t>
  </si>
  <si>
    <t>première année (ressource vent et limitation enedis début 2023)</t>
  </si>
  <si>
    <t>COTE DE JADE</t>
  </si>
  <si>
    <t>ARAMON</t>
  </si>
  <si>
    <t>ARTIX</t>
  </si>
  <si>
    <t>tarif élec vendu sur marché à terme (cal 2023 et 2024) avec une baisse des tarifs entre 2023 et 2024</t>
  </si>
  <si>
    <t>TROIS SOURCES</t>
  </si>
  <si>
    <t>ABLIS</t>
  </si>
  <si>
    <t>ressource vent + tempete été 2022 (travaux SEI)</t>
  </si>
  <si>
    <t>LONGUES ROIES</t>
  </si>
  <si>
    <t>TRAYES</t>
  </si>
  <si>
    <t>LOU PAOU</t>
  </si>
  <si>
    <t>RAS /Fusion des SAS</t>
  </si>
  <si>
    <t>BEAUREPAIRE</t>
  </si>
  <si>
    <t>MSI du parc en 2023</t>
  </si>
  <si>
    <t>PLATEAU</t>
  </si>
  <si>
    <t>BLAUVAC</t>
  </si>
  <si>
    <t>HEROUDIERE</t>
  </si>
  <si>
    <t>BOULOC</t>
  </si>
  <si>
    <t>SC PUECH NEGRE</t>
  </si>
  <si>
    <t>MCR 1 sur 3 + ressource vent</t>
  </si>
  <si>
    <t>SC LA PLANE</t>
  </si>
  <si>
    <t>BUG CA SACU --&gt; Monika</t>
  </si>
  <si>
    <t>JAVIGNE 1</t>
  </si>
  <si>
    <t>sinistre tete de cable</t>
  </si>
  <si>
    <t>CANOPEE</t>
  </si>
  <si>
    <t>GUILLEVILLE</t>
  </si>
  <si>
    <t>CLITOURPS</t>
  </si>
  <si>
    <t>LUC SUR ORBIEU</t>
  </si>
  <si>
    <t>Bridage à 50% pendant 4 mois en 2022 + 1 WTG bridée pendant 6mois + ressource vent</t>
  </si>
  <si>
    <t>CESAREE</t>
  </si>
  <si>
    <t>CHAGNY</t>
  </si>
  <si>
    <t>BELFAYS</t>
  </si>
  <si>
    <t>VANAULT</t>
  </si>
  <si>
    <t>MAURON</t>
  </si>
  <si>
    <t>CIVAUX</t>
  </si>
  <si>
    <t>HENINEL</t>
  </si>
  <si>
    <t>NIEDERVISSE</t>
  </si>
  <si>
    <t>AMELECOURT</t>
  </si>
  <si>
    <t>NOURAIS</t>
  </si>
  <si>
    <t>COL DE BESSEY</t>
  </si>
  <si>
    <t>ROUSSAC</t>
  </si>
  <si>
    <t>Prod BN+1 trop faible car P90 sous estimé</t>
  </si>
  <si>
    <t>FITOU</t>
  </si>
  <si>
    <t>CARNOYE</t>
  </si>
  <si>
    <t>CREYS</t>
  </si>
  <si>
    <t>CRUCEY</t>
  </si>
  <si>
    <t>VILLERS LE SEC</t>
  </si>
  <si>
    <t>BEAUJOLAIS VERT</t>
  </si>
  <si>
    <t>RAS</t>
  </si>
  <si>
    <t>EPINAC</t>
  </si>
  <si>
    <t>PAMPROUX</t>
  </si>
  <si>
    <t>EYGUIERES</t>
  </si>
  <si>
    <t>BAMBESCH</t>
  </si>
  <si>
    <t>LES TAILLADES</t>
  </si>
  <si>
    <t>FONDS DE FRESNE</t>
  </si>
  <si>
    <t>LONGUE EPINE</t>
  </si>
  <si>
    <t>FOSSETTE</t>
  </si>
  <si>
    <t>LANDES DU TERTRE</t>
  </si>
  <si>
    <t>GABARDAN 1</t>
  </si>
  <si>
    <t>GABARDAN 4</t>
  </si>
  <si>
    <t>GABARDAN 7</t>
  </si>
  <si>
    <t>GABARDAN TRACKERS</t>
  </si>
  <si>
    <t>ALLAINVILLE</t>
  </si>
  <si>
    <t>GRAND GUERET</t>
  </si>
  <si>
    <t>ERIZE</t>
  </si>
  <si>
    <t>FONTAINE</t>
  </si>
  <si>
    <t>ANTEZANT</t>
  </si>
  <si>
    <t>Première année d'epxloitation</t>
  </si>
  <si>
    <t>BRISSY</t>
  </si>
  <si>
    <t>RIBEMONT</t>
  </si>
  <si>
    <t>PLAINE D'ESCREBIEUX</t>
  </si>
  <si>
    <t>MONTLOUBY</t>
  </si>
  <si>
    <t>ressource vent</t>
  </si>
  <si>
    <t>FREYSSENET</t>
  </si>
  <si>
    <t>RAS / New tarif en 2024</t>
  </si>
  <si>
    <t>SAUVETERRE</t>
  </si>
  <si>
    <t>Incendie E1 (12/21 - 11/22) // Dédommagement (Malus et assurance) // New tarif en 2024</t>
  </si>
  <si>
    <t>LA ROSERAYE</t>
  </si>
  <si>
    <t>LAGNIEU</t>
  </si>
  <si>
    <t>PLATEAU ANDIGNY</t>
  </si>
  <si>
    <t>LAZER</t>
  </si>
  <si>
    <t>LE POUZIN</t>
  </si>
  <si>
    <t>CHAMPAGNE PICARDE</t>
  </si>
  <si>
    <t>BASSE THIERACHE SUD 1</t>
  </si>
  <si>
    <t>ESPIERS</t>
  </si>
  <si>
    <t>PORTES DE CHAMPAGNE</t>
  </si>
  <si>
    <t>ST MARTIN DES BESACES</t>
  </si>
  <si>
    <t>NURLU</t>
  </si>
  <si>
    <t>ALLANCHE</t>
  </si>
  <si>
    <t>MONTAGNE ARDECHOISE</t>
  </si>
  <si>
    <t>ressource en vent + givre</t>
  </si>
  <si>
    <t>LOYETTES</t>
  </si>
  <si>
    <t>PAYS D'ANGLURE</t>
  </si>
  <si>
    <t>BAPAUME</t>
  </si>
  <si>
    <t>MANOSQUE</t>
  </si>
  <si>
    <t>MASSANGIS</t>
  </si>
  <si>
    <t>CHAMP GOURLEAU</t>
  </si>
  <si>
    <t>MAZET ST VOY</t>
  </si>
  <si>
    <t>Remboursement sinistre</t>
  </si>
  <si>
    <t>ENSEMBLE EOLIEN CATALAN</t>
  </si>
  <si>
    <t>MCR + ressource en vent</t>
  </si>
  <si>
    <t>MONTENDRE</t>
  </si>
  <si>
    <t>CONILHAC</t>
  </si>
  <si>
    <t>claim enedis 50% pendant 3 mois</t>
  </si>
  <si>
    <t>LANEUVILLE</t>
  </si>
  <si>
    <t>HAUTE BORNE</t>
  </si>
  <si>
    <t>NARBONNE</t>
  </si>
  <si>
    <t>JONCELS [FUTUREN]</t>
  </si>
  <si>
    <t>vol scada + ressource vent</t>
  </si>
  <si>
    <t>NITRY</t>
  </si>
  <si>
    <t>CLANLIEU</t>
  </si>
  <si>
    <t>Problème de génératrice sur 3 turbines</t>
  </si>
  <si>
    <t>Sinistre eau dans les fondations en 2022</t>
  </si>
  <si>
    <t>OTTMARSHEIM</t>
  </si>
  <si>
    <t>PLAINE DE L'ORBIEU</t>
  </si>
  <si>
    <t>STENAY</t>
  </si>
  <si>
    <t>BUTTE DES FRAUS</t>
  </si>
  <si>
    <t>PETIT CANAL REPOWERING</t>
  </si>
  <si>
    <t>PLATS DES GRANIERS</t>
  </si>
  <si>
    <t>Ressource en vent</t>
  </si>
  <si>
    <t>PIERREFONDS</t>
  </si>
  <si>
    <t>CAMBOUISSET</t>
  </si>
  <si>
    <t>Ressource en vent + changement transfo</t>
  </si>
  <si>
    <t>GRANDE PLACE</t>
  </si>
  <si>
    <t>PLEUGRIFFET</t>
  </si>
  <si>
    <t>CLAMANGES 2</t>
  </si>
  <si>
    <t>JONCELS [MAS DE NAÏ]</t>
  </si>
  <si>
    <t>Dispo nok + new système SDA et installation + vol scada</t>
  </si>
  <si>
    <t>CLAMANGES</t>
  </si>
  <si>
    <t>AUMELAS 3</t>
  </si>
  <si>
    <t>ressource vent + bridage dynamique + pb ARU 4 mois</t>
  </si>
  <si>
    <t>SABLONS</t>
  </si>
  <si>
    <t>POTICHE 2</t>
  </si>
  <si>
    <t>4 BORNES</t>
  </si>
  <si>
    <t>ressource vent + bridage dynamique</t>
  </si>
  <si>
    <t>PROVIDENCE</t>
  </si>
  <si>
    <t>SAINT AUBIN</t>
  </si>
  <si>
    <t>LOMONT</t>
  </si>
  <si>
    <t>CONQUES</t>
  </si>
  <si>
    <t>ROC DE L AYRE</t>
  </si>
  <si>
    <t>BUG formule CA BN+1 / effet vent</t>
  </si>
  <si>
    <t>BARTHES</t>
  </si>
  <si>
    <t>BUG formule CA BN+1</t>
  </si>
  <si>
    <t>VEULETTES</t>
  </si>
  <si>
    <t>FIENNES</t>
  </si>
  <si>
    <t>Passage en contrat d'agrégation en 2022</t>
  </si>
  <si>
    <t>PORTE DE FRANCE</t>
  </si>
  <si>
    <t>SAINTE TULLE</t>
  </si>
  <si>
    <t>CANTON DE BONNEVAL</t>
  </si>
  <si>
    <t>SALZUIT</t>
  </si>
  <si>
    <t>SAMOGNAT</t>
  </si>
  <si>
    <t>SAUMUR</t>
  </si>
  <si>
    <t>TROIS FRERES</t>
  </si>
  <si>
    <t>PETITE MOURE</t>
  </si>
  <si>
    <t>VILLESEQUE</t>
  </si>
  <si>
    <t>BUG tarif BN-1 + ressource en vent (env 30%)</t>
  </si>
  <si>
    <t>BASSE THIERACHE SUD 2</t>
  </si>
  <si>
    <t>MACHE</t>
  </si>
  <si>
    <t>SIOULE</t>
  </si>
  <si>
    <t>LA PIERRE</t>
  </si>
  <si>
    <t>ressource vent + bridage dynamique + pb cable 6mois de délai</t>
  </si>
  <si>
    <t>ST AMAND MONTROND</t>
  </si>
  <si>
    <t>ST FRANCOIS 1</t>
  </si>
  <si>
    <t>ST JEAN LE VIEUX</t>
  </si>
  <si>
    <t>LEROME</t>
  </si>
  <si>
    <t>ST PARGOIRE</t>
  </si>
  <si>
    <t>ST ROMAIN EN GAL</t>
  </si>
  <si>
    <t>RODUEL</t>
  </si>
  <si>
    <t>STE JULIE</t>
  </si>
  <si>
    <t>STE TULLE LE MOULIN</t>
  </si>
  <si>
    <t>SAINT MEREC</t>
  </si>
  <si>
    <t>SUBLIGNY</t>
  </si>
  <si>
    <t>TOUCAN 1</t>
  </si>
  <si>
    <t>TOUL</t>
  </si>
  <si>
    <t>FECAMP</t>
  </si>
  <si>
    <t>RIOLS</t>
  </si>
  <si>
    <t xml:space="preserve">Erreur tarif BN-1 </t>
  </si>
  <si>
    <t>TROIS ROIS</t>
  </si>
  <si>
    <t>COURCELLES</t>
  </si>
  <si>
    <t>RAMPONT</t>
  </si>
  <si>
    <t>CASTANET LE HAUT</t>
  </si>
  <si>
    <t>BUG formule CA BN+1 / BUG réel 2022</t>
  </si>
  <si>
    <t>RAMPONT 2</t>
  </si>
  <si>
    <t>ST SIMON</t>
  </si>
  <si>
    <t>NIPLEAU</t>
  </si>
  <si>
    <r>
      <t xml:space="preserve">CA O&amp;M s/parc
</t>
    </r>
    <r>
      <rPr>
        <b/>
        <sz val="18"/>
        <rFont val="Calibri"/>
        <family val="2"/>
      </rPr>
      <t>BN 2023</t>
    </r>
  </si>
  <si>
    <t>Code Sté</t>
  </si>
  <si>
    <t>CODE PROJET</t>
  </si>
  <si>
    <t>MW</t>
  </si>
  <si>
    <t>CODE PI</t>
  </si>
  <si>
    <t>REGION 
N/S</t>
  </si>
  <si>
    <t>TARIF</t>
  </si>
  <si>
    <t>PRODUITS excep. (PENALITES, indem. Ass.)</t>
  </si>
  <si>
    <t>Commentaires</t>
  </si>
  <si>
    <t>DROM</t>
  </si>
  <si>
    <t>MAILHAC SUR BENAIZE</t>
  </si>
  <si>
    <t>RIVIERE DES GALETS</t>
  </si>
  <si>
    <t>ROCHEBRUNE</t>
  </si>
  <si>
    <t>SAINTE ROSE</t>
  </si>
  <si>
    <t>SALON DE PROVENCE</t>
  </si>
  <si>
    <t>ST SORNIN LEULAC</t>
  </si>
  <si>
    <t>VARENNES CHANGY</t>
  </si>
  <si>
    <t>Total</t>
  </si>
  <si>
    <t>commentaires</t>
  </si>
  <si>
    <t>ni bonus ni malus (dispo 96%)</t>
  </si>
  <si>
    <t>quid de la baisse du CA suite à l'instal de SDA?</t>
  </si>
  <si>
    <t>Perte nouveau bridage acoustique estimée 1%/an, à suivre 2nd semestre 2023 (LE3 calculé * 0,995)</t>
  </si>
  <si>
    <t xml:space="preserve">Turbine WT05 à l'arrêt pendant plus de 3 mois. Turbines WT02 et WT03 arrêt pendant 1 mois pour pb de tip, WT07 arrêt pendant 2 mois pour fuite huile transfo. Arrêts à prévoir: Inspection générale pales WT00. Accord DREAL pour débridage acoustique sur février 2023. </t>
  </si>
  <si>
    <t>Malus calculé exercice 22-23 (du 24/04/22 au 23/04/23)</t>
  </si>
  <si>
    <t>1200 MWh de perte de prod pour le MCR de E06 et la réparation de pale de E07</t>
  </si>
  <si>
    <t>pfourdinier:(17.05.23) rajout des pertes sillages -11,9% dûes aux parcs SARA et Eurowatt mis en service fin 2022</t>
  </si>
  <si>
    <t>Malus 2020 payé par l'assurance + 24 ke de bonus provisioné en trop</t>
  </si>
  <si>
    <t>Perte bridage SDA sur Lomont Est perte parc estimée 1%/an, mis en service 2nd semestre 2023 (LE3 calculé * 0,995)</t>
  </si>
  <si>
    <t>Indemnité Enedis (incident datant de 2018-2019, étude everoze)</t>
  </si>
  <si>
    <t>Un bridage de confort à mettre en place pour MTAR Sud  (13 tubines) suite à un plaignant M. JOUVE perte 1,02% de prod</t>
  </si>
  <si>
    <t>malus EENS du 01/01 au 31/12 (97%)</t>
  </si>
  <si>
    <t>OUPIA 2</t>
  </si>
  <si>
    <t>djacob le 3/05/2023: Pas de production du 17/04 au 12/05/2023 coupure HTB. Un onduleur à l'arret à compter du 1/04/2023 pour 42 semaines soit 1/3 de la production en moins</t>
  </si>
  <si>
    <t>Malus versé par Vestas pour année contractuelle (30/09/21 au 29/09/22)   378213€ + dédommagement assurance sinistre incendie E1  39 452€ = 418k€</t>
  </si>
  <si>
    <t>djacob le 3/05/2023: modules cassés 60% de CA jusqu'à 09/2023</t>
  </si>
  <si>
    <t>Parc démantelé WTG par WTG de mi-juillet à mi-aout 2023</t>
  </si>
  <si>
    <t>SUD ARRAGEOIS</t>
  </si>
  <si>
    <t>Nouvel APC imposant une période plus longue pour les arrêt chiroptères</t>
  </si>
  <si>
    <t>TENESA REPOWERING</t>
  </si>
  <si>
    <t>djacob le 3/05/2023: production très faible suite encrassemetn modules. Lavage en cours.</t>
  </si>
  <si>
    <t>Tarif en heure creuse (+200€/MWh en heure pointe ) 2h de pointe durant laquelle on fait environ 2/3 de la prod</t>
  </si>
  <si>
    <t>Commentaire PIM : Limitation Enedis à 6,2MW et 5,3MW (pour une Pmax à 8,8MW) du 03/07 au 01/09 -&gt; impact non mis dans le CA</t>
  </si>
  <si>
    <t>Indemnité assurance pour sinistre hub E9 de 2020</t>
  </si>
  <si>
    <r>
      <t xml:space="preserve">CA O&amp;M s/parc
</t>
    </r>
    <r>
      <rPr>
        <b/>
        <sz val="18"/>
        <rFont val="Calibri"/>
        <family val="2"/>
      </rPr>
      <t>BN 2024</t>
    </r>
  </si>
  <si>
    <t xml:space="preserve">Inflation : </t>
  </si>
  <si>
    <t>ni bonus ni malus</t>
  </si>
  <si>
    <t>Perte nouveau bridage acoustique estimée 1%/an</t>
  </si>
  <si>
    <t>ni malus ni bonus</t>
  </si>
  <si>
    <t>Perte bridage SDA sur Lomont Est perte parc estimée 1%/an</t>
  </si>
  <si>
    <t>Etude DNV en cours pour permettre d'activer l'option de chauffe des pâles en hiver: Gain de production, estimation en cours</t>
  </si>
  <si>
    <t>pas de parc</t>
  </si>
  <si>
    <t>djacob le 3/05/2023:  Un onduleur à l'arret à compter du 1/04/2023 pour 42 semaines soit 1/3 de la production en moins</t>
  </si>
  <si>
    <t>Malus probable</t>
  </si>
  <si>
    <t>ST SIMON 2</t>
  </si>
  <si>
    <t>Dédommagement E10 (similaire à E9)</t>
  </si>
  <si>
    <t>($J$174*2/3*(K174+200))+($J$174*1/3*K174)</t>
  </si>
  <si>
    <t>OPX-1_BN (2023)</t>
  </si>
  <si>
    <t>OPX_LE3 (2023)</t>
  </si>
  <si>
    <t>OPX_BN+1 (2024)</t>
  </si>
  <si>
    <t>ANALYSE</t>
  </si>
  <si>
    <t>CONTRAT O&amp;M FORFAIT GROUPE</t>
  </si>
  <si>
    <t>TOTAL CORRECTIF 0&amp;M GROUPE</t>
  </si>
  <si>
    <t>CONTRAT O&amp;M FORFAIT HORS GROUPE</t>
  </si>
  <si>
    <t>TOTAL CORRECTIF O&amp;M HORS GROUPE</t>
  </si>
  <si>
    <t>TOTAL ENVIRO</t>
  </si>
  <si>
    <t>CHARGES exceptionnels (BONUS, sinistres)</t>
  </si>
  <si>
    <t>TOTAL BN-1</t>
  </si>
  <si>
    <t>CONTRAT O&amp;M FORFAIT GROUPE2</t>
  </si>
  <si>
    <t>TOTAL CORRECTIF 0&amp;M GROUPE3</t>
  </si>
  <si>
    <t>CONTRAT O&amp;M FORFAIT HORS GROUPE4</t>
  </si>
  <si>
    <t>TOTAL CORRECTIF O&amp;M HORS GROUPE5</t>
  </si>
  <si>
    <t>TOTAL ENVIRO6</t>
  </si>
  <si>
    <t>CHARGES exceptionnels (BONUS, sinistres)7</t>
  </si>
  <si>
    <t>TOTAL LE3</t>
  </si>
  <si>
    <t>CONTRAT O&amp;M FORFAIT GROUPE22</t>
  </si>
  <si>
    <t>TOTAL CORRECTIF 0&amp;M GROUPE33</t>
  </si>
  <si>
    <t>CONTRAT O&amp;M FORFAIT HORS GROUPE44</t>
  </si>
  <si>
    <t>TOTAL CORRECTIF O&amp;M HORS GROUPE55</t>
  </si>
  <si>
    <t>TOTAL ENVIRO66</t>
  </si>
  <si>
    <t>CHARGES exceptionnels (BONUS, sinistres)77</t>
  </si>
  <si>
    <t>TOTAL BN+1</t>
  </si>
  <si>
    <r>
      <t>LE3 2023 vs BUDGET 2023</t>
    </r>
    <r>
      <rPr>
        <b/>
        <sz val="9"/>
        <rFont val="Calibri"/>
        <family val="1"/>
        <charset val="2"/>
      </rPr>
      <t xml:space="preserve">
en €</t>
    </r>
  </si>
  <si>
    <t>LE3 2023 vs BUDGET 2023
en %</t>
  </si>
  <si>
    <r>
      <t>BUDGET 2024 vs LE3 2023</t>
    </r>
    <r>
      <rPr>
        <b/>
        <sz val="9"/>
        <rFont val="Calibri"/>
        <family val="1"/>
        <charset val="2"/>
      </rPr>
      <t xml:space="preserve">
en €</t>
    </r>
  </si>
  <si>
    <t>BUDGET 2024 vs LE3 2023
en %</t>
  </si>
  <si>
    <t>combiné de mesure + BOP + 120k€ en enviro)</t>
  </si>
  <si>
    <t>enviro suite SDA</t>
  </si>
  <si>
    <t>Réception en 2023</t>
  </si>
  <si>
    <t>OR3 au 01/12/2022</t>
  </si>
  <si>
    <t>Inversion TOUC1 ET 2 en 2022/ Lavage+ drone en 2023</t>
  </si>
  <si>
    <t>A voir contrat cadre pour 2024</t>
  </si>
  <si>
    <t xml:space="preserve">Installation LIDAR pour check controle de puissance (prévu dans le BP par OR) + </t>
  </si>
  <si>
    <t>Augmentation du contrat O&amp;M machines en année 3
Chèques énergie à venir</t>
  </si>
  <si>
    <t>80k€ (ancrage+ étude givre et acoustique) + 280k€ augmentation du contrat O&amp;M ( passage année 6 à 8)</t>
  </si>
  <si>
    <t>Lavage module 2023 + Thermo + 900 modules</t>
  </si>
  <si>
    <t>Covention compensation 32k€ en 2023</t>
  </si>
  <si>
    <t xml:space="preserve">dépense enviro </t>
  </si>
  <si>
    <t>Nouveau parc</t>
  </si>
  <si>
    <t>MCR</t>
  </si>
  <si>
    <t>Nouveau parc 2023</t>
  </si>
  <si>
    <t>~200k€ de charges exceptionnelles en LE3 pour compenser l'estimation du malus faite en décembre 2022 VS malus réel (280€ au lieu de 80k€)</t>
  </si>
  <si>
    <t xml:space="preserve">MCR pale </t>
  </si>
  <si>
    <t>Voir contrat cadre en 2024</t>
  </si>
  <si>
    <t>Incertitude sur écart prix vontrat O&amp;M + étude DNV (40k€)</t>
  </si>
  <si>
    <t>Augmentation contrat O&amp;M</t>
  </si>
  <si>
    <t>Augmentation du prix contrat O&amp;M machines + audiobat</t>
  </si>
  <si>
    <t>Compensation agricole</t>
  </si>
  <si>
    <t>Pertes liés au bridage du gestion de la congestion du reseau RPT par Enedis</t>
  </si>
  <si>
    <t>2023 : part correctif ?contrat cadre + aléa 10%</t>
  </si>
  <si>
    <t>TX sur défaut d'isolement : 60k€ en 2023</t>
  </si>
  <si>
    <t>Provision tête de cable + acoustique</t>
  </si>
  <si>
    <t>2024 : rajouter montant contrat cadre + 10%</t>
  </si>
  <si>
    <t>Onduleur en 2023 et nettoyage en 2024</t>
  </si>
  <si>
    <t>Lavage module 2023 + Thermo</t>
  </si>
  <si>
    <t>Changement contrat cadre Aout 2023</t>
  </si>
  <si>
    <t>dépenses enviro + augmentation contrat O&amp;M</t>
  </si>
  <si>
    <t>Activation +5ans contrat + installation peignes (oiseaux) + répa pales</t>
  </si>
  <si>
    <t>MCR gearbox E9 + erosion pales</t>
  </si>
  <si>
    <t>TX hors contrat la première année</t>
  </si>
  <si>
    <t>Augmentation contrat O&amp;M + répa pales</t>
  </si>
  <si>
    <t>Augmentation contrat O&amp;M / passage H5 LLA</t>
  </si>
  <si>
    <t>2023 : Sinistre Grêle + sécurisation MA24</t>
  </si>
  <si>
    <t>dépenses enviro</t>
  </si>
  <si>
    <t>Lavage module 2023 + Thermo + Retrofit onduleurs string</t>
  </si>
  <si>
    <t>Nx contrats correctifs exclus =&gt; remise à 0</t>
  </si>
  <si>
    <t>augmentation contrat</t>
  </si>
  <si>
    <t>suivi enviro + O&amp;M SDA + bonus EENS</t>
  </si>
  <si>
    <t>Remplacement du relai de protection en 2023</t>
  </si>
  <si>
    <t>Nettoyage et élagage</t>
  </si>
  <si>
    <t>30k€ décommissioning Scada + enviro</t>
  </si>
  <si>
    <t>Contrat de support batterie AOS en 2022</t>
  </si>
  <si>
    <t>FUSION DE LOU PAOU 2 ET 12</t>
  </si>
  <si>
    <t>2023 : Tx Hydro</t>
  </si>
  <si>
    <t>Augmentation du prix contrat O&amp;M machines + ENVIRO à vérifier</t>
  </si>
  <si>
    <t>Passage en contrat O&amp;M cadre</t>
  </si>
  <si>
    <t>Nettoyage en 2023 + Compteur</t>
  </si>
  <si>
    <t>Netttoyage en 2023 ou 2024 budgété</t>
  </si>
  <si>
    <t>BUG prix o&amp;m (voir monika) Augmentation du prix contrat O&amp;M machines + ENVIRO</t>
  </si>
  <si>
    <t>presta edc + erosion + bonus EENS</t>
  </si>
  <si>
    <t>presta edc + bonus EENS</t>
  </si>
  <si>
    <t>Correctif hors contrat</t>
  </si>
  <si>
    <t>Remplacement serveur 2023</t>
  </si>
  <si>
    <t>Manque contrat O&amp;M sur BN-1</t>
  </si>
  <si>
    <t>OR3 en juillet / en chiffrage O&amp;M OMEXOM</t>
  </si>
  <si>
    <t>O&amp;M estimé, reprise en juin 2023 + Coût enviro 2024</t>
  </si>
  <si>
    <t>Remplacement transfo en 2022 / enviro 2024</t>
  </si>
  <si>
    <t>A voir</t>
  </si>
  <si>
    <t>Lavage module 2023 + Thermo + gardiennage +Alarme 16k€/an</t>
  </si>
  <si>
    <t>Arret du parc oupia 1 en mars 2023 (manque OUPIA repo)</t>
  </si>
  <si>
    <t>ARAMON-SANOFI</t>
  </si>
  <si>
    <t>Prestations groupe</t>
  </si>
  <si>
    <t>Prestations hors groupe</t>
  </si>
  <si>
    <t>A la main du CAGA</t>
  </si>
  <si>
    <t>A compléter par Service ENVIRO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</si>
  <si>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</si>
  <si>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</si>
  <si>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</si>
  <si>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</si>
  <si>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</si>
  <si>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</si>
  <si>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</si>
  <si>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</si>
  <si>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</si>
  <si>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</si>
  <si>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</si>
  <si>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</si>
  <si>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</si>
  <si>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</si>
  <si>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</si>
  <si>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</si>
  <si>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</si>
  <si>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</si>
  <si>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</si>
  <si>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</si>
  <si>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</si>
  <si>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</si>
  <si>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</si>
  <si>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</si>
  <si>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</si>
  <si>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</si>
  <si>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</si>
  <si>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</si>
  <si>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</si>
  <si>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</si>
  <si>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</si>
  <si>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</si>
  <si>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</si>
  <si>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</si>
  <si>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</si>
  <si>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</si>
  <si>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</si>
  <si>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</si>
  <si>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OPEX VARIABLES en €
BN 2023</t>
  </si>
  <si>
    <t>Contrat O&amp;M G</t>
  </si>
  <si>
    <t xml:space="preserve">1  HF Correctif </t>
  </si>
  <si>
    <t>2  HF MCR</t>
  </si>
  <si>
    <t>3  HF Entretien BOP</t>
  </si>
  <si>
    <t>4  HF Inspections</t>
  </si>
  <si>
    <t>5  HF Mâts de mesure</t>
  </si>
  <si>
    <t>6  HF Scada-Telecom-Outils</t>
  </si>
  <si>
    <t>7  HF Divers</t>
  </si>
  <si>
    <t>Contrat O&amp;M HG</t>
  </si>
  <si>
    <t>1 HF Correctif</t>
  </si>
  <si>
    <t>8  HF Ancrage Territorial</t>
  </si>
  <si>
    <t>9  SDA</t>
  </si>
  <si>
    <t>10  Dechets</t>
  </si>
  <si>
    <t>11  Suivi Avifaune</t>
  </si>
  <si>
    <t>12  Suivi Chiro</t>
  </si>
  <si>
    <t>13  Suivi Morta</t>
  </si>
  <si>
    <t>14  Etudes divers</t>
  </si>
  <si>
    <t>15  Mesures comp</t>
  </si>
  <si>
    <t>GRAND TOTAL</t>
  </si>
  <si>
    <t>16 CAPEX</t>
  </si>
  <si>
    <t>GROUPE</t>
  </si>
  <si>
    <t>HORS GROUPE</t>
  </si>
  <si>
    <r>
      <t xml:space="preserve">OPEX VARIABLES en €
</t>
    </r>
    <r>
      <rPr>
        <sz val="16"/>
        <rFont val="Calibri"/>
        <family val="2"/>
      </rPr>
      <t>BN 2023</t>
    </r>
  </si>
  <si>
    <t>Contrat Groupe EDF Re : (WTG + PDL)</t>
  </si>
  <si>
    <t>Tâches réalisées par EDF RS en sus du contrat  + DI</t>
  </si>
  <si>
    <t>Préstations effectuées dans le cadre de MCR (GBX, génératrice, composant HTA…) par EDF RS
PV : Sinistre</t>
  </si>
  <si>
    <t>Entretien du BoP (pistes, végétation, plateformes, nettoyage panneaux…) ou travaux sur le BOP</t>
  </si>
  <si>
    <t>Préstations pour des inpsections sur les pales, fin de vie, fin de garantie.. en sus du contrat réalisé en interne</t>
  </si>
  <si>
    <t>Préstations sur les MdM et équipements météo (entretien, maintenance corrective…)</t>
  </si>
  <si>
    <t>Préstations sur les outils Télésurveillance / SCADA / Telecom, les abonnements RDL / Internet / Genesys / Wonder…</t>
  </si>
  <si>
    <t>Prestations diverses  &amp; accompagnements interne (1,6 k€ par jour d'acc)</t>
  </si>
  <si>
    <t>Contrats (WTG + PDL) hors EDF RS</t>
  </si>
  <si>
    <t>Tâches réalisées en sus du contrat</t>
  </si>
  <si>
    <t>Préstations effectuées dans le cadre de MCR (GBX, génératrice, composant HTA…) par EDF RS
PV : Sinistre2</t>
  </si>
  <si>
    <t>Entretien du BoP (pistes, végétation, plateformes, nettoyage panneaux…) ou travaux sur le BOP3</t>
  </si>
  <si>
    <t xml:space="preserve">Prestations pour des inpsections sur les pales, Fin de vie, Fin de garantie.. En sus du contrat </t>
  </si>
  <si>
    <t>Préstations sur les MdM et équipements météo (entretien, maintenance corrective…)4</t>
  </si>
  <si>
    <t>Préstations sur les outils Télésurveillance / SCADA / Telecom, les abonnements RDL / Internet / Genesys / Wonder…5</t>
  </si>
  <si>
    <t>Prestations diverses  &amp; accompagnements (1,6 k€ par jour d'acc)</t>
  </si>
  <si>
    <t xml:space="preserve">Prestations locale pour ancrage territorial </t>
  </si>
  <si>
    <t>SDA (loc nacelle, contrat O&amp;M, dépannage)</t>
  </si>
  <si>
    <t>Location des containers, prestations de mise en place…</t>
  </si>
  <si>
    <t>Prestations pour les suivis avifaune (hors morta)</t>
  </si>
  <si>
    <t>Prestations pour les suivis Chiroptères</t>
  </si>
  <si>
    <t>Prestations pour les suivis mortalités</t>
  </si>
  <si>
    <t>Autres suivis /Etudes (+ dédiée PV)</t>
  </si>
  <si>
    <t>(mesures compensatoires du PC ou autres)</t>
  </si>
  <si>
    <t>Bonus, dédommagement sinistre</t>
  </si>
  <si>
    <t>CAPEX</t>
  </si>
  <si>
    <t>Préstations pour des inspections sur les pales, fin de vie, fin de garantie.. en sus du contrat réalisé en interne</t>
  </si>
  <si>
    <t>Sur 5 années glissante Date contracutelle 07/10 -&gt; 06/10</t>
  </si>
  <si>
    <t>S</t>
  </si>
  <si>
    <t>180 k€ d'onduleur</t>
  </si>
  <si>
    <t>Capex : rétrofit design ?</t>
  </si>
  <si>
    <t> </t>
  </si>
  <si>
    <t>Commande de clim pour installation septembre 2023</t>
  </si>
  <si>
    <t>Date contractuelle ! 20/10 -&gt; 19/10</t>
  </si>
  <si>
    <t>,</t>
  </si>
  <si>
    <t>INFLATION 2024 :</t>
  </si>
  <si>
    <t>OPEX VARIABLES en €
BN 2024</t>
  </si>
  <si>
    <r>
      <t xml:space="preserve">OPEX VARIABLES en €
</t>
    </r>
    <r>
      <rPr>
        <sz val="16"/>
        <rFont val="Calibri"/>
        <family val="2"/>
      </rPr>
      <t>BN 2024</t>
    </r>
  </si>
  <si>
    <t>Commande Spare de module sur mesure</t>
  </si>
  <si>
    <t xml:space="preserve">Photo Anaplan ( créer une page 5.7 sur Anaplan) </t>
  </si>
  <si>
    <t>Budget Fichier Monika</t>
  </si>
  <si>
    <t>CJI5</t>
  </si>
  <si>
    <t>CJI3</t>
  </si>
  <si>
    <t>Choix du parc</t>
  </si>
  <si>
    <t>PREV 2024</t>
  </si>
  <si>
    <t xml:space="preserve">REEL 2024 (commande passée / a réceptionner ) </t>
  </si>
  <si>
    <t xml:space="preserve">REEL 2024 (Facturé) </t>
  </si>
  <si>
    <t>DELTA facturé (en %) (colonne E / colonne C)</t>
  </si>
  <si>
    <t>Niveau 1 déjà en place sur Anaplan</t>
  </si>
  <si>
    <t>Contrat O&amp;M</t>
  </si>
  <si>
    <t>Forfait = somme k€</t>
  </si>
  <si>
    <t>Niveau 1 à ajouter</t>
  </si>
  <si>
    <t>Niveau 2 à ajouter</t>
  </si>
  <si>
    <t>somme D9:D115 k€</t>
  </si>
  <si>
    <t>HF Correctif</t>
  </si>
  <si>
    <t>k€</t>
  </si>
  <si>
    <t>HF MCR</t>
  </si>
  <si>
    <t>HF Entretien BoP</t>
  </si>
  <si>
    <t>5k€</t>
  </si>
  <si>
    <t>2,5k€</t>
  </si>
  <si>
    <t>0k€</t>
  </si>
  <si>
    <t>HF Inspections</t>
  </si>
  <si>
    <t>HF Mâts de Mesures</t>
  </si>
  <si>
    <t>HF Scada-Telecom-Outils</t>
  </si>
  <si>
    <t>HF Divers</t>
  </si>
  <si>
    <t>somme D20:D27 k€</t>
  </si>
  <si>
    <t>176.1</t>
  </si>
  <si>
    <t>176.2</t>
  </si>
  <si>
    <t>173.3</t>
  </si>
  <si>
    <t>HF Entretien BOP</t>
  </si>
  <si>
    <t>176.4</t>
  </si>
  <si>
    <t>176.5</t>
  </si>
  <si>
    <t>HF Mâts de mesure</t>
  </si>
  <si>
    <t>176.6</t>
  </si>
  <si>
    <t>176.7</t>
  </si>
  <si>
    <t>176.8</t>
  </si>
  <si>
    <t>HF Ancrage Territorial</t>
  </si>
  <si>
    <t>somme D30:D36 k€</t>
  </si>
  <si>
    <t>176.9</t>
  </si>
  <si>
    <t>SDA</t>
  </si>
  <si>
    <t>176.10</t>
  </si>
  <si>
    <t>Dechets</t>
  </si>
  <si>
    <t>64.11</t>
  </si>
  <si>
    <t>Suivi Avifaune</t>
  </si>
  <si>
    <t>64.12</t>
  </si>
  <si>
    <t>Suivi Chiro</t>
  </si>
  <si>
    <t>64.13</t>
  </si>
  <si>
    <t>Suivi Morta</t>
  </si>
  <si>
    <t>64.14</t>
  </si>
  <si>
    <t>Etudes divers</t>
  </si>
  <si>
    <t>64.15</t>
  </si>
  <si>
    <t>Mesures comp</t>
  </si>
  <si>
    <t>Vue détaillé</t>
  </si>
  <si>
    <t>n° commande</t>
  </si>
  <si>
    <t>désignation</t>
  </si>
  <si>
    <t>montant</t>
  </si>
  <si>
    <t>exemple : zoom en cliquant sur case B11</t>
  </si>
  <si>
    <t>debroussaillage</t>
  </si>
  <si>
    <t>2k€</t>
  </si>
  <si>
    <t>piste</t>
  </si>
  <si>
    <t>1k€</t>
  </si>
  <si>
    <t>plateforme</t>
  </si>
  <si>
    <r>
      <t xml:space="preserve">Nouveaux codes articles </t>
    </r>
    <r>
      <rPr>
        <b/>
        <sz val="9"/>
        <color rgb="FFFF0000"/>
        <rFont val="Calibri"/>
        <family val="2"/>
        <scheme val="minor"/>
      </rPr>
      <t>(A COPIER ET COLLER DANS SAP)</t>
    </r>
  </si>
  <si>
    <t xml:space="preserve">Désignations </t>
  </si>
  <si>
    <t>1  Texte GT OU RZ</t>
  </si>
  <si>
    <t>176.1 HF Correctif</t>
  </si>
  <si>
    <t>2  Texte GT OU RZ</t>
  </si>
  <si>
    <t>Préstations effectuées dans le cadre de MCR (GBX, génératrice, composant HTA…) par EDF RS. PV : Sinistre</t>
  </si>
  <si>
    <t>176.2  HF MCR</t>
  </si>
  <si>
    <t>3  Texte GT OU RZ</t>
  </si>
  <si>
    <t>173.3  HF Entretien BOP</t>
  </si>
  <si>
    <t>4  Texte GT OU RZ</t>
  </si>
  <si>
    <t>Préstations pour des inpsections sur les pales, fin de vie, fin de garantie.. en sus du contrat</t>
  </si>
  <si>
    <t>176.4  HF Inspections</t>
  </si>
  <si>
    <t>5  Texte GT OU RZ</t>
  </si>
  <si>
    <t>176.5  HF Mâts de mesure</t>
  </si>
  <si>
    <t>6  Texte GT OU RZ</t>
  </si>
  <si>
    <t>176.6  HF Scada-Telecom-Outils</t>
  </si>
  <si>
    <t>7  Texte GT OU RZ</t>
  </si>
  <si>
    <t>176.7  HF Divers</t>
  </si>
  <si>
    <t>176.8  HF Ancrage Territorial</t>
  </si>
  <si>
    <t>176.9  SDA</t>
  </si>
  <si>
    <t>176.10  Dechets</t>
  </si>
  <si>
    <t>64.11  Suivi Avifaune</t>
  </si>
  <si>
    <t>64.12  Suivi Chiro</t>
  </si>
  <si>
    <t>64.13  Suivi Morta</t>
  </si>
  <si>
    <t>64.14  Etudes divers</t>
  </si>
  <si>
    <t>64.15  Mesures comp</t>
  </si>
  <si>
    <t>Proposition Liste déroulante hors Services</t>
  </si>
  <si>
    <t>Proposition Liste déroulante Services</t>
  </si>
  <si>
    <t>Pour Services extraction IW39 avec ajout de texte dans la désignation (GT ou RZ)</t>
  </si>
  <si>
    <t>µ</t>
  </si>
  <si>
    <t>Catégories d'articles</t>
  </si>
  <si>
    <t>173. BOP-DEBRO</t>
  </si>
  <si>
    <t>173. BOP-DENEIGE</t>
  </si>
  <si>
    <t>173. BOP-MULTI</t>
  </si>
  <si>
    <t>173. BOP-PALES</t>
  </si>
  <si>
    <t xml:space="preserve">173. BOP-ROUTE </t>
  </si>
  <si>
    <t>176. HF-MAINOE-ARBRE</t>
  </si>
  <si>
    <t>176. HF-MAINOE-CELLU</t>
  </si>
  <si>
    <t>176. HF-MAINOE-CONVE</t>
  </si>
  <si>
    <t>176. HF-MAINOE-CTRLS (Controles règelementaires)</t>
  </si>
  <si>
    <t>£µµ</t>
  </si>
  <si>
    <t>176. HF-MAINOE-DTBIRD</t>
  </si>
  <si>
    <t>176. HF-MAINOE-FLASH</t>
  </si>
  <si>
    <t>176. HF-MAINOE-FONDA</t>
  </si>
  <si>
    <t>176. HF-MAINOE-GENER</t>
  </si>
  <si>
    <t>176. HF-MAINOE-INSPE</t>
  </si>
  <si>
    <t>176. HF-MAINOE-MODUL</t>
  </si>
  <si>
    <t xml:space="preserve">176. HF-MAINOE-MULTI </t>
  </si>
  <si>
    <t>176. HF-MAINOE-ONDUL</t>
  </si>
  <si>
    <t>176. HF-MAINOE-PALES</t>
  </si>
  <si>
    <t>176. HF-MAINOE-PITCH</t>
  </si>
  <si>
    <t>176. HF-MAINOE-POSTE</t>
  </si>
  <si>
    <t xml:space="preserve">176. HF-MAINOE-PYLON </t>
  </si>
  <si>
    <t>176. HF-MAINOE-RETRO</t>
  </si>
  <si>
    <t>176. HF-MAINOE-SCADA</t>
  </si>
  <si>
    <t>176. HF-MAINOE-SECUR</t>
  </si>
  <si>
    <t>176. HF-MAINOE-SINIS</t>
  </si>
  <si>
    <t>176. HF-MAINOE-STOCK</t>
  </si>
  <si>
    <t>176. HF-MAINOE-SYYAW</t>
  </si>
  <si>
    <t>176. HF-MAINOE-TELEC</t>
  </si>
  <si>
    <t>176. HF-MAINOE-TRANS</t>
  </si>
  <si>
    <t>236. PDIV-PREST-MAIRI</t>
  </si>
  <si>
    <t>236. PDIV-PREST-MESUR</t>
  </si>
  <si>
    <t>236. PDIV-PREST-VISIT</t>
  </si>
  <si>
    <t>60. ETUDE ACOUSTIQUE</t>
  </si>
  <si>
    <t>64.  ETUDE FAUNE FLORE CHIRO</t>
  </si>
  <si>
    <t>67.  ETUDE DE PRODUCTIBLE  / PREVISION PROD</t>
  </si>
  <si>
    <t>67. PREVISION PROD</t>
  </si>
  <si>
    <t>76.  ETUDE INTERFERENCE, PERTURBATION TV</t>
  </si>
  <si>
    <t>3103. LOCATION MATERIEL CHANTIER</t>
  </si>
  <si>
    <t>nrj</t>
  </si>
  <si>
    <t>INITIALES CAGA</t>
  </si>
  <si>
    <t>quadrigramme</t>
  </si>
  <si>
    <t>gestionnaire_actifs</t>
  </si>
  <si>
    <t>INITIALE</t>
  </si>
  <si>
    <t>FR34E97E</t>
  </si>
  <si>
    <t>A893</t>
  </si>
  <si>
    <t>EOLIEN</t>
  </si>
  <si>
    <t>KéD</t>
  </si>
  <si>
    <t>Aubin Exbrayat</t>
  </si>
  <si>
    <t>AuE</t>
  </si>
  <si>
    <t>FR51E05E</t>
  </si>
  <si>
    <t>A763</t>
  </si>
  <si>
    <t>BaB</t>
  </si>
  <si>
    <t>Aymeric BIGOURDAN</t>
  </si>
  <si>
    <t>AyB</t>
  </si>
  <si>
    <t>FR28E96E</t>
  </si>
  <si>
    <t>A099</t>
  </si>
  <si>
    <t>N</t>
  </si>
  <si>
    <t>HuB</t>
  </si>
  <si>
    <t>Barbara Atene</t>
  </si>
  <si>
    <t>BaA</t>
  </si>
  <si>
    <t>AEROPARC DE FONTAINE</t>
  </si>
  <si>
    <t>SOLAIRE</t>
  </si>
  <si>
    <t>Nopphadol SRIKONG</t>
  </si>
  <si>
    <t>NoS</t>
  </si>
  <si>
    <t>FR78E01E</t>
  </si>
  <si>
    <t>A418</t>
  </si>
  <si>
    <t>Kevin CLEMENT</t>
  </si>
  <si>
    <t>KéC</t>
  </si>
  <si>
    <t>FR15E01E</t>
  </si>
  <si>
    <t>A109</t>
  </si>
  <si>
    <t>FUTUREN</t>
  </si>
  <si>
    <t>Arthur Broche</t>
  </si>
  <si>
    <t>ArB</t>
  </si>
  <si>
    <t>FR33S12E</t>
  </si>
  <si>
    <t>A353</t>
  </si>
  <si>
    <t>FR57E04E</t>
  </si>
  <si>
    <t>A541</t>
  </si>
  <si>
    <t>EGM</t>
  </si>
  <si>
    <t>Kevin DALIBERT</t>
  </si>
  <si>
    <t>FR17E07E</t>
  </si>
  <si>
    <t>F245</t>
  </si>
  <si>
    <t>AQUISUN</t>
  </si>
  <si>
    <t>FR33S11E</t>
  </si>
  <si>
    <t>A116</t>
  </si>
  <si>
    <t>AQUI</t>
  </si>
  <si>
    <t>FR30S13E</t>
  </si>
  <si>
    <t>Hugo Breton</t>
  </si>
  <si>
    <t>FR30S15E</t>
  </si>
  <si>
    <t>A252</t>
  </si>
  <si>
    <t>ARSA</t>
  </si>
  <si>
    <t>Olivier DE PESSEMIER</t>
  </si>
  <si>
    <t>OdP</t>
  </si>
  <si>
    <t>FR64S01E</t>
  </si>
  <si>
    <t>FR34E93E</t>
  </si>
  <si>
    <t>A084</t>
  </si>
  <si>
    <t>Zakaria ANGOUD</t>
  </si>
  <si>
    <t>ZaA</t>
  </si>
  <si>
    <t>AUNIS SUD</t>
  </si>
  <si>
    <t>BAIGNES</t>
  </si>
  <si>
    <t>FR57E01E</t>
  </si>
  <si>
    <t>A530</t>
  </si>
  <si>
    <t>FR62E02E</t>
  </si>
  <si>
    <t>A553</t>
  </si>
  <si>
    <t>ENDF</t>
  </si>
  <si>
    <t>NiD</t>
  </si>
  <si>
    <t>Lola GAUTIER</t>
  </si>
  <si>
    <t>LoG</t>
  </si>
  <si>
    <t>FR43E99E</t>
  </si>
  <si>
    <t>A095</t>
  </si>
  <si>
    <t>FR02E08E</t>
  </si>
  <si>
    <t>A554</t>
  </si>
  <si>
    <t>BTS1</t>
  </si>
  <si>
    <t>BoK</t>
  </si>
  <si>
    <t>Boris KASABOV</t>
  </si>
  <si>
    <t>BASSE THIERACHE SUD 1&amp;2</t>
  </si>
  <si>
    <t>FR02E09E</t>
  </si>
  <si>
    <t>A555</t>
  </si>
  <si>
    <t>BTS2</t>
  </si>
  <si>
    <t>Théo Cavey</t>
  </si>
  <si>
    <t>ThC</t>
  </si>
  <si>
    <t>FR69E01E</t>
  </si>
  <si>
    <t>A905</t>
  </si>
  <si>
    <t>Dominique Jacob</t>
  </si>
  <si>
    <t>DoJ</t>
  </si>
  <si>
    <t>FR85S02E</t>
  </si>
  <si>
    <t>A295</t>
  </si>
  <si>
    <t>Nicolas Legendre</t>
  </si>
  <si>
    <t>NiL</t>
  </si>
  <si>
    <t>FR88E99E</t>
  </si>
  <si>
    <t>A177</t>
  </si>
  <si>
    <t>FR84S01E</t>
  </si>
  <si>
    <t>A133</t>
  </si>
  <si>
    <t>CBES</t>
  </si>
  <si>
    <t>Pascal DIGON</t>
  </si>
  <si>
    <t>PaD</t>
  </si>
  <si>
    <t>BOIS MERLE - 1ÈRE TRANCHE</t>
  </si>
  <si>
    <t>Louis Honoré</t>
  </si>
  <si>
    <t>LoH</t>
  </si>
  <si>
    <t>BOIS MERLE - 2ÈME TRANCHE</t>
  </si>
  <si>
    <t>Nicolas Dulong</t>
  </si>
  <si>
    <t>FR57E05E</t>
  </si>
  <si>
    <t>FR31S01E</t>
  </si>
  <si>
    <t>A145</t>
  </si>
  <si>
    <t>BOURBON LANCY</t>
  </si>
  <si>
    <t>CHAG</t>
  </si>
  <si>
    <t>FR45S03E</t>
  </si>
  <si>
    <t>A272</t>
  </si>
  <si>
    <t>Mélanie Sicard</t>
  </si>
  <si>
    <t>MéS</t>
  </si>
  <si>
    <t>FR02E03E</t>
  </si>
  <si>
    <t>A540</t>
  </si>
  <si>
    <t>FR56E01E</t>
  </si>
  <si>
    <t>CABREIRENS</t>
  </si>
  <si>
    <t>FR12E98E</t>
  </si>
  <si>
    <t>H.G.</t>
  </si>
  <si>
    <t>CALSIGAS</t>
  </si>
  <si>
    <t>Antoine Neelz</t>
  </si>
  <si>
    <t>AnN</t>
  </si>
  <si>
    <t>FR11E95E</t>
  </si>
  <si>
    <t>A114</t>
  </si>
  <si>
    <t>COLB</t>
  </si>
  <si>
    <t>FR97S76E</t>
  </si>
  <si>
    <t>A047</t>
  </si>
  <si>
    <t>DOM</t>
  </si>
  <si>
    <t>SOLAIRE DOM</t>
  </si>
  <si>
    <t>Stephane ESTRABAUT</t>
  </si>
  <si>
    <t>StE</t>
  </si>
  <si>
    <t>FR28E99E</t>
  </si>
  <si>
    <t>A124</t>
  </si>
  <si>
    <t>Sarah Houdusse</t>
  </si>
  <si>
    <t>SaH</t>
  </si>
  <si>
    <t>FR62E03E</t>
  </si>
  <si>
    <t>A534</t>
  </si>
  <si>
    <t>FR34E96E</t>
  </si>
  <si>
    <t>A049</t>
  </si>
  <si>
    <t>COUF</t>
  </si>
  <si>
    <t>FR97S77E</t>
  </si>
  <si>
    <t>A043</t>
  </si>
  <si>
    <t>Bastien BODOVILLE</t>
  </si>
  <si>
    <t>FR21S01E</t>
  </si>
  <si>
    <t>A253</t>
  </si>
  <si>
    <t>Alejandro Yahuaca</t>
  </si>
  <si>
    <t>AlY</t>
  </si>
  <si>
    <t>FR71S06E</t>
  </si>
  <si>
    <t>A257</t>
  </si>
  <si>
    <t>FR89E03E</t>
  </si>
  <si>
    <t>A992</t>
  </si>
  <si>
    <t>FR02E02E</t>
  </si>
  <si>
    <t>A419</t>
  </si>
  <si>
    <t>CHATEAUDUN</t>
  </si>
  <si>
    <t>FR10E01E</t>
  </si>
  <si>
    <t>F212</t>
  </si>
  <si>
    <t>FR86S03E</t>
  </si>
  <si>
    <t>A290</t>
  </si>
  <si>
    <t>CIVA</t>
  </si>
  <si>
    <t>Maha Alilou</t>
  </si>
  <si>
    <t>MaA</t>
  </si>
  <si>
    <t>FR51E03E</t>
  </si>
  <si>
    <t>A532</t>
  </si>
  <si>
    <t>ERSA</t>
  </si>
  <si>
    <t>FR51E04E</t>
  </si>
  <si>
    <t>FR02E10E</t>
  </si>
  <si>
    <t>A535</t>
  </si>
  <si>
    <t>FR50E99E</t>
  </si>
  <si>
    <t>FR21S03E</t>
  </si>
  <si>
    <t>A313</t>
  </si>
  <si>
    <t>FR11E92E</t>
  </si>
  <si>
    <t>A958</t>
  </si>
  <si>
    <t>FR34E92E</t>
  </si>
  <si>
    <t>A064</t>
  </si>
  <si>
    <t>FR20E01E</t>
  </si>
  <si>
    <t>F069</t>
  </si>
  <si>
    <t>COSNE SUR LOIRE</t>
  </si>
  <si>
    <t>FR85E99E</t>
  </si>
  <si>
    <t>A051</t>
  </si>
  <si>
    <t>COULEE BLANCHE</t>
  </si>
  <si>
    <t>FRA1, FRA2</t>
  </si>
  <si>
    <t>FR55E02E</t>
  </si>
  <si>
    <t>FR38S07E</t>
  </si>
  <si>
    <t>CRMA</t>
  </si>
  <si>
    <t>FR28S02E</t>
  </si>
  <si>
    <t>A385</t>
  </si>
  <si>
    <t>CY11, CY12, CY13</t>
  </si>
  <si>
    <t>FR55E14E</t>
  </si>
  <si>
    <t>F142</t>
  </si>
  <si>
    <t>FR01S08E</t>
  </si>
  <si>
    <t>A955</t>
  </si>
  <si>
    <t>FR66E99E</t>
  </si>
  <si>
    <t>A900</t>
  </si>
  <si>
    <t>PiM</t>
  </si>
  <si>
    <t>FR71S05E</t>
  </si>
  <si>
    <t>A266</t>
  </si>
  <si>
    <t>EPIN</t>
  </si>
  <si>
    <t>FR55E03E</t>
  </si>
  <si>
    <t>FR28E97E</t>
  </si>
  <si>
    <t>A967</t>
  </si>
  <si>
    <t>FR13S08E</t>
  </si>
  <si>
    <t>FAREBERSVILLE / HENRIVILLE</t>
  </si>
  <si>
    <t>FR76E99E</t>
  </si>
  <si>
    <t>A895</t>
  </si>
  <si>
    <t>FR11S07E</t>
  </si>
  <si>
    <t>FR62E99E</t>
  </si>
  <si>
    <t>A053</t>
  </si>
  <si>
    <t>Demba NDIAYE</t>
  </si>
  <si>
    <t>DeN</t>
  </si>
  <si>
    <t>FR11E03E</t>
  </si>
  <si>
    <t>A542</t>
  </si>
  <si>
    <t>HMEL</t>
  </si>
  <si>
    <t>FR80E96E</t>
  </si>
  <si>
    <t>F032</t>
  </si>
  <si>
    <t>FR28E03E</t>
  </si>
  <si>
    <t>A286</t>
  </si>
  <si>
    <t>Pierre MOUSQUE</t>
  </si>
  <si>
    <t>FR13S15E</t>
  </si>
  <si>
    <t>A037</t>
  </si>
  <si>
    <t>FR07E99E</t>
  </si>
  <si>
    <t>A894</t>
  </si>
  <si>
    <t>FR40S04E</t>
  </si>
  <si>
    <t>A191</t>
  </si>
  <si>
    <t>FR40S07E</t>
  </si>
  <si>
    <t>A194</t>
  </si>
  <si>
    <t>FR40S10E</t>
  </si>
  <si>
    <t>A197</t>
  </si>
  <si>
    <t>FR40S99E</t>
  </si>
  <si>
    <t>A139</t>
  </si>
  <si>
    <t>LAZE</t>
  </si>
  <si>
    <t>FR28E91E</t>
  </si>
  <si>
    <t>F239</t>
  </si>
  <si>
    <t>GOUZEAUCOURT</t>
  </si>
  <si>
    <t>FR23S01E</t>
  </si>
  <si>
    <t>A237</t>
  </si>
  <si>
    <t>FR56E02E</t>
  </si>
  <si>
    <t>FR28E02E</t>
  </si>
  <si>
    <t>A420</t>
  </si>
  <si>
    <t>HABSHEIM - AERODROME MULHOUSE</t>
  </si>
  <si>
    <t>FR68S01</t>
  </si>
  <si>
    <t>HAUT DOURDOU</t>
  </si>
  <si>
    <t>FR12E13E</t>
  </si>
  <si>
    <t>A223</t>
  </si>
  <si>
    <t>HADO</t>
  </si>
  <si>
    <t>HAUT PERCHÉ</t>
  </si>
  <si>
    <t>BbB</t>
  </si>
  <si>
    <t>FR80E91E</t>
  </si>
  <si>
    <t>F168</t>
  </si>
  <si>
    <t>FR62E01E</t>
  </si>
  <si>
    <t>A531</t>
  </si>
  <si>
    <t>FR14E03E</t>
  </si>
  <si>
    <t>LPEN</t>
  </si>
  <si>
    <t>ILLANGE-BERTRANGE</t>
  </si>
  <si>
    <t>FR57S02</t>
  </si>
  <si>
    <t>?</t>
  </si>
  <si>
    <t>FR86E05E</t>
  </si>
  <si>
    <t>A281</t>
  </si>
  <si>
    <t>PARTNER</t>
  </si>
  <si>
    <t>FR34E10E</t>
  </si>
  <si>
    <t>F156</t>
  </si>
  <si>
    <t>FR34E05E</t>
  </si>
  <si>
    <t>A100</t>
  </si>
  <si>
    <t>FR34E83E</t>
  </si>
  <si>
    <t>A936</t>
  </si>
  <si>
    <t>FR97S87E</t>
  </si>
  <si>
    <t>A071</t>
  </si>
  <si>
    <t>BéK</t>
  </si>
  <si>
    <t>LA SAUSSINAIS</t>
  </si>
  <si>
    <t>FR01S06E</t>
  </si>
  <si>
    <t>FR22E03E</t>
  </si>
  <si>
    <t>FR55E04E</t>
  </si>
  <si>
    <t>FR05S02E</t>
  </si>
  <si>
    <t>A258</t>
  </si>
  <si>
    <t>LE CHEYLAS</t>
  </si>
  <si>
    <t>FR07S04E</t>
  </si>
  <si>
    <t>MOTG</t>
  </si>
  <si>
    <t>LEPLA 2</t>
  </si>
  <si>
    <t>MSTV</t>
  </si>
  <si>
    <t>FR56E03E</t>
  </si>
  <si>
    <t>FR10E02E</t>
  </si>
  <si>
    <t>F247</t>
  </si>
  <si>
    <t>FR10E03E</t>
  </si>
  <si>
    <t>F046</t>
  </si>
  <si>
    <t>MTSQ</t>
  </si>
  <si>
    <t>FR48E96E</t>
  </si>
  <si>
    <t>A366</t>
  </si>
  <si>
    <t>FR25E01E</t>
  </si>
  <si>
    <t>A899</t>
  </si>
  <si>
    <t>FR80E97E</t>
  </si>
  <si>
    <t>FR51E07E</t>
  </si>
  <si>
    <t>A279</t>
  </si>
  <si>
    <t>FR48E99E</t>
  </si>
  <si>
    <t>A896</t>
  </si>
  <si>
    <t>LOU PAOU 2MW</t>
  </si>
  <si>
    <t>FR01S02E</t>
  </si>
  <si>
    <t>FR11E99E</t>
  </si>
  <si>
    <t>A039</t>
  </si>
  <si>
    <t>FR21S02E</t>
  </si>
  <si>
    <t>FR85E02E</t>
  </si>
  <si>
    <t>FR80E93E</t>
  </si>
  <si>
    <t>F240</t>
  </si>
  <si>
    <t>PCA2</t>
  </si>
  <si>
    <t>FR87S01E</t>
  </si>
  <si>
    <t>A239</t>
  </si>
  <si>
    <t>MABE</t>
  </si>
  <si>
    <t>PCA3</t>
  </si>
  <si>
    <t>FR04S99E</t>
  </si>
  <si>
    <t>A134</t>
  </si>
  <si>
    <t>MARIPASOULA</t>
  </si>
  <si>
    <t>FR89S02E</t>
  </si>
  <si>
    <t>A389</t>
  </si>
  <si>
    <t>FR56E04E</t>
  </si>
  <si>
    <t>PEFR</t>
  </si>
  <si>
    <t>FR43S04E</t>
  </si>
  <si>
    <t>FR02E13E</t>
  </si>
  <si>
    <t>F159</t>
  </si>
  <si>
    <t>MIGNE AUXENCE</t>
  </si>
  <si>
    <t>PIFD</t>
  </si>
  <si>
    <t>Bérangere Kalyntschuk</t>
  </si>
  <si>
    <t>FR07E97E</t>
  </si>
  <si>
    <t>A432</t>
  </si>
  <si>
    <t>FR17S01E</t>
  </si>
  <si>
    <t>A902</t>
  </si>
  <si>
    <t>FR15E03E</t>
  </si>
  <si>
    <t>MONTREDON-LABESSONIÉ</t>
  </si>
  <si>
    <t>FR57E06E</t>
  </si>
  <si>
    <t>F140</t>
  </si>
  <si>
    <t>FR80E95E</t>
  </si>
  <si>
    <t>F036</t>
  </si>
  <si>
    <t>FR17E05E</t>
  </si>
  <si>
    <t>F208</t>
  </si>
  <si>
    <t>FR11S97E</t>
  </si>
  <si>
    <t>A119</t>
  </si>
  <si>
    <t>FR57E02E</t>
  </si>
  <si>
    <t>NIEDERVISSE REPOWERING</t>
  </si>
  <si>
    <t>PUYL</t>
  </si>
  <si>
    <t>FR01S04E</t>
  </si>
  <si>
    <t>FR34E82E</t>
  </si>
  <si>
    <t>A937</t>
  </si>
  <si>
    <t>QUIN</t>
  </si>
  <si>
    <t>Béatrice TOUSSIROT</t>
  </si>
  <si>
    <t>BéT</t>
  </si>
  <si>
    <t>FR89S16E</t>
  </si>
  <si>
    <t>NITR</t>
  </si>
  <si>
    <t>FR35E02E</t>
  </si>
  <si>
    <t>FR80E01E</t>
  </si>
  <si>
    <t>FR68S02E</t>
  </si>
  <si>
    <t>A374</t>
  </si>
  <si>
    <t>OTTM</t>
  </si>
  <si>
    <t>FR34E99E</t>
  </si>
  <si>
    <t>A044</t>
  </si>
  <si>
    <t>OUP2</t>
  </si>
  <si>
    <t>ROGL</t>
  </si>
  <si>
    <t>FR79E01E</t>
  </si>
  <si>
    <t>FR51E08E</t>
  </si>
  <si>
    <t>ROSS</t>
  </si>
  <si>
    <t>PAYS DE CAUX</t>
  </si>
  <si>
    <t>FRD1E01E</t>
  </si>
  <si>
    <t>A960</t>
  </si>
  <si>
    <t>EOLIEN DOM</t>
  </si>
  <si>
    <t>FR34E84E</t>
  </si>
  <si>
    <t>A935</t>
  </si>
  <si>
    <t>FR97S86E</t>
  </si>
  <si>
    <t>A166</t>
  </si>
  <si>
    <t>FR11E85E</t>
  </si>
  <si>
    <t>A160</t>
  </si>
  <si>
    <t>FR59E02E</t>
  </si>
  <si>
    <t>A551</t>
  </si>
  <si>
    <t>FR22E04E</t>
  </si>
  <si>
    <t>F150</t>
  </si>
  <si>
    <t>FR02E07E</t>
  </si>
  <si>
    <t>A552</t>
  </si>
  <si>
    <t>FR11E94E</t>
  </si>
  <si>
    <t>A370</t>
  </si>
  <si>
    <t>FR56E05E</t>
  </si>
  <si>
    <t>A545</t>
  </si>
  <si>
    <t>FR12E94E</t>
  </si>
  <si>
    <t>F034</t>
  </si>
  <si>
    <t>FR57E03E</t>
  </si>
  <si>
    <t>A533</t>
  </si>
  <si>
    <t>FR51E01E</t>
  </si>
  <si>
    <t>A150</t>
  </si>
  <si>
    <t>PDC1, PDC2</t>
  </si>
  <si>
    <t>FR97S92E</t>
  </si>
  <si>
    <t>A041</t>
  </si>
  <si>
    <t>FR11E87E</t>
  </si>
  <si>
    <t>A539</t>
  </si>
  <si>
    <t>FR97S74E</t>
  </si>
  <si>
    <t>A045</t>
  </si>
  <si>
    <t>FR55E05E</t>
  </si>
  <si>
    <t>FR55E06E</t>
  </si>
  <si>
    <t>SOUL</t>
  </si>
  <si>
    <t>REPOWERING BUTTE DES FRAUS</t>
  </si>
  <si>
    <t>REPOWERING COTE DE JADE</t>
  </si>
  <si>
    <t>REPOWERING COURCELLES</t>
  </si>
  <si>
    <t>REPOWERING KERGRIST</t>
  </si>
  <si>
    <t>REPOWERING LE PLATEAU</t>
  </si>
  <si>
    <t>REPOWERING SEGLIEN</t>
  </si>
  <si>
    <t>STFR1</t>
  </si>
  <si>
    <t>REPOWERING ST MARTIN DES BESACES</t>
  </si>
  <si>
    <t>REPOWERING STE ROSE</t>
  </si>
  <si>
    <t>FR02E04E</t>
  </si>
  <si>
    <t>FR34E98E</t>
  </si>
  <si>
    <t>A892</t>
  </si>
  <si>
    <t>RIVE DE GIERS</t>
  </si>
  <si>
    <t>STRO</t>
  </si>
  <si>
    <t>FRD4S01E</t>
  </si>
  <si>
    <t>A251</t>
  </si>
  <si>
    <t>RDGA</t>
  </si>
  <si>
    <t>BeK</t>
  </si>
  <si>
    <t>STSI</t>
  </si>
  <si>
    <t>FR34E85E</t>
  </si>
  <si>
    <t>A063</t>
  </si>
  <si>
    <t>FR05S03E</t>
  </si>
  <si>
    <t>ROCH</t>
  </si>
  <si>
    <t>FR56E06E</t>
  </si>
  <si>
    <t>FR87E03E</t>
  </si>
  <si>
    <t>FR14E05E</t>
  </si>
  <si>
    <t>F037</t>
  </si>
  <si>
    <t>FR55E07E</t>
  </si>
  <si>
    <t>A544</t>
  </si>
  <si>
    <t>FR56E07E</t>
  </si>
  <si>
    <t>FRD4E01E</t>
  </si>
  <si>
    <t>A027</t>
  </si>
  <si>
    <t>FR04S98E</t>
  </si>
  <si>
    <t>A135</t>
  </si>
  <si>
    <t>FR14E04E</t>
  </si>
  <si>
    <t>F040</t>
  </si>
  <si>
    <t>TOU2</t>
  </si>
  <si>
    <t>FR13S17E</t>
  </si>
  <si>
    <t>A269</t>
  </si>
  <si>
    <t>SALP</t>
  </si>
  <si>
    <t>FR43S03E</t>
  </si>
  <si>
    <t>FR01S03E</t>
  </si>
  <si>
    <t>FR49S01E</t>
  </si>
  <si>
    <t>TRRO</t>
  </si>
  <si>
    <t>FR81E99E</t>
  </si>
  <si>
    <t>A125</t>
  </si>
  <si>
    <t>SAUVETERRE 2</t>
  </si>
  <si>
    <t>A080</t>
  </si>
  <si>
    <t>VBOT</t>
  </si>
  <si>
    <t>FR12E97E</t>
  </si>
  <si>
    <t>A081</t>
  </si>
  <si>
    <t>FR56E10E</t>
  </si>
  <si>
    <t>F033</t>
  </si>
  <si>
    <t>FR02E05E</t>
  </si>
  <si>
    <t>FR97S90E</t>
  </si>
  <si>
    <t>A065</t>
  </si>
  <si>
    <t>FR12E93E</t>
  </si>
  <si>
    <t>F099</t>
  </si>
  <si>
    <t>FR18S01E</t>
  </si>
  <si>
    <t>FR97S99E</t>
  </si>
  <si>
    <t>A066</t>
  </si>
  <si>
    <t>FR01S07E</t>
  </si>
  <si>
    <t>FR14E99E</t>
  </si>
  <si>
    <t>FR11S06E</t>
  </si>
  <si>
    <t>FR34S01E</t>
  </si>
  <si>
    <t>FR69S05E</t>
  </si>
  <si>
    <t>FR02E99E</t>
  </si>
  <si>
    <t>FR02E993</t>
  </si>
  <si>
    <t>A9892</t>
  </si>
  <si>
    <t>STS2</t>
  </si>
  <si>
    <t>FR87S02E</t>
  </si>
  <si>
    <t>A235</t>
  </si>
  <si>
    <t>SOLE</t>
  </si>
  <si>
    <t>ST SOUPLET</t>
  </si>
  <si>
    <t>FR01S05E</t>
  </si>
  <si>
    <t>FR04S07E</t>
  </si>
  <si>
    <t>A307</t>
  </si>
  <si>
    <t>STLM</t>
  </si>
  <si>
    <t>FR55E08E</t>
  </si>
  <si>
    <t>STOCKAGE EOLIEN CATALAN</t>
  </si>
  <si>
    <t>FR66K02E</t>
  </si>
  <si>
    <t>A282</t>
  </si>
  <si>
    <t>SECB</t>
  </si>
  <si>
    <t>BATTERIE</t>
  </si>
  <si>
    <t>FR89S03E</t>
  </si>
  <si>
    <t>FR62E04E</t>
  </si>
  <si>
    <t>A536</t>
  </si>
  <si>
    <t>SUD ARTOIS</t>
  </si>
  <si>
    <t>FR89E08E</t>
  </si>
  <si>
    <t>A280</t>
  </si>
  <si>
    <t>FR2BE01E</t>
  </si>
  <si>
    <t>A060</t>
  </si>
  <si>
    <t>TERE</t>
  </si>
  <si>
    <t>THOLLET ET COULONGES</t>
  </si>
  <si>
    <t>FR97S89E</t>
  </si>
  <si>
    <t>A168</t>
  </si>
  <si>
    <t>FR973S01E</t>
  </si>
  <si>
    <t>A167</t>
  </si>
  <si>
    <t>FR54S01E</t>
  </si>
  <si>
    <t>A391</t>
  </si>
  <si>
    <t>FR79E02E</t>
  </si>
  <si>
    <t>FR34E81E</t>
  </si>
  <si>
    <t>A938</t>
  </si>
  <si>
    <t>FR97S75E</t>
  </si>
  <si>
    <t>A046</t>
  </si>
  <si>
    <t>FR55E12E</t>
  </si>
  <si>
    <t>A898</t>
  </si>
  <si>
    <t>VALLON DOL</t>
  </si>
  <si>
    <t>FR51E02E</t>
  </si>
  <si>
    <t>FR17E08E</t>
  </si>
  <si>
    <t>F244</t>
  </si>
  <si>
    <t>FR45S04E</t>
  </si>
  <si>
    <t>A310</t>
  </si>
  <si>
    <t>VACH</t>
  </si>
  <si>
    <t>VARISCOURT</t>
  </si>
  <si>
    <t>FR76E98E</t>
  </si>
  <si>
    <t>A104</t>
  </si>
  <si>
    <t>VILLENEUVE LA DONDAGRE</t>
  </si>
  <si>
    <t>FR02E06E</t>
  </si>
  <si>
    <t>FR11E91E</t>
  </si>
  <si>
    <t>A056</t>
  </si>
  <si>
    <t>Retrofit 66K€ / Flashlight 35K€</t>
  </si>
  <si>
    <t>Retrofit 55K€ / Flashlight 15K€</t>
  </si>
  <si>
    <t>Retrofit</t>
  </si>
  <si>
    <t>Retrofit 52K€ / Pale 11K€</t>
  </si>
  <si>
    <t>Retrofit // Date contractuelle ! 01/01 -&gt; 31/12</t>
  </si>
  <si>
    <t>Réparation pale</t>
  </si>
  <si>
    <t>Réparation pales 50K€ / Retrofit 40K€</t>
  </si>
  <si>
    <t>Gastop 15k€</t>
  </si>
  <si>
    <t>Rep Pales 10 k€ + Accompagnement GA : 2,5k€</t>
  </si>
  <si>
    <t>FL 26,5 k€ Gastop 15k€ Rep Pales 10 k€</t>
  </si>
  <si>
    <t>MCR 3&amp;6 GBX</t>
  </si>
  <si>
    <t>62K€ retrofit / 35k€ Flashlight / 20K€ GAStop / 40K€ Réparation pâles / MCR 100K€</t>
  </si>
  <si>
    <t>Retrofit / MCR</t>
  </si>
  <si>
    <t>Gastop 11,5K€</t>
  </si>
  <si>
    <t>Flashlight 35K€</t>
  </si>
  <si>
    <t>Réparation pale 15K€</t>
  </si>
  <si>
    <t>Réparation transformateur 10K€</t>
  </si>
  <si>
    <t>Flashlight 31K€</t>
  </si>
  <si>
    <t>dont Réparation pale 28K€ + gastop 10K€</t>
  </si>
  <si>
    <t>Enveloppe CAPEX EGM (4,6M€)</t>
  </si>
  <si>
    <t>dont Gastop 20K€</t>
  </si>
  <si>
    <t>dont Réparation pale 15K€ / Rlt arrière géné 15K€</t>
  </si>
  <si>
    <t>16.1 CAPEX</t>
  </si>
  <si>
    <t>16.2 CAPEX</t>
  </si>
  <si>
    <t>Parc à l'arret du 28.06 au 23.07 (kevin clément) (marnould 23.06.23)</t>
  </si>
  <si>
    <t>bridages Enviro évolutifs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</si>
</sst>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#,##0.00_ ;\-#,##0.00\ "/>
    <numFmt numFmtId="167" formatCode="0.0%"/>
    <numFmt numFmtId="168" formatCode="#,###,##0,&quot; &quot;;\-#,###,##0,&quot; &quot;"/>
    <numFmt numFmtId="169" formatCode="#,##0_ ;\-#,##0\ "/>
    <numFmt numFmtId="170" formatCode="#\ #00.0&quot;Mw&quot;"/>
    <numFmt numFmtId="171" formatCode="#,##0\ &quot;kWh&quot;"/>
    <numFmt numFmtId="172" formatCode="#,##0\ &quot;MWh&quot;"/>
    <numFmt numFmtId="173" formatCode="0.0"/>
    <numFmt numFmtId="174" formatCode="#,###,###,&quot; &quot;;\-#,###,###,&quot; &quot;"/>
  </numFmts>
  <fonts count="73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FF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8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sz val="11"/>
      <color rgb="FF305496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  <scheme val="minor"/>
    </font>
    <font>
      <b/>
      <sz val="9"/>
      <color indexed="10"/>
      <name val="Tahoma"/>
      <family val="2"/>
    </font>
    <font>
      <sz val="9"/>
      <color indexed="10"/>
      <name val="Tahoma"/>
      <family val="2"/>
    </font>
    <font>
      <b/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  <scheme val="minor"/>
    </font>
    <font>
      <b/>
      <sz val="9"/>
      <color theme="0"/>
      <name val="Calibri"/>
      <family val="2"/>
    </font>
    <font>
      <b/>
      <sz val="9"/>
      <name val="Calibri"/>
      <family val="1"/>
      <charset val="2"/>
    </font>
    <font>
      <b/>
      <sz val="9"/>
      <color theme="0" tint="-4.9989318521683403E-2"/>
      <name val="Calibri"/>
      <family val="2"/>
    </font>
    <font>
      <b/>
      <sz val="9"/>
      <color theme="1" tint="4.9989318521683403E-2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sz val="8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b/>
      <sz val="9"/>
      <color theme="0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8"/>
      <color theme="1" tint="4.9989318521683403E-2"/>
      <name val="Calibri"/>
      <family val="2"/>
      <scheme val="minor"/>
    </font>
    <font>
      <sz val="9"/>
      <color theme="1" tint="4.9989318521683403E-2"/>
      <name val="Calibri"/>
      <family val="2"/>
    </font>
    <font>
      <sz val="16"/>
      <name val="Calibri"/>
      <family val="2"/>
    </font>
    <font>
      <b/>
      <sz val="10"/>
      <color rgb="FF0000FF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D0D0D"/>
      <name val="Calibri"/>
      <family val="2"/>
    </font>
    <font>
      <sz val="9"/>
      <color rgb="FF000000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C6E0B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E5F1"/>
      </patternFill>
    </fill>
    <fill>
      <patternFill patternType="solid">
        <fgColor rgb="FFFAC090"/>
      </patternFill>
    </fill>
    <fill>
      <patternFill patternType="solid">
        <fgColor rgb="FFFAC090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92D050"/>
        <bgColor theme="9"/>
      </patternFill>
    </fill>
    <fill>
      <patternFill patternType="solid">
        <fgColor theme="7" tint="0.39997558519241921"/>
        <bgColor theme="9"/>
      </patternFill>
    </fill>
    <fill>
      <patternFill patternType="solid">
        <fgColor theme="7" tint="-0.249977111117893"/>
        <bgColor theme="9"/>
      </patternFill>
    </fill>
    <fill>
      <patternFill patternType="solid">
        <fgColor rgb="FFFF0000"/>
        <bgColor theme="9"/>
      </patternFill>
    </fill>
    <fill>
      <patternFill patternType="solid">
        <fgColor rgb="FF00B050"/>
        <bgColor theme="9"/>
      </patternFill>
    </fill>
    <fill>
      <patternFill patternType="solid">
        <fgColor theme="7" tint="-0.499984740745262"/>
        <bgColor theme="9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FFFF00"/>
        <b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 tint="0.79998168889431442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000000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lightUp">
        <bgColor theme="0" tint="-0.14999847407452621"/>
      </patternFill>
    </fill>
    <fill>
      <patternFill patternType="lightUp">
        <bgColor theme="0" tint="-0.249977111117893"/>
      </patternFill>
    </fill>
    <fill>
      <patternFill patternType="lightUp"/>
    </fill>
  </fills>
  <borders count="7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hair">
        <color theme="5" tint="-0.24994659260841701"/>
      </top>
      <bottom style="hair">
        <color theme="5" tint="-0.24994659260841701"/>
      </bottom>
      <diagonal/>
    </border>
    <border>
      <left/>
      <right/>
      <top style="thin">
        <color rgb="FF95B3D7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rgb="FF95B3D7"/>
      </top>
      <bottom style="thin">
        <color rgb="FF95B3D7"/>
      </bottom>
      <diagonal/>
    </border>
    <border>
      <left style="thin">
        <color theme="0"/>
      </left>
      <right style="thin">
        <color theme="0"/>
      </right>
      <top style="thin">
        <color theme="6"/>
      </top>
      <bottom/>
      <diagonal/>
    </border>
    <border>
      <left/>
      <right style="thin">
        <color theme="0"/>
      </right>
      <top style="thin">
        <color theme="6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4.9989318521683403E-2"/>
      </bottom>
      <diagonal/>
    </border>
    <border>
      <left/>
      <right/>
      <top style="medium">
        <color indexed="64"/>
      </top>
      <bottom style="dashed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dashed">
        <color theme="0" tint="-4.9989318521683403E-2"/>
      </bottom>
      <diagonal/>
    </border>
    <border>
      <left style="thin">
        <color theme="0"/>
      </left>
      <right/>
      <top style="thin">
        <color theme="6"/>
      </top>
      <bottom/>
      <diagonal/>
    </border>
    <border>
      <left style="thin">
        <color rgb="FFFFFFFF"/>
      </left>
      <right/>
      <top style="thin">
        <color theme="6"/>
      </top>
      <bottom/>
      <diagonal/>
    </border>
    <border>
      <left style="medium">
        <color rgb="FF00000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double">
        <color rgb="FF548235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5">
    <xf numFmtId="0" fontId="0" fillId="0" borderId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0" borderId="0"/>
    <xf numFmtId="9" fontId="1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31">
    <xf numFmtId="0" fontId="0" fillId="0" borderId="0" xfId="0"/>
    <xf numFmtId="0" fontId="2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165" fontId="3" fillId="0" borderId="0" xfId="1" applyNumberFormat="1" applyFont="1" applyFill="1" applyBorder="1"/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2" fillId="0" borderId="6" xfId="0" applyFont="1" applyBorder="1" applyAlignment="1">
      <alignment horizontal="right"/>
    </xf>
    <xf numFmtId="167" fontId="12" fillId="0" borderId="7" xfId="4" applyNumberFormat="1" applyFont="1" applyBorder="1" applyAlignment="1">
      <alignment horizontal="left"/>
    </xf>
    <xf numFmtId="0" fontId="3" fillId="3" borderId="8" xfId="0" applyFont="1" applyFill="1" applyBorder="1" applyAlignment="1">
      <alignment vertical="center"/>
    </xf>
    <xf numFmtId="165" fontId="3" fillId="3" borderId="8" xfId="0" applyNumberFormat="1" applyFont="1" applyFill="1" applyBorder="1" applyAlignment="1">
      <alignment vertical="center"/>
    </xf>
    <xf numFmtId="0" fontId="6" fillId="12" borderId="0" xfId="0" applyFont="1" applyFill="1" applyAlignment="1">
      <alignment horizontal="center" vertical="center" wrapText="1"/>
    </xf>
    <xf numFmtId="166" fontId="0" fillId="12" borderId="0" xfId="1" applyNumberFormat="1" applyFont="1" applyFill="1" applyBorder="1"/>
    <xf numFmtId="166" fontId="3" fillId="12" borderId="0" xfId="1" applyNumberFormat="1" applyFont="1" applyFill="1" applyBorder="1"/>
    <xf numFmtId="0" fontId="13" fillId="0" borderId="0" xfId="5" applyFont="1" applyAlignment="1">
      <alignment horizontal="center" vertical="center"/>
    </xf>
    <xf numFmtId="0" fontId="14" fillId="0" borderId="0" xfId="5"/>
    <xf numFmtId="0" fontId="2" fillId="0" borderId="0" xfId="0" applyFont="1" applyAlignment="1">
      <alignment horizontal="center" vertical="center" wrapText="1"/>
    </xf>
    <xf numFmtId="169" fontId="3" fillId="12" borderId="0" xfId="0" applyNumberFormat="1" applyFont="1" applyFill="1" applyAlignment="1">
      <alignment vertical="center"/>
    </xf>
    <xf numFmtId="165" fontId="8" fillId="0" borderId="0" xfId="1" applyNumberFormat="1" applyFont="1" applyFill="1" applyBorder="1"/>
    <xf numFmtId="165" fontId="6" fillId="0" borderId="0" xfId="1" applyNumberFormat="1" applyFont="1" applyFill="1" applyBorder="1"/>
    <xf numFmtId="165" fontId="0" fillId="0" borderId="0" xfId="1" applyNumberFormat="1" applyFont="1" applyAlignment="1">
      <alignment vertical="center"/>
    </xf>
    <xf numFmtId="166" fontId="3" fillId="12" borderId="0" xfId="0" applyNumberFormat="1" applyFont="1" applyFill="1"/>
    <xf numFmtId="0" fontId="2" fillId="0" borderId="5" xfId="0" applyFont="1" applyBorder="1" applyAlignment="1">
      <alignment horizontal="center" vertical="center" wrapText="1"/>
    </xf>
    <xf numFmtId="165" fontId="8" fillId="0" borderId="0" xfId="0" applyNumberFormat="1" applyFont="1"/>
    <xf numFmtId="0" fontId="22" fillId="0" borderId="0" xfId="0" applyFont="1"/>
    <xf numFmtId="0" fontId="23" fillId="18" borderId="0" xfId="0" applyFont="1" applyFill="1"/>
    <xf numFmtId="0" fontId="23" fillId="0" borderId="0" xfId="0" applyFont="1"/>
    <xf numFmtId="0" fontId="26" fillId="0" borderId="0" xfId="0" applyFont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4" borderId="0" xfId="0" applyFill="1"/>
    <xf numFmtId="0" fontId="0" fillId="13" borderId="0" xfId="0" applyFill="1"/>
    <xf numFmtId="0" fontId="0" fillId="25" borderId="0" xfId="0" applyFill="1"/>
    <xf numFmtId="0" fontId="0" fillId="0" borderId="25" xfId="0" applyBorder="1"/>
    <xf numFmtId="0" fontId="0" fillId="0" borderId="26" xfId="0" applyBorder="1"/>
    <xf numFmtId="0" fontId="0" fillId="24" borderId="25" xfId="0" applyFill="1" applyBorder="1"/>
    <xf numFmtId="0" fontId="0" fillId="13" borderId="25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Border="1" applyAlignment="1">
      <alignment horizontal="right"/>
    </xf>
    <xf numFmtId="0" fontId="26" fillId="0" borderId="0" xfId="0" applyFont="1" applyAlignment="1">
      <alignment horizontal="left" wrapText="1"/>
    </xf>
    <xf numFmtId="0" fontId="23" fillId="2" borderId="0" xfId="0" applyFont="1" applyFill="1"/>
    <xf numFmtId="0" fontId="0" fillId="0" borderId="0" xfId="0" applyAlignment="1">
      <alignment wrapText="1"/>
    </xf>
    <xf numFmtId="0" fontId="14" fillId="0" borderId="0" xfId="5" applyAlignment="1">
      <alignment horizontal="left" vertical="center"/>
    </xf>
    <xf numFmtId="0" fontId="3" fillId="0" borderId="0" xfId="5" applyFont="1" applyAlignment="1">
      <alignment horizontal="center" vertical="center"/>
    </xf>
    <xf numFmtId="0" fontId="33" fillId="27" borderId="0" xfId="5" applyFont="1" applyFill="1" applyAlignment="1">
      <alignment horizontal="center" vertical="center" wrapText="1"/>
    </xf>
    <xf numFmtId="0" fontId="33" fillId="27" borderId="0" xfId="5" applyFont="1" applyFill="1" applyAlignment="1">
      <alignment vertical="center" wrapText="1"/>
    </xf>
    <xf numFmtId="0" fontId="19" fillId="28" borderId="0" xfId="5" applyFont="1" applyFill="1" applyAlignment="1">
      <alignment horizontal="left" vertical="center" wrapText="1"/>
    </xf>
    <xf numFmtId="0" fontId="13" fillId="0" borderId="0" xfId="5" applyFont="1" applyAlignment="1">
      <alignment horizontal="left" vertical="center"/>
    </xf>
    <xf numFmtId="0" fontId="33" fillId="0" borderId="0" xfId="5" applyFont="1" applyAlignment="1">
      <alignment vertical="center"/>
    </xf>
    <xf numFmtId="0" fontId="33" fillId="0" borderId="30" xfId="5" applyFont="1" applyBorder="1" applyAlignment="1">
      <alignment vertical="center"/>
    </xf>
    <xf numFmtId="10" fontId="9" fillId="0" borderId="0" xfId="10" applyNumberFormat="1" applyFont="1" applyFill="1" applyAlignment="1">
      <alignment horizontal="right" vertical="center"/>
    </xf>
    <xf numFmtId="10" fontId="3" fillId="0" borderId="0" xfId="10" applyNumberFormat="1" applyFont="1" applyFill="1" applyBorder="1" applyAlignment="1">
      <alignment horizontal="center" vertical="center"/>
    </xf>
    <xf numFmtId="170" fontId="14" fillId="0" borderId="0" xfId="5" applyNumberFormat="1" applyAlignment="1">
      <alignment horizontal="center" vertical="center"/>
    </xf>
    <xf numFmtId="170" fontId="14" fillId="0" borderId="0" xfId="5" applyNumberFormat="1" applyAlignment="1">
      <alignment vertical="center"/>
    </xf>
    <xf numFmtId="171" fontId="34" fillId="12" borderId="31" xfId="5" applyNumberFormat="1" applyFont="1" applyFill="1" applyBorder="1" applyAlignment="1">
      <alignment vertical="center"/>
    </xf>
    <xf numFmtId="0" fontId="33" fillId="0" borderId="0" xfId="5" applyFont="1" applyAlignment="1">
      <alignment horizontal="left" vertical="center"/>
    </xf>
    <xf numFmtId="0" fontId="33" fillId="0" borderId="30" xfId="5" applyFont="1" applyBorder="1" applyAlignment="1">
      <alignment horizontal="left" vertical="center"/>
    </xf>
    <xf numFmtId="10" fontId="18" fillId="0" borderId="0" xfId="5" applyNumberFormat="1" applyFont="1" applyAlignment="1">
      <alignment horizontal="right" vertical="center"/>
    </xf>
    <xf numFmtId="10" fontId="3" fillId="0" borderId="0" xfId="10" applyNumberFormat="1" applyFont="1" applyFill="1" applyAlignment="1">
      <alignment horizontal="center" vertical="center"/>
    </xf>
    <xf numFmtId="170" fontId="14" fillId="0" borderId="30" xfId="5" applyNumberFormat="1" applyBorder="1" applyAlignment="1">
      <alignment vertical="center"/>
    </xf>
    <xf numFmtId="170" fontId="14" fillId="0" borderId="30" xfId="5" applyNumberFormat="1" applyBorder="1" applyAlignment="1">
      <alignment horizontal="center" vertical="center"/>
    </xf>
    <xf numFmtId="10" fontId="35" fillId="0" borderId="0" xfId="5" applyNumberFormat="1" applyFont="1" applyAlignment="1">
      <alignment horizontal="right" vertical="center"/>
    </xf>
    <xf numFmtId="171" fontId="34" fillId="12" borderId="30" xfId="5" applyNumberFormat="1" applyFont="1" applyFill="1" applyBorder="1" applyAlignment="1">
      <alignment vertical="center"/>
    </xf>
    <xf numFmtId="170" fontId="14" fillId="0" borderId="32" xfId="5" applyNumberFormat="1" applyBorder="1" applyAlignment="1">
      <alignment vertical="center"/>
    </xf>
    <xf numFmtId="10" fontId="0" fillId="0" borderId="0" xfId="11" applyNumberFormat="1" applyFont="1" applyFill="1" applyAlignment="1">
      <alignment horizontal="right" vertical="center"/>
    </xf>
    <xf numFmtId="171" fontId="13" fillId="0" borderId="0" xfId="5" applyNumberFormat="1" applyFont="1" applyAlignment="1">
      <alignment horizontal="center" vertical="center"/>
    </xf>
    <xf numFmtId="0" fontId="13" fillId="0" borderId="30" xfId="5" applyFont="1" applyBorder="1" applyAlignment="1">
      <alignment horizontal="center" vertical="center"/>
    </xf>
    <xf numFmtId="0" fontId="14" fillId="0" borderId="0" xfId="5" applyAlignment="1">
      <alignment vertical="center"/>
    </xf>
    <xf numFmtId="171" fontId="36" fillId="12" borderId="31" xfId="5" applyNumberFormat="1" applyFont="1" applyFill="1" applyBorder="1" applyAlignment="1">
      <alignment vertical="center"/>
    </xf>
    <xf numFmtId="165" fontId="13" fillId="0" borderId="0" xfId="8" applyNumberFormat="1" applyFont="1" applyAlignment="1">
      <alignment horizontal="center" vertical="center"/>
    </xf>
    <xf numFmtId="0" fontId="2" fillId="0" borderId="30" xfId="5" applyFont="1" applyBorder="1" applyAlignment="1">
      <alignment vertical="center"/>
    </xf>
    <xf numFmtId="0" fontId="33" fillId="0" borderId="30" xfId="12" applyFont="1" applyBorder="1" applyAlignment="1">
      <alignment vertical="center"/>
    </xf>
    <xf numFmtId="170" fontId="13" fillId="0" borderId="0" xfId="5" applyNumberFormat="1" applyFont="1" applyAlignment="1">
      <alignment horizontal="center" vertical="center"/>
    </xf>
    <xf numFmtId="170" fontId="13" fillId="0" borderId="30" xfId="5" applyNumberFormat="1" applyFont="1" applyBorder="1" applyAlignment="1">
      <alignment horizontal="center" vertical="center"/>
    </xf>
    <xf numFmtId="0" fontId="14" fillId="0" borderId="30" xfId="5" applyBorder="1" applyAlignment="1">
      <alignment vertical="center"/>
    </xf>
    <xf numFmtId="0" fontId="33" fillId="0" borderId="32" xfId="5" applyFont="1" applyBorder="1" applyAlignment="1">
      <alignment horizontal="left" vertical="center"/>
    </xf>
    <xf numFmtId="10" fontId="3" fillId="0" borderId="11" xfId="10" applyNumberFormat="1" applyFont="1" applyFill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33" fillId="0" borderId="32" xfId="5" applyFont="1" applyBorder="1" applyAlignment="1">
      <alignment vertical="center"/>
    </xf>
    <xf numFmtId="170" fontId="13" fillId="0" borderId="32" xfId="5" applyNumberFormat="1" applyFont="1" applyBorder="1" applyAlignment="1">
      <alignment horizontal="center" vertical="center"/>
    </xf>
    <xf numFmtId="171" fontId="37" fillId="12" borderId="31" xfId="5" applyNumberFormat="1" applyFont="1" applyFill="1" applyBorder="1" applyAlignment="1">
      <alignment vertical="center"/>
    </xf>
    <xf numFmtId="0" fontId="33" fillId="0" borderId="33" xfId="5" applyFont="1" applyBorder="1" applyAlignment="1">
      <alignment vertical="center"/>
    </xf>
    <xf numFmtId="0" fontId="33" fillId="0" borderId="1" xfId="5" applyFont="1" applyBorder="1" applyAlignment="1">
      <alignment horizontal="left" vertical="center"/>
    </xf>
    <xf numFmtId="0" fontId="33" fillId="0" borderId="33" xfId="5" applyFont="1" applyBorder="1" applyAlignment="1">
      <alignment horizontal="left" vertical="center"/>
    </xf>
    <xf numFmtId="10" fontId="19" fillId="0" borderId="0" xfId="10" applyNumberFormat="1" applyFont="1" applyFill="1" applyBorder="1" applyAlignment="1">
      <alignment horizontal="right" vertical="center"/>
    </xf>
    <xf numFmtId="0" fontId="2" fillId="0" borderId="0" xfId="5" applyFont="1" applyAlignment="1">
      <alignment horizontal="left" vertical="center"/>
    </xf>
    <xf numFmtId="0" fontId="2" fillId="0" borderId="30" xfId="5" applyFont="1" applyBorder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0" xfId="5" applyFont="1" applyAlignment="1">
      <alignment horizontal="center" vertical="center"/>
    </xf>
    <xf numFmtId="170" fontId="14" fillId="0" borderId="32" xfId="5" applyNumberFormat="1" applyBorder="1" applyAlignment="1">
      <alignment horizontal="center" vertical="center"/>
    </xf>
    <xf numFmtId="172" fontId="14" fillId="29" borderId="0" xfId="5" applyNumberFormat="1" applyFill="1" applyAlignment="1">
      <alignment vertical="center"/>
    </xf>
    <xf numFmtId="0" fontId="14" fillId="0" borderId="0" xfId="5" applyAlignment="1">
      <alignment horizontal="center" vertical="center"/>
    </xf>
    <xf numFmtId="10" fontId="38" fillId="0" borderId="0" xfId="5" applyNumberFormat="1" applyFont="1" applyAlignment="1">
      <alignment horizontal="center" vertical="center"/>
    </xf>
    <xf numFmtId="0" fontId="39" fillId="30" borderId="4" xfId="5" applyFont="1" applyFill="1" applyBorder="1" applyAlignment="1">
      <alignment horizontal="left" vertical="center"/>
    </xf>
    <xf numFmtId="0" fontId="39" fillId="30" borderId="34" xfId="5" applyFont="1" applyFill="1" applyBorder="1" applyAlignment="1">
      <alignment horizontal="left" vertical="center"/>
    </xf>
    <xf numFmtId="10" fontId="35" fillId="30" borderId="1" xfId="5" applyNumberFormat="1" applyFont="1" applyFill="1" applyBorder="1" applyAlignment="1">
      <alignment horizontal="center" vertical="center"/>
    </xf>
    <xf numFmtId="0" fontId="40" fillId="0" borderId="0" xfId="5" applyFont="1" applyAlignment="1">
      <alignment horizontal="left" vertical="center"/>
    </xf>
    <xf numFmtId="10" fontId="0" fillId="0" borderId="0" xfId="11" applyNumberFormat="1" applyFont="1" applyAlignment="1">
      <alignment vertical="center"/>
    </xf>
    <xf numFmtId="164" fontId="13" fillId="0" borderId="0" xfId="8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0" xfId="0" applyNumberFormat="1" applyFont="1"/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3" xfId="0" applyFont="1" applyFill="1" applyBorder="1" applyAlignment="1">
      <alignment vertical="center"/>
    </xf>
    <xf numFmtId="164" fontId="8" fillId="0" borderId="0" xfId="1" applyFont="1" applyFill="1" applyBorder="1"/>
    <xf numFmtId="0" fontId="30" fillId="0" borderId="0" xfId="0" applyFont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39" borderId="43" xfId="0" applyFont="1" applyFill="1" applyBorder="1" applyAlignment="1">
      <alignment horizontal="center" vertical="center" wrapText="1"/>
    </xf>
    <xf numFmtId="0" fontId="3" fillId="39" borderId="44" xfId="0" applyFont="1" applyFill="1" applyBorder="1" applyAlignment="1">
      <alignment horizontal="center" vertical="center" wrapText="1"/>
    </xf>
    <xf numFmtId="0" fontId="6" fillId="24" borderId="43" xfId="0" applyFont="1" applyFill="1" applyBorder="1" applyAlignment="1">
      <alignment horizontal="center" vertical="center" wrapText="1"/>
    </xf>
    <xf numFmtId="0" fontId="6" fillId="40" borderId="1" xfId="0" applyFont="1" applyFill="1" applyBorder="1" applyAlignment="1">
      <alignment horizontal="center" vertical="center" wrapText="1"/>
    </xf>
    <xf numFmtId="0" fontId="6" fillId="24" borderId="44" xfId="0" applyFont="1" applyFill="1" applyBorder="1" applyAlignment="1">
      <alignment horizontal="center" vertical="center" wrapText="1"/>
    </xf>
    <xf numFmtId="0" fontId="3" fillId="41" borderId="43" xfId="0" applyFont="1" applyFill="1" applyBorder="1" applyAlignment="1">
      <alignment horizontal="center" vertical="center" wrapText="1"/>
    </xf>
    <xf numFmtId="0" fontId="3" fillId="42" borderId="1" xfId="0" applyFont="1" applyFill="1" applyBorder="1" applyAlignment="1">
      <alignment horizontal="center" vertical="center" wrapText="1"/>
    </xf>
    <xf numFmtId="0" fontId="3" fillId="41" borderId="44" xfId="0" applyFont="1" applyFill="1" applyBorder="1" applyAlignment="1">
      <alignment horizontal="center" vertical="center" wrapText="1"/>
    </xf>
    <xf numFmtId="174" fontId="50" fillId="35" borderId="38" xfId="14" applyNumberFormat="1" applyFont="1" applyFill="1" applyBorder="1" applyAlignment="1">
      <alignment horizontal="center" vertical="center" wrapText="1"/>
    </xf>
    <xf numFmtId="0" fontId="3" fillId="39" borderId="1" xfId="0" applyFont="1" applyFill="1" applyBorder="1" applyAlignment="1">
      <alignment horizontal="center" vertical="center" wrapText="1"/>
    </xf>
    <xf numFmtId="0" fontId="16" fillId="24" borderId="4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165" fontId="49" fillId="36" borderId="51" xfId="14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5" fontId="52" fillId="0" borderId="46" xfId="0" applyNumberFormat="1" applyFont="1" applyBorder="1" applyAlignment="1">
      <alignment vertical="center"/>
    </xf>
    <xf numFmtId="165" fontId="52" fillId="0" borderId="47" xfId="0" applyNumberFormat="1" applyFont="1" applyBorder="1" applyAlignment="1">
      <alignment vertical="center"/>
    </xf>
    <xf numFmtId="165" fontId="52" fillId="0" borderId="48" xfId="0" applyNumberFormat="1" applyFon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0" fontId="8" fillId="9" borderId="21" xfId="0" applyFont="1" applyFill="1" applyBorder="1" applyAlignment="1">
      <alignment horizontal="center" vertical="center" wrapText="1"/>
    </xf>
    <xf numFmtId="0" fontId="8" fillId="9" borderId="45" xfId="0" applyFont="1" applyFill="1" applyBorder="1" applyAlignment="1">
      <alignment horizontal="center" vertical="center" wrapText="1"/>
    </xf>
    <xf numFmtId="0" fontId="3" fillId="41" borderId="0" xfId="0" applyFont="1" applyFill="1" applyAlignment="1">
      <alignment horizontal="center" vertical="center" wrapText="1"/>
    </xf>
    <xf numFmtId="174" fontId="50" fillId="34" borderId="52" xfId="14" applyNumberFormat="1" applyFont="1" applyFill="1" applyBorder="1" applyAlignment="1">
      <alignment horizontal="center" vertical="center" wrapText="1"/>
    </xf>
    <xf numFmtId="174" fontId="50" fillId="35" borderId="53" xfId="14" applyNumberFormat="1" applyFont="1" applyFill="1" applyBorder="1" applyAlignment="1">
      <alignment horizontal="center" vertical="center" wrapText="1"/>
    </xf>
    <xf numFmtId="174" fontId="50" fillId="34" borderId="53" xfId="14" applyNumberFormat="1" applyFont="1" applyFill="1" applyBorder="1" applyAlignment="1">
      <alignment horizontal="center" vertical="center" wrapText="1"/>
    </xf>
    <xf numFmtId="0" fontId="53" fillId="39" borderId="43" xfId="0" applyFont="1" applyFill="1" applyBorder="1" applyAlignment="1">
      <alignment horizontal="center" vertical="center" wrapText="1"/>
    </xf>
    <xf numFmtId="0" fontId="54" fillId="39" borderId="1" xfId="0" applyFont="1" applyFill="1" applyBorder="1" applyAlignment="1">
      <alignment horizontal="center" vertical="center" wrapText="1"/>
    </xf>
    <xf numFmtId="0" fontId="3" fillId="39" borderId="9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3" fillId="39" borderId="2" xfId="0" applyFont="1" applyFill="1" applyBorder="1" applyAlignment="1">
      <alignment horizontal="center" vertical="center" wrapText="1"/>
    </xf>
    <xf numFmtId="0" fontId="55" fillId="39" borderId="54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3" fillId="41" borderId="21" xfId="0" applyFont="1" applyFill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165" fontId="18" fillId="14" borderId="0" xfId="1" applyNumberFormat="1" applyFont="1" applyFill="1" applyBorder="1" applyAlignment="1">
      <alignment horizontal="center" vertical="center" wrapText="1"/>
    </xf>
    <xf numFmtId="0" fontId="2" fillId="31" borderId="37" xfId="0" applyFont="1" applyFill="1" applyBorder="1" applyAlignment="1">
      <alignment horizontal="center" vertical="center" wrapText="1"/>
    </xf>
    <xf numFmtId="0" fontId="2" fillId="31" borderId="3" xfId="0" applyFont="1" applyFill="1" applyBorder="1" applyAlignment="1">
      <alignment horizontal="center" vertical="center" wrapText="1"/>
    </xf>
    <xf numFmtId="0" fontId="2" fillId="31" borderId="58" xfId="0" applyFont="1" applyFill="1" applyBorder="1" applyAlignment="1">
      <alignment horizontal="center" vertical="center" wrapText="1"/>
    </xf>
    <xf numFmtId="0" fontId="2" fillId="31" borderId="5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 wrapText="1"/>
    </xf>
    <xf numFmtId="165" fontId="32" fillId="26" borderId="25" xfId="0" applyNumberFormat="1" applyFont="1" applyFill="1" applyBorder="1" applyAlignment="1">
      <alignment horizontal="center" vertical="center" wrapText="1"/>
    </xf>
    <xf numFmtId="165" fontId="32" fillId="26" borderId="3" xfId="0" applyNumberFormat="1" applyFont="1" applyFill="1" applyBorder="1" applyAlignment="1">
      <alignment horizontal="center" vertical="center" wrapText="1"/>
    </xf>
    <xf numFmtId="165" fontId="32" fillId="9" borderId="3" xfId="0" applyNumberFormat="1" applyFont="1" applyFill="1" applyBorder="1" applyAlignment="1">
      <alignment horizontal="center" vertical="center" wrapText="1"/>
    </xf>
    <xf numFmtId="165" fontId="32" fillId="6" borderId="25" xfId="1" applyNumberFormat="1" applyFont="1" applyFill="1" applyBorder="1" applyAlignment="1">
      <alignment horizontal="center" vertical="center" wrapText="1"/>
    </xf>
    <xf numFmtId="165" fontId="46" fillId="5" borderId="25" xfId="0" applyNumberFormat="1" applyFont="1" applyFill="1" applyBorder="1" applyAlignment="1">
      <alignment horizontal="center" vertical="center" wrapText="1"/>
    </xf>
    <xf numFmtId="49" fontId="46" fillId="5" borderId="3" xfId="0" applyNumberFormat="1" applyFont="1" applyFill="1" applyBorder="1" applyAlignment="1">
      <alignment horizontal="center" vertical="center" wrapText="1"/>
    </xf>
    <xf numFmtId="0" fontId="46" fillId="5" borderId="3" xfId="0" applyFont="1" applyFill="1" applyBorder="1" applyAlignment="1">
      <alignment horizontal="center" vertical="center" wrapText="1"/>
    </xf>
    <xf numFmtId="165" fontId="46" fillId="5" borderId="3" xfId="0" applyNumberFormat="1" applyFont="1" applyFill="1" applyBorder="1" applyAlignment="1">
      <alignment horizontal="center" vertical="center" wrapText="1"/>
    </xf>
    <xf numFmtId="165" fontId="2" fillId="31" borderId="25" xfId="1" applyNumberFormat="1" applyFont="1" applyFill="1" applyBorder="1" applyAlignment="1">
      <alignment horizontal="center" vertical="center" wrapText="1"/>
    </xf>
    <xf numFmtId="165" fontId="46" fillId="21" borderId="25" xfId="0" applyNumberFormat="1" applyFont="1" applyFill="1" applyBorder="1" applyAlignment="1">
      <alignment horizontal="center" vertical="center" wrapText="1"/>
    </xf>
    <xf numFmtId="165" fontId="46" fillId="21" borderId="3" xfId="0" applyNumberFormat="1" applyFont="1" applyFill="1" applyBorder="1" applyAlignment="1">
      <alignment horizontal="center" vertical="center" wrapText="1"/>
    </xf>
    <xf numFmtId="165" fontId="46" fillId="16" borderId="3" xfId="0" applyNumberFormat="1" applyFont="1" applyFill="1" applyBorder="1" applyAlignment="1">
      <alignment horizontal="center" vertical="center" wrapText="1"/>
    </xf>
    <xf numFmtId="165" fontId="2" fillId="7" borderId="58" xfId="1" applyNumberFormat="1" applyFont="1" applyFill="1" applyBorder="1" applyAlignment="1">
      <alignment horizontal="center" vertical="center" wrapText="1"/>
    </xf>
    <xf numFmtId="0" fontId="32" fillId="12" borderId="3" xfId="0" applyFont="1" applyFill="1" applyBorder="1" applyAlignment="1">
      <alignment horizontal="center" vertical="center" wrapText="1"/>
    </xf>
    <xf numFmtId="165" fontId="31" fillId="2" borderId="3" xfId="1" applyNumberFormat="1" applyFont="1" applyFill="1" applyBorder="1" applyAlignment="1">
      <alignment horizontal="center" vertical="center" wrapText="1"/>
    </xf>
    <xf numFmtId="0" fontId="43" fillId="15" borderId="3" xfId="0" applyFont="1" applyFill="1" applyBorder="1" applyAlignment="1">
      <alignment horizontal="center" vertical="center" wrapText="1"/>
    </xf>
    <xf numFmtId="0" fontId="2" fillId="32" borderId="59" xfId="0" applyFont="1" applyFill="1" applyBorder="1" applyAlignment="1">
      <alignment horizontal="center" vertical="center" wrapText="1"/>
    </xf>
    <xf numFmtId="0" fontId="2" fillId="32" borderId="58" xfId="0" applyFont="1" applyFill="1" applyBorder="1" applyAlignment="1">
      <alignment horizontal="center" vertical="center" wrapText="1"/>
    </xf>
    <xf numFmtId="0" fontId="2" fillId="32" borderId="5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 wrapText="1"/>
    </xf>
    <xf numFmtId="165" fontId="6" fillId="26" borderId="60" xfId="0" applyNumberFormat="1" applyFont="1" applyFill="1" applyBorder="1" applyAlignment="1">
      <alignment horizontal="center" vertical="center" wrapText="1"/>
    </xf>
    <xf numFmtId="165" fontId="6" fillId="26" borderId="39" xfId="0" applyNumberFormat="1" applyFont="1" applyFill="1" applyBorder="1" applyAlignment="1">
      <alignment horizontal="center" vertical="center" wrapText="1"/>
    </xf>
    <xf numFmtId="165" fontId="6" fillId="9" borderId="39" xfId="0" applyNumberFormat="1" applyFont="1" applyFill="1" applyBorder="1" applyAlignment="1">
      <alignment horizontal="center" vertical="center" wrapText="1"/>
    </xf>
    <xf numFmtId="165" fontId="6" fillId="6" borderId="22" xfId="1" applyNumberFormat="1" applyFont="1" applyFill="1" applyBorder="1" applyAlignment="1">
      <alignment horizontal="center" vertical="center" wrapText="1"/>
    </xf>
    <xf numFmtId="165" fontId="7" fillId="5" borderId="60" xfId="0" applyNumberFormat="1" applyFont="1" applyFill="1" applyBorder="1" applyAlignment="1">
      <alignment horizontal="center" vertical="center" wrapText="1"/>
    </xf>
    <xf numFmtId="49" fontId="7" fillId="5" borderId="39" xfId="0" applyNumberFormat="1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165" fontId="7" fillId="5" borderId="39" xfId="0" applyNumberFormat="1" applyFont="1" applyFill="1" applyBorder="1" applyAlignment="1">
      <alignment horizontal="center" vertical="center" wrapText="1"/>
    </xf>
    <xf numFmtId="165" fontId="16" fillId="32" borderId="22" xfId="1" applyNumberFormat="1" applyFont="1" applyFill="1" applyBorder="1" applyAlignment="1">
      <alignment horizontal="center" vertical="center" wrapText="1"/>
    </xf>
    <xf numFmtId="165" fontId="7" fillId="21" borderId="60" xfId="0" applyNumberFormat="1" applyFont="1" applyFill="1" applyBorder="1" applyAlignment="1">
      <alignment horizontal="center" vertical="center" wrapText="1"/>
    </xf>
    <xf numFmtId="165" fontId="7" fillId="21" borderId="39" xfId="0" applyNumberFormat="1" applyFont="1" applyFill="1" applyBorder="1" applyAlignment="1">
      <alignment horizontal="center" vertical="center" wrapText="1"/>
    </xf>
    <xf numFmtId="165" fontId="7" fillId="16" borderId="39" xfId="0" applyNumberFormat="1" applyFont="1" applyFill="1" applyBorder="1" applyAlignment="1">
      <alignment horizontal="center" vertical="center" wrapText="1"/>
    </xf>
    <xf numFmtId="165" fontId="2" fillId="7" borderId="40" xfId="1" applyNumberFormat="1" applyFont="1" applyFill="1" applyBorder="1" applyAlignment="1">
      <alignment horizontal="center" vertical="center" wrapText="1"/>
    </xf>
    <xf numFmtId="0" fontId="6" fillId="12" borderId="61" xfId="0" applyFont="1" applyFill="1" applyBorder="1" applyAlignment="1">
      <alignment horizontal="center" vertical="center" wrapText="1"/>
    </xf>
    <xf numFmtId="165" fontId="5" fillId="2" borderId="40" xfId="1" applyNumberFormat="1" applyFont="1" applyFill="1" applyBorder="1" applyAlignment="1">
      <alignment horizontal="center" vertical="center" wrapText="1"/>
    </xf>
    <xf numFmtId="0" fontId="8" fillId="15" borderId="62" xfId="0" applyFont="1" applyFill="1" applyBorder="1" applyAlignment="1">
      <alignment horizontal="center" vertical="center" wrapText="1"/>
    </xf>
    <xf numFmtId="168" fontId="6" fillId="14" borderId="63" xfId="0" applyNumberFormat="1" applyFont="1" applyFill="1" applyBorder="1" applyAlignment="1">
      <alignment horizontal="center" vertical="center" wrapText="1"/>
    </xf>
    <xf numFmtId="165" fontId="3" fillId="26" borderId="11" xfId="0" applyNumberFormat="1" applyFont="1" applyFill="1" applyBorder="1" applyAlignment="1">
      <alignment horizontal="center" vertical="center" wrapText="1"/>
    </xf>
    <xf numFmtId="165" fontId="3" fillId="9" borderId="11" xfId="0" applyNumberFormat="1" applyFont="1" applyFill="1" applyBorder="1" applyAlignment="1">
      <alignment horizontal="center" vertical="center" wrapText="1"/>
    </xf>
    <xf numFmtId="165" fontId="3" fillId="6" borderId="63" xfId="1" applyNumberFormat="1" applyFont="1" applyFill="1" applyBorder="1" applyAlignment="1">
      <alignment horizontal="center" vertical="center" wrapText="1"/>
    </xf>
    <xf numFmtId="168" fontId="21" fillId="19" borderId="63" xfId="0" applyNumberFormat="1" applyFont="1" applyFill="1" applyBorder="1" applyAlignment="1">
      <alignment horizontal="center" vertical="center" wrapText="1"/>
    </xf>
    <xf numFmtId="165" fontId="7" fillId="5" borderId="11" xfId="0" applyNumberFormat="1" applyFont="1" applyFill="1" applyBorder="1" applyAlignment="1">
      <alignment horizontal="center" vertical="center" wrapText="1"/>
    </xf>
    <xf numFmtId="165" fontId="2" fillId="5" borderId="63" xfId="1" applyNumberFormat="1" applyFont="1" applyFill="1" applyBorder="1" applyAlignment="1">
      <alignment horizontal="center" vertical="center" wrapText="1"/>
    </xf>
    <xf numFmtId="165" fontId="7" fillId="21" borderId="11" xfId="0" applyNumberFormat="1" applyFont="1" applyFill="1" applyBorder="1" applyAlignment="1">
      <alignment horizontal="center" vertical="center" wrapText="1"/>
    </xf>
    <xf numFmtId="165" fontId="0" fillId="16" borderId="11" xfId="0" applyNumberFormat="1" applyFill="1" applyBorder="1" applyAlignment="1">
      <alignment horizontal="center" vertical="center" wrapText="1"/>
    </xf>
    <xf numFmtId="165" fontId="7" fillId="16" borderId="11" xfId="0" applyNumberFormat="1" applyFont="1" applyFill="1" applyBorder="1" applyAlignment="1">
      <alignment horizontal="center" vertical="center" wrapText="1"/>
    </xf>
    <xf numFmtId="165" fontId="2" fillId="10" borderId="64" xfId="1" applyNumberFormat="1" applyFont="1" applyFill="1" applyBorder="1" applyAlignment="1">
      <alignment horizontal="center" vertical="center" wrapText="1"/>
    </xf>
    <xf numFmtId="165" fontId="0" fillId="12" borderId="11" xfId="0" applyNumberFormat="1" applyFill="1" applyBorder="1" applyAlignment="1">
      <alignment horizontal="center" vertical="center" wrapText="1"/>
    </xf>
    <xf numFmtId="165" fontId="5" fillId="2" borderId="64" xfId="1" applyNumberFormat="1" applyFont="1" applyFill="1" applyBorder="1" applyAlignment="1">
      <alignment horizontal="center" vertical="center" wrapText="1"/>
    </xf>
    <xf numFmtId="165" fontId="8" fillId="15" borderId="64" xfId="0" applyNumberFormat="1" applyFont="1" applyFill="1" applyBorder="1" applyAlignment="1">
      <alignment horizontal="center" vertical="center" wrapText="1"/>
    </xf>
    <xf numFmtId="0" fontId="16" fillId="32" borderId="58" xfId="0" applyFont="1" applyFill="1" applyBorder="1" applyAlignment="1">
      <alignment horizontal="center" vertical="center" wrapText="1"/>
    </xf>
    <xf numFmtId="0" fontId="16" fillId="32" borderId="58" xfId="0" applyFont="1" applyFill="1" applyBorder="1" applyAlignment="1">
      <alignment horizontal="center" vertical="center"/>
    </xf>
    <xf numFmtId="0" fontId="16" fillId="32" borderId="11" xfId="0" applyFont="1" applyFill="1" applyBorder="1" applyAlignment="1">
      <alignment horizontal="center" vertical="center" wrapText="1"/>
    </xf>
    <xf numFmtId="168" fontId="24" fillId="19" borderId="40" xfId="0" applyNumberFormat="1" applyFont="1" applyFill="1" applyBorder="1" applyAlignment="1">
      <alignment horizontal="center" vertical="center" wrapText="1"/>
    </xf>
    <xf numFmtId="165" fontId="6" fillId="6" borderId="40" xfId="1" applyNumberFormat="1" applyFont="1" applyFill="1" applyBorder="1" applyAlignment="1">
      <alignment horizontal="center" vertical="center" wrapText="1"/>
    </xf>
    <xf numFmtId="168" fontId="24" fillId="19" borderId="66" xfId="0" applyNumberFormat="1" applyFont="1" applyFill="1" applyBorder="1" applyAlignment="1">
      <alignment horizontal="center" vertical="center" wrapText="1"/>
    </xf>
    <xf numFmtId="165" fontId="7" fillId="5" borderId="65" xfId="0" applyNumberFormat="1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165" fontId="2" fillId="32" borderId="40" xfId="1" applyNumberFormat="1" applyFont="1" applyFill="1" applyBorder="1" applyAlignment="1">
      <alignment horizontal="center" vertical="center" wrapText="1"/>
    </xf>
    <xf numFmtId="165" fontId="0" fillId="12" borderId="65" xfId="0" applyNumberFormat="1" applyFill="1" applyBorder="1" applyAlignment="1">
      <alignment horizontal="center" vertical="center" wrapText="1"/>
    </xf>
    <xf numFmtId="165" fontId="31" fillId="2" borderId="40" xfId="1" applyNumberFormat="1" applyFont="1" applyFill="1" applyBorder="1" applyAlignment="1">
      <alignment horizontal="center" vertical="center" wrapText="1"/>
    </xf>
    <xf numFmtId="0" fontId="43" fillId="15" borderId="62" xfId="0" applyFont="1" applyFill="1" applyBorder="1" applyAlignment="1">
      <alignment horizontal="center" vertical="center" wrapText="1"/>
    </xf>
    <xf numFmtId="165" fontId="19" fillId="26" borderId="11" xfId="1" applyNumberFormat="1" applyFont="1" applyFill="1" applyBorder="1" applyAlignment="1">
      <alignment vertical="center"/>
    </xf>
    <xf numFmtId="165" fontId="19" fillId="11" borderId="11" xfId="1" applyNumberFormat="1" applyFont="1" applyFill="1" applyBorder="1" applyAlignment="1">
      <alignment vertical="center"/>
    </xf>
    <xf numFmtId="165" fontId="18" fillId="11" borderId="11" xfId="1" applyNumberFormat="1" applyFont="1" applyFill="1" applyBorder="1" applyAlignment="1">
      <alignment horizontal="center" vertical="center" wrapText="1"/>
    </xf>
    <xf numFmtId="165" fontId="25" fillId="21" borderId="11" xfId="1" applyNumberFormat="1" applyFont="1" applyFill="1" applyBorder="1" applyAlignment="1">
      <alignment vertical="center"/>
    </xf>
    <xf numFmtId="0" fontId="17" fillId="32" borderId="11" xfId="0" applyFont="1" applyFill="1" applyBorder="1" applyAlignment="1">
      <alignment horizontal="center" vertical="center"/>
    </xf>
    <xf numFmtId="173" fontId="17" fillId="32" borderId="11" xfId="0" applyNumberFormat="1" applyFont="1" applyFill="1" applyBorder="1" applyAlignment="1">
      <alignment horizontal="center" vertical="center"/>
    </xf>
    <xf numFmtId="165" fontId="19" fillId="26" borderId="11" xfId="1" applyNumberFormat="1" applyFont="1" applyFill="1" applyBorder="1" applyAlignment="1">
      <alignment horizontal="center" vertical="center"/>
    </xf>
    <xf numFmtId="0" fontId="48" fillId="31" borderId="39" xfId="0" applyFont="1" applyFill="1" applyBorder="1" applyAlignment="1">
      <alignment horizontal="center" vertical="center"/>
    </xf>
    <xf numFmtId="0" fontId="47" fillId="31" borderId="39" xfId="0" applyFont="1" applyFill="1" applyBorder="1" applyAlignment="1">
      <alignment horizontal="center" vertical="center"/>
    </xf>
    <xf numFmtId="165" fontId="47" fillId="4" borderId="39" xfId="0" applyNumberFormat="1" applyFont="1" applyFill="1" applyBorder="1" applyAlignment="1">
      <alignment horizontal="center" vertical="center"/>
    </xf>
    <xf numFmtId="0" fontId="47" fillId="9" borderId="39" xfId="0" applyFont="1" applyFill="1" applyBorder="1" applyAlignment="1">
      <alignment horizontal="center" vertical="center"/>
    </xf>
    <xf numFmtId="0" fontId="48" fillId="5" borderId="39" xfId="0" applyFont="1" applyFill="1" applyBorder="1" applyAlignment="1">
      <alignment horizontal="center" vertical="center"/>
    </xf>
    <xf numFmtId="0" fontId="48" fillId="8" borderId="39" xfId="0" applyFont="1" applyFill="1" applyBorder="1" applyAlignment="1">
      <alignment horizontal="center" vertical="center"/>
    </xf>
    <xf numFmtId="0" fontId="48" fillId="12" borderId="39" xfId="0" applyFont="1" applyFill="1" applyBorder="1" applyAlignment="1">
      <alignment horizontal="center" vertical="center"/>
    </xf>
    <xf numFmtId="0" fontId="16" fillId="32" borderId="68" xfId="0" applyFont="1" applyFill="1" applyBorder="1" applyAlignment="1">
      <alignment horizontal="center" vertical="center" wrapText="1"/>
    </xf>
    <xf numFmtId="0" fontId="17" fillId="32" borderId="69" xfId="0" applyFont="1" applyFill="1" applyBorder="1" applyAlignment="1">
      <alignment vertical="center" wrapText="1"/>
    </xf>
    <xf numFmtId="0" fontId="17" fillId="32" borderId="69" xfId="0" applyFont="1" applyFill="1" applyBorder="1" applyAlignment="1">
      <alignment vertical="center"/>
    </xf>
    <xf numFmtId="0" fontId="47" fillId="31" borderId="37" xfId="0" applyFont="1" applyFill="1" applyBorder="1" applyAlignment="1">
      <alignment horizontal="center" vertical="center"/>
    </xf>
    <xf numFmtId="0" fontId="48" fillId="31" borderId="3" xfId="0" applyFont="1" applyFill="1" applyBorder="1" applyAlignment="1">
      <alignment horizontal="center" vertical="center"/>
    </xf>
    <xf numFmtId="0" fontId="47" fillId="31" borderId="3" xfId="0" applyFont="1" applyFill="1" applyBorder="1" applyAlignment="1">
      <alignment horizontal="center" vertical="center"/>
    </xf>
    <xf numFmtId="165" fontId="47" fillId="4" borderId="3" xfId="0" applyNumberFormat="1" applyFont="1" applyFill="1" applyBorder="1" applyAlignment="1">
      <alignment horizontal="center" vertical="center"/>
    </xf>
    <xf numFmtId="165" fontId="56" fillId="26" borderId="65" xfId="0" applyNumberFormat="1" applyFont="1" applyFill="1" applyBorder="1" applyAlignment="1">
      <alignment horizontal="center" vertical="center" wrapText="1"/>
    </xf>
    <xf numFmtId="165" fontId="56" fillId="26" borderId="11" xfId="0" applyNumberFormat="1" applyFont="1" applyFill="1" applyBorder="1" applyAlignment="1">
      <alignment horizontal="center" vertical="center" wrapText="1"/>
    </xf>
    <xf numFmtId="165" fontId="56" fillId="9" borderId="11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165" fontId="18" fillId="14" borderId="64" xfId="1" applyNumberFormat="1" applyFont="1" applyFill="1" applyBorder="1" applyAlignment="1">
      <alignment vertical="center"/>
    </xf>
    <xf numFmtId="165" fontId="18" fillId="14" borderId="11" xfId="1" applyNumberFormat="1" applyFont="1" applyFill="1" applyBorder="1" applyAlignment="1">
      <alignment vertical="center"/>
    </xf>
    <xf numFmtId="0" fontId="47" fillId="31" borderId="67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47" fillId="9" borderId="3" xfId="0" applyNumberFormat="1" applyFont="1" applyFill="1" applyBorder="1" applyAlignment="1">
      <alignment horizontal="center" vertical="center"/>
    </xf>
    <xf numFmtId="165" fontId="47" fillId="6" borderId="3" xfId="0" applyNumberFormat="1" applyFont="1" applyFill="1" applyBorder="1" applyAlignment="1">
      <alignment horizontal="center" vertical="center"/>
    </xf>
    <xf numFmtId="165" fontId="25" fillId="0" borderId="11" xfId="1" applyNumberFormat="1" applyFont="1" applyFill="1" applyBorder="1" applyAlignment="1">
      <alignment vertical="center"/>
    </xf>
    <xf numFmtId="165" fontId="45" fillId="0" borderId="11" xfId="1" applyNumberFormat="1" applyFont="1" applyFill="1" applyBorder="1" applyAlignment="1">
      <alignment vertical="center"/>
    </xf>
    <xf numFmtId="165" fontId="48" fillId="5" borderId="3" xfId="0" applyNumberFormat="1" applyFont="1" applyFill="1" applyBorder="1" applyAlignment="1">
      <alignment horizontal="center" vertical="center"/>
    </xf>
    <xf numFmtId="165" fontId="59" fillId="21" borderId="65" xfId="0" applyNumberFormat="1" applyFont="1" applyFill="1" applyBorder="1" applyAlignment="1">
      <alignment horizontal="center" vertical="center" wrapText="1"/>
    </xf>
    <xf numFmtId="165" fontId="59" fillId="21" borderId="11" xfId="0" applyNumberFormat="1" applyFont="1" applyFill="1" applyBorder="1" applyAlignment="1">
      <alignment horizontal="center" vertical="center" wrapText="1"/>
    </xf>
    <xf numFmtId="165" fontId="59" fillId="16" borderId="11" xfId="0" applyNumberFormat="1" applyFont="1" applyFill="1" applyBorder="1" applyAlignment="1">
      <alignment horizontal="center" vertical="center" wrapText="1"/>
    </xf>
    <xf numFmtId="165" fontId="48" fillId="8" borderId="3" xfId="0" applyNumberFormat="1" applyFont="1" applyFill="1" applyBorder="1" applyAlignment="1">
      <alignment horizontal="center" vertical="center"/>
    </xf>
    <xf numFmtId="165" fontId="48" fillId="10" borderId="3" xfId="0" applyNumberFormat="1" applyFont="1" applyFill="1" applyBorder="1" applyAlignment="1">
      <alignment horizontal="center" vertical="center"/>
    </xf>
    <xf numFmtId="165" fontId="60" fillId="10" borderId="0" xfId="1" applyNumberFormat="1" applyFont="1" applyFill="1" applyBorder="1" applyAlignment="1">
      <alignment vertical="center"/>
    </xf>
    <xf numFmtId="165" fontId="60" fillId="5" borderId="64" xfId="1" applyNumberFormat="1" applyFont="1" applyFill="1" applyBorder="1" applyAlignment="1">
      <alignment vertical="center"/>
    </xf>
    <xf numFmtId="165" fontId="60" fillId="5" borderId="11" xfId="1" applyNumberFormat="1" applyFont="1" applyFill="1" applyBorder="1" applyAlignment="1">
      <alignment vertical="center"/>
    </xf>
    <xf numFmtId="165" fontId="61" fillId="6" borderId="0" xfId="1" applyNumberFormat="1" applyFont="1" applyFill="1" applyBorder="1" applyAlignment="1">
      <alignment vertical="center"/>
    </xf>
    <xf numFmtId="165" fontId="60" fillId="2" borderId="64" xfId="1" applyNumberFormat="1" applyFont="1" applyFill="1" applyBorder="1" applyAlignment="1">
      <alignment vertical="center"/>
    </xf>
    <xf numFmtId="165" fontId="60" fillId="2" borderId="11" xfId="1" applyNumberFormat="1" applyFont="1" applyFill="1" applyBorder="1" applyAlignment="1">
      <alignment vertical="center"/>
    </xf>
    <xf numFmtId="165" fontId="59" fillId="12" borderId="65" xfId="0" applyNumberFormat="1" applyFont="1" applyFill="1" applyBorder="1" applyAlignment="1">
      <alignment horizontal="center" vertical="center" wrapText="1"/>
    </xf>
    <xf numFmtId="165" fontId="48" fillId="12" borderId="3" xfId="0" applyNumberFormat="1" applyFont="1" applyFill="1" applyBorder="1" applyAlignment="1">
      <alignment horizontal="center" vertical="center"/>
    </xf>
    <xf numFmtId="165" fontId="48" fillId="2" borderId="3" xfId="0" applyNumberFormat="1" applyFont="1" applyFill="1" applyBorder="1" applyAlignment="1">
      <alignment horizontal="center" vertical="center"/>
    </xf>
    <xf numFmtId="0" fontId="62" fillId="41" borderId="45" xfId="0" applyFont="1" applyFill="1" applyBorder="1" applyAlignment="1">
      <alignment horizontal="center" vertical="center" wrapText="1"/>
    </xf>
    <xf numFmtId="49" fontId="0" fillId="45" borderId="70" xfId="0" applyNumberFormat="1" applyFill="1" applyBorder="1"/>
    <xf numFmtId="49" fontId="0" fillId="0" borderId="70" xfId="0" applyNumberFormat="1" applyBorder="1"/>
    <xf numFmtId="0" fontId="58" fillId="46" borderId="71" xfId="0" applyFont="1" applyFill="1" applyBorder="1"/>
    <xf numFmtId="49" fontId="0" fillId="45" borderId="72" xfId="0" applyNumberFormat="1" applyFill="1" applyBorder="1"/>
    <xf numFmtId="49" fontId="0" fillId="45" borderId="71" xfId="0" applyNumberFormat="1" applyFill="1" applyBorder="1"/>
    <xf numFmtId="165" fontId="59" fillId="0" borderId="37" xfId="0" applyNumberFormat="1" applyFont="1" applyBorder="1" applyAlignment="1">
      <alignment horizontal="center" vertical="center"/>
    </xf>
    <xf numFmtId="165" fontId="56" fillId="0" borderId="0" xfId="0" applyNumberFormat="1" applyFont="1" applyAlignment="1">
      <alignment horizontal="center" vertical="center"/>
    </xf>
    <xf numFmtId="165" fontId="59" fillId="0" borderId="0" xfId="0" applyNumberFormat="1" applyFont="1" applyAlignment="1">
      <alignment horizontal="center" vertical="center"/>
    </xf>
    <xf numFmtId="165" fontId="63" fillId="0" borderId="0" xfId="0" applyNumberFormat="1" applyFont="1" applyAlignment="1">
      <alignment horizontal="center" vertical="center"/>
    </xf>
    <xf numFmtId="165" fontId="56" fillId="0" borderId="46" xfId="0" applyNumberFormat="1" applyFont="1" applyBorder="1" applyAlignment="1">
      <alignment horizontal="center" vertical="center"/>
    </xf>
    <xf numFmtId="165" fontId="56" fillId="0" borderId="48" xfId="0" applyNumberFormat="1" applyFont="1" applyBorder="1" applyAlignment="1">
      <alignment horizontal="center" vertical="center"/>
    </xf>
    <xf numFmtId="165" fontId="59" fillId="0" borderId="0" xfId="0" applyNumberFormat="1" applyFont="1" applyAlignment="1">
      <alignment vertical="center"/>
    </xf>
    <xf numFmtId="0" fontId="17" fillId="3" borderId="0" xfId="0" applyFont="1" applyFill="1"/>
    <xf numFmtId="0" fontId="3" fillId="3" borderId="0" xfId="0" applyFont="1" applyFill="1" applyAlignment="1">
      <alignment horizontal="center"/>
    </xf>
    <xf numFmtId="173" fontId="3" fillId="3" borderId="0" xfId="0" applyNumberFormat="1" applyFont="1" applyFill="1" applyAlignment="1">
      <alignment horizontal="center"/>
    </xf>
    <xf numFmtId="3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3" fontId="13" fillId="3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2" fillId="31" borderId="0" xfId="0" applyFont="1" applyFill="1" applyAlignment="1">
      <alignment horizontal="center" vertical="center" wrapText="1"/>
    </xf>
    <xf numFmtId="0" fontId="2" fillId="32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6" fillId="32" borderId="0" xfId="0" applyFont="1" applyFill="1" applyAlignment="1">
      <alignment horizontal="center" vertical="center" wrapText="1"/>
    </xf>
    <xf numFmtId="165" fontId="47" fillId="9" borderId="39" xfId="0" applyNumberFormat="1" applyFont="1" applyFill="1" applyBorder="1" applyAlignment="1">
      <alignment horizontal="center" vertical="center"/>
    </xf>
    <xf numFmtId="165" fontId="47" fillId="6" borderId="39" xfId="0" applyNumberFormat="1" applyFont="1" applyFill="1" applyBorder="1" applyAlignment="1">
      <alignment horizontal="center" vertical="center"/>
    </xf>
    <xf numFmtId="165" fontId="48" fillId="5" borderId="39" xfId="0" applyNumberFormat="1" applyFont="1" applyFill="1" applyBorder="1" applyAlignment="1">
      <alignment horizontal="center" vertical="center"/>
    </xf>
    <xf numFmtId="165" fontId="61" fillId="6" borderId="64" xfId="1" applyNumberFormat="1" applyFont="1" applyFill="1" applyBorder="1" applyAlignment="1">
      <alignment vertical="center"/>
    </xf>
    <xf numFmtId="165" fontId="61" fillId="6" borderId="11" xfId="1" applyNumberFormat="1" applyFont="1" applyFill="1" applyBorder="1" applyAlignment="1">
      <alignment vertical="center"/>
    </xf>
    <xf numFmtId="165" fontId="48" fillId="8" borderId="39" xfId="0" applyNumberFormat="1" applyFont="1" applyFill="1" applyBorder="1" applyAlignment="1">
      <alignment horizontal="center" vertical="center"/>
    </xf>
    <xf numFmtId="165" fontId="48" fillId="10" borderId="39" xfId="0" applyNumberFormat="1" applyFont="1" applyFill="1" applyBorder="1" applyAlignment="1">
      <alignment horizontal="center" vertical="center"/>
    </xf>
    <xf numFmtId="165" fontId="48" fillId="12" borderId="39" xfId="0" applyNumberFormat="1" applyFont="1" applyFill="1" applyBorder="1" applyAlignment="1">
      <alignment horizontal="center" vertical="center"/>
    </xf>
    <xf numFmtId="165" fontId="48" fillId="2" borderId="39" xfId="0" applyNumberFormat="1" applyFont="1" applyFill="1" applyBorder="1" applyAlignment="1">
      <alignment horizontal="center" vertical="center"/>
    </xf>
    <xf numFmtId="165" fontId="60" fillId="10" borderId="64" xfId="1" applyNumberFormat="1" applyFont="1" applyFill="1" applyBorder="1" applyAlignment="1">
      <alignment vertical="center"/>
    </xf>
    <xf numFmtId="165" fontId="60" fillId="10" borderId="11" xfId="1" applyNumberFormat="1" applyFont="1" applyFill="1" applyBorder="1" applyAlignment="1">
      <alignment vertical="center"/>
    </xf>
    <xf numFmtId="0" fontId="64" fillId="47" borderId="3" xfId="0" applyFont="1" applyFill="1" applyBorder="1" applyAlignment="1">
      <alignment horizontal="center" vertical="center"/>
    </xf>
    <xf numFmtId="0" fontId="17" fillId="48" borderId="68" xfId="0" applyFont="1" applyFill="1" applyBorder="1" applyAlignment="1">
      <alignment vertical="center" wrapText="1"/>
    </xf>
    <xf numFmtId="0" fontId="17" fillId="48" borderId="58" xfId="0" applyFont="1" applyFill="1" applyBorder="1" applyAlignment="1">
      <alignment horizontal="center" vertical="center"/>
    </xf>
    <xf numFmtId="173" fontId="17" fillId="48" borderId="58" xfId="0" applyNumberFormat="1" applyFont="1" applyFill="1" applyBorder="1" applyAlignment="1">
      <alignment horizontal="center" vertical="center"/>
    </xf>
    <xf numFmtId="0" fontId="17" fillId="48" borderId="11" xfId="0" applyFont="1" applyFill="1" applyBorder="1" applyAlignment="1">
      <alignment horizontal="center" vertical="center"/>
    </xf>
    <xf numFmtId="0" fontId="17" fillId="48" borderId="69" xfId="0" applyFont="1" applyFill="1" applyBorder="1" applyAlignment="1">
      <alignment vertical="center" wrapText="1"/>
    </xf>
    <xf numFmtId="173" fontId="17" fillId="48" borderId="11" xfId="0" applyNumberFormat="1" applyFont="1" applyFill="1" applyBorder="1" applyAlignment="1">
      <alignment horizontal="center" vertical="center"/>
    </xf>
    <xf numFmtId="0" fontId="17" fillId="48" borderId="69" xfId="0" applyFont="1" applyFill="1" applyBorder="1" applyAlignment="1">
      <alignment vertical="center"/>
    </xf>
    <xf numFmtId="0" fontId="17" fillId="44" borderId="0" xfId="0" applyFont="1" applyFill="1" applyAlignment="1">
      <alignment vertical="center" wrapText="1"/>
    </xf>
    <xf numFmtId="0" fontId="17" fillId="44" borderId="0" xfId="0" applyFont="1" applyFill="1" applyAlignment="1">
      <alignment horizontal="center" vertical="center"/>
    </xf>
    <xf numFmtId="173" fontId="17" fillId="44" borderId="0" xfId="0" applyNumberFormat="1" applyFont="1" applyFill="1" applyAlignment="1">
      <alignment horizontal="center" vertical="center"/>
    </xf>
    <xf numFmtId="0" fontId="17" fillId="44" borderId="0" xfId="0" applyFont="1" applyFill="1" applyAlignment="1">
      <alignment vertical="center"/>
    </xf>
    <xf numFmtId="0" fontId="17" fillId="48" borderId="69" xfId="0" applyFont="1" applyFill="1" applyBorder="1" applyAlignment="1">
      <alignment horizontal="center" vertical="center"/>
    </xf>
    <xf numFmtId="173" fontId="17" fillId="48" borderId="69" xfId="0" applyNumberFormat="1" applyFont="1" applyFill="1" applyBorder="1" applyAlignment="1">
      <alignment horizontal="center" vertical="center"/>
    </xf>
    <xf numFmtId="165" fontId="18" fillId="14" borderId="69" xfId="1" applyNumberFormat="1" applyFont="1" applyFill="1" applyBorder="1" applyAlignment="1">
      <alignment vertical="center"/>
    </xf>
    <xf numFmtId="165" fontId="19" fillId="26" borderId="3" xfId="1" applyNumberFormat="1" applyFont="1" applyFill="1" applyBorder="1" applyAlignment="1">
      <alignment vertical="center"/>
    </xf>
    <xf numFmtId="165" fontId="19" fillId="11" borderId="3" xfId="1" applyNumberFormat="1" applyFont="1" applyFill="1" applyBorder="1" applyAlignment="1">
      <alignment vertical="center"/>
    </xf>
    <xf numFmtId="165" fontId="47" fillId="49" borderId="39" xfId="0" applyNumberFormat="1" applyFont="1" applyFill="1" applyBorder="1" applyAlignment="1">
      <alignment horizontal="center" vertical="center"/>
    </xf>
    <xf numFmtId="165" fontId="44" fillId="14" borderId="64" xfId="1" applyNumberFormat="1" applyFont="1" applyFill="1" applyBorder="1" applyAlignment="1">
      <alignment horizontal="center" vertical="center" wrapText="1"/>
    </xf>
    <xf numFmtId="165" fontId="44" fillId="14" borderId="11" xfId="1" applyNumberFormat="1" applyFont="1" applyFill="1" applyBorder="1" applyAlignment="1">
      <alignment horizontal="center" vertical="center" wrapText="1"/>
    </xf>
    <xf numFmtId="165" fontId="44" fillId="14" borderId="69" xfId="1" applyNumberFormat="1" applyFont="1" applyFill="1" applyBorder="1" applyAlignment="1">
      <alignment horizontal="center" vertical="center" wrapText="1"/>
    </xf>
    <xf numFmtId="165" fontId="44" fillId="14" borderId="41" xfId="1" applyNumberFormat="1" applyFont="1" applyFill="1" applyBorder="1" applyAlignment="1">
      <alignment horizontal="center" vertical="center" wrapText="1"/>
    </xf>
    <xf numFmtId="165" fontId="45" fillId="0" borderId="3" xfId="1" applyNumberFormat="1" applyFont="1" applyFill="1" applyBorder="1" applyAlignment="1">
      <alignment vertical="center"/>
    </xf>
    <xf numFmtId="165" fontId="34" fillId="0" borderId="11" xfId="1" applyNumberFormat="1" applyFont="1" applyFill="1" applyBorder="1" applyAlignment="1">
      <alignment horizontal="center" vertical="center" wrapText="1"/>
    </xf>
    <xf numFmtId="0" fontId="47" fillId="49" borderId="39" xfId="0" applyFont="1" applyFill="1" applyBorder="1" applyAlignment="1">
      <alignment horizontal="center" vertical="center"/>
    </xf>
    <xf numFmtId="0" fontId="66" fillId="2" borderId="0" xfId="0" applyFont="1" applyFill="1" applyAlignment="1">
      <alignment horizontal="right" vertical="center"/>
    </xf>
    <xf numFmtId="10" fontId="66" fillId="2" borderId="0" xfId="0" applyNumberFormat="1" applyFont="1" applyFill="1" applyAlignment="1">
      <alignment horizontal="left" vertical="center"/>
    </xf>
    <xf numFmtId="0" fontId="0" fillId="44" borderId="0" xfId="0" applyFill="1" applyAlignment="1">
      <alignment vertical="center"/>
    </xf>
    <xf numFmtId="0" fontId="3" fillId="44" borderId="0" xfId="0" applyFont="1" applyFill="1" applyAlignment="1">
      <alignment horizontal="center" vertical="center"/>
    </xf>
    <xf numFmtId="165" fontId="3" fillId="9" borderId="21" xfId="1" applyNumberFormat="1" applyFont="1" applyFill="1" applyBorder="1" applyAlignment="1">
      <alignment horizontal="center" vertical="center"/>
    </xf>
    <xf numFmtId="165" fontId="3" fillId="9" borderId="45" xfId="1" applyNumberFormat="1" applyFont="1" applyFill="1" applyBorder="1" applyAlignment="1">
      <alignment horizontal="center" vertical="center"/>
    </xf>
    <xf numFmtId="165" fontId="0" fillId="0" borderId="2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7" fontId="0" fillId="0" borderId="0" xfId="4" applyNumberFormat="1" applyFont="1" applyAlignment="1">
      <alignment vertical="center"/>
    </xf>
    <xf numFmtId="0" fontId="0" fillId="44" borderId="0" xfId="0" applyFill="1" applyAlignment="1">
      <alignment horizontal="center" vertical="center"/>
    </xf>
    <xf numFmtId="0" fontId="13" fillId="44" borderId="0" xfId="0" applyFont="1" applyFill="1" applyAlignment="1">
      <alignment horizontal="center" vertical="center"/>
    </xf>
    <xf numFmtId="165" fontId="0" fillId="0" borderId="21" xfId="0" applyNumberFormat="1" applyBorder="1" applyAlignment="1">
      <alignment vertical="center"/>
    </xf>
    <xf numFmtId="165" fontId="0" fillId="0" borderId="45" xfId="0" applyNumberFormat="1" applyBorder="1" applyAlignment="1">
      <alignment vertical="center"/>
    </xf>
    <xf numFmtId="9" fontId="0" fillId="0" borderId="0" xfId="4" applyFont="1" applyAlignment="1">
      <alignment vertical="center"/>
    </xf>
    <xf numFmtId="165" fontId="48" fillId="15" borderId="39" xfId="0" applyNumberFormat="1" applyFont="1" applyFill="1" applyBorder="1" applyAlignment="1">
      <alignment horizontal="center" vertical="center"/>
    </xf>
    <xf numFmtId="165" fontId="48" fillId="15" borderId="3" xfId="0" applyNumberFormat="1" applyFont="1" applyFill="1" applyBorder="1" applyAlignment="1">
      <alignment horizontal="center" vertical="center"/>
    </xf>
    <xf numFmtId="165" fontId="18" fillId="13" borderId="11" xfId="1" applyNumberFormat="1" applyFont="1" applyFill="1" applyBorder="1" applyAlignment="1">
      <alignment vertical="center"/>
    </xf>
    <xf numFmtId="165" fontId="18" fillId="14" borderId="0" xfId="1" applyNumberFormat="1" applyFont="1" applyFill="1" applyBorder="1" applyAlignment="1">
      <alignment vertical="center"/>
    </xf>
    <xf numFmtId="165" fontId="67" fillId="0" borderId="11" xfId="1" applyNumberFormat="1" applyFont="1" applyFill="1" applyBorder="1" applyAlignment="1">
      <alignment vertical="center"/>
    </xf>
    <xf numFmtId="165" fontId="67" fillId="0" borderId="11" xfId="1" applyNumberFormat="1" applyFont="1" applyFill="1" applyBorder="1" applyAlignment="1">
      <alignment horizontal="center" vertical="center" wrapText="1"/>
    </xf>
    <xf numFmtId="165" fontId="67" fillId="0" borderId="3" xfId="1" applyNumberFormat="1" applyFont="1" applyFill="1" applyBorder="1" applyAlignment="1">
      <alignment horizontal="center" vertical="center" wrapText="1"/>
    </xf>
    <xf numFmtId="165" fontId="67" fillId="0" borderId="3" xfId="1" applyNumberFormat="1" applyFont="1" applyFill="1" applyBorder="1" applyAlignment="1">
      <alignment vertical="center"/>
    </xf>
    <xf numFmtId="0" fontId="26" fillId="17" borderId="25" xfId="0" applyFont="1" applyFill="1" applyBorder="1" applyAlignment="1">
      <alignment horizontal="center"/>
    </xf>
    <xf numFmtId="0" fontId="26" fillId="17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6" fillId="2" borderId="2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 wrapText="1"/>
    </xf>
    <xf numFmtId="165" fontId="60" fillId="50" borderId="11" xfId="1" applyNumberFormat="1" applyFont="1" applyFill="1" applyBorder="1" applyAlignment="1">
      <alignment vertical="center"/>
    </xf>
    <xf numFmtId="0" fontId="17" fillId="48" borderId="0" xfId="0" applyFont="1" applyFill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51" borderId="73" xfId="0" applyFill="1" applyBorder="1" applyAlignment="1">
      <alignment vertical="center"/>
    </xf>
    <xf numFmtId="0" fontId="68" fillId="0" borderId="0" xfId="0" applyFont="1" applyAlignment="1">
      <alignment vertical="center"/>
    </xf>
    <xf numFmtId="165" fontId="67" fillId="0" borderId="10" xfId="1" applyNumberFormat="1" applyFont="1" applyFill="1" applyBorder="1" applyAlignment="1">
      <alignment vertical="center"/>
    </xf>
    <xf numFmtId="165" fontId="67" fillId="0" borderId="11" xfId="1" applyNumberFormat="1" applyFont="1" applyBorder="1" applyAlignment="1">
      <alignment horizontal="center" vertical="center" wrapText="1"/>
    </xf>
    <xf numFmtId="165" fontId="4" fillId="0" borderId="11" xfId="1" applyNumberFormat="1" applyBorder="1" applyAlignment="1">
      <alignment vertical="center"/>
    </xf>
    <xf numFmtId="165" fontId="67" fillId="0" borderId="11" xfId="1" applyNumberFormat="1" applyFont="1" applyBorder="1" applyAlignment="1">
      <alignment vertical="center"/>
    </xf>
    <xf numFmtId="165" fontId="0" fillId="0" borderId="11" xfId="1" applyNumberFormat="1" applyFont="1" applyBorder="1" applyAlignment="1">
      <alignment vertical="center"/>
    </xf>
    <xf numFmtId="165" fontId="18" fillId="14" borderId="0" xfId="1" applyNumberFormat="1" applyFont="1" applyFill="1" applyAlignment="1">
      <alignment vertical="center"/>
    </xf>
    <xf numFmtId="165" fontId="34" fillId="16" borderId="11" xfId="1" applyNumberFormat="1" applyFont="1" applyFill="1" applyBorder="1" applyAlignment="1">
      <alignment vertical="center"/>
    </xf>
    <xf numFmtId="3" fontId="69" fillId="53" borderId="74" xfId="0" applyNumberFormat="1" applyFont="1" applyFill="1" applyBorder="1"/>
    <xf numFmtId="165" fontId="34" fillId="0" borderId="11" xfId="1" applyNumberFormat="1" applyFont="1" applyBorder="1" applyAlignment="1">
      <alignment horizontal="center" vertical="center" wrapText="1"/>
    </xf>
    <xf numFmtId="3" fontId="44" fillId="52" borderId="74" xfId="0" applyNumberFormat="1" applyFont="1" applyFill="1" applyBorder="1"/>
    <xf numFmtId="3" fontId="44" fillId="53" borderId="74" xfId="0" applyNumberFormat="1" applyFont="1" applyFill="1" applyBorder="1"/>
    <xf numFmtId="3" fontId="16" fillId="0" borderId="75" xfId="0" applyNumberFormat="1" applyFont="1" applyBorder="1"/>
    <xf numFmtId="165" fontId="44" fillId="14" borderId="10" xfId="1" applyNumberFormat="1" applyFont="1" applyFill="1" applyBorder="1" applyAlignment="1">
      <alignment horizontal="center" vertical="center" wrapText="1"/>
    </xf>
    <xf numFmtId="165" fontId="34" fillId="0" borderId="10" xfId="1" applyNumberFormat="1" applyFont="1" applyFill="1" applyBorder="1" applyAlignment="1">
      <alignment horizontal="center" vertical="center" wrapText="1"/>
    </xf>
    <xf numFmtId="165" fontId="45" fillId="0" borderId="10" xfId="1" applyNumberFormat="1" applyFont="1" applyFill="1" applyBorder="1" applyAlignment="1">
      <alignment vertical="center"/>
    </xf>
    <xf numFmtId="165" fontId="60" fillId="5" borderId="69" xfId="1" applyNumberFormat="1" applyFont="1" applyFill="1" applyBorder="1" applyAlignment="1">
      <alignment vertical="center"/>
    </xf>
    <xf numFmtId="165" fontId="44" fillId="14" borderId="10" xfId="0" applyNumberFormat="1" applyFont="1" applyFill="1" applyBorder="1" applyAlignment="1">
      <alignment horizontal="center" vertical="center" wrapText="1"/>
    </xf>
    <xf numFmtId="165" fontId="44" fillId="14" borderId="4" xfId="0" applyNumberFormat="1" applyFont="1" applyFill="1" applyBorder="1" applyAlignment="1">
      <alignment horizontal="center" vertical="center" wrapText="1"/>
    </xf>
    <xf numFmtId="165" fontId="19" fillId="11" borderId="11" xfId="0" applyNumberFormat="1" applyFont="1" applyFill="1" applyBorder="1" applyAlignment="1">
      <alignment vertical="center"/>
    </xf>
    <xf numFmtId="165" fontId="44" fillId="2" borderId="11" xfId="1" applyNumberFormat="1" applyFont="1" applyFill="1" applyBorder="1" applyAlignment="1">
      <alignment horizontal="center" vertical="center" wrapText="1"/>
    </xf>
    <xf numFmtId="165" fontId="67" fillId="0" borderId="10" xfId="1" applyNumberFormat="1" applyFont="1" applyFill="1" applyBorder="1" applyAlignment="1">
      <alignment horizontal="center" vertical="center" wrapText="1"/>
    </xf>
    <xf numFmtId="164" fontId="7" fillId="0" borderId="0" xfId="1" applyFont="1" applyFill="1" applyBorder="1"/>
    <xf numFmtId="165" fontId="44" fillId="2" borderId="69" xfId="1" applyNumberFormat="1" applyFont="1" applyFill="1" applyBorder="1" applyAlignment="1">
      <alignment horizontal="center" vertical="center" wrapText="1"/>
    </xf>
    <xf numFmtId="165" fontId="34" fillId="21" borderId="11" xfId="1" applyNumberFormat="1" applyFont="1" applyFill="1" applyBorder="1" applyAlignment="1">
      <alignment vertical="center"/>
    </xf>
    <xf numFmtId="165" fontId="67" fillId="0" borderId="10" xfId="0" applyNumberFormat="1" applyFont="1" applyBorder="1" applyAlignment="1">
      <alignment vertical="center"/>
    </xf>
    <xf numFmtId="4" fontId="21" fillId="54" borderId="75" xfId="0" applyNumberFormat="1" applyFont="1" applyFill="1" applyBorder="1"/>
    <xf numFmtId="3" fontId="44" fillId="56" borderId="74" xfId="0" applyNumberFormat="1" applyFont="1" applyFill="1" applyBorder="1"/>
    <xf numFmtId="3" fontId="44" fillId="54" borderId="74" xfId="0" applyNumberFormat="1" applyFont="1" applyFill="1" applyBorder="1"/>
    <xf numFmtId="0" fontId="44" fillId="55" borderId="74" xfId="0" applyFont="1" applyFill="1" applyBorder="1"/>
    <xf numFmtId="3" fontId="44" fillId="55" borderId="74" xfId="0" applyNumberFormat="1" applyFont="1" applyFill="1" applyBorder="1"/>
    <xf numFmtId="0" fontId="44" fillId="54" borderId="74" xfId="0" applyFont="1" applyFill="1" applyBorder="1"/>
    <xf numFmtId="0" fontId="70" fillId="0" borderId="0" xfId="0" applyFont="1" applyAlignment="1">
      <alignment wrapText="1"/>
    </xf>
    <xf numFmtId="166" fontId="3" fillId="12" borderId="0" xfId="1" applyNumberFormat="1" applyFont="1" applyFill="1"/>
    <xf numFmtId="165" fontId="43" fillId="0" borderId="0" xfId="1" applyNumberFormat="1" applyFont="1" applyFill="1" applyBorder="1"/>
    <xf numFmtId="165" fontId="43" fillId="0" borderId="0" xfId="1" applyNumberFormat="1" applyFont="1"/>
    <xf numFmtId="164" fontId="5" fillId="0" borderId="0" xfId="1" applyFont="1" applyFill="1" applyBorder="1"/>
    <xf numFmtId="165" fontId="5" fillId="0" borderId="0" xfId="1" applyNumberFormat="1" applyFont="1" applyFill="1" applyBorder="1"/>
    <xf numFmtId="165" fontId="71" fillId="0" borderId="0" xfId="1" applyNumberFormat="1" applyFont="1" applyFill="1" applyBorder="1"/>
    <xf numFmtId="165" fontId="8" fillId="0" borderId="76" xfId="1" applyNumberFormat="1" applyFont="1" applyBorder="1"/>
    <xf numFmtId="165" fontId="13" fillId="12" borderId="11" xfId="1" applyNumberFormat="1" applyFont="1" applyFill="1" applyBorder="1" applyAlignment="1">
      <alignment vertical="center"/>
    </xf>
    <xf numFmtId="165" fontId="45" fillId="0" borderId="11" xfId="1" applyNumberFormat="1" applyFont="1" applyBorder="1" applyAlignment="1">
      <alignment vertical="center"/>
    </xf>
    <xf numFmtId="165" fontId="1" fillId="16" borderId="11" xfId="1" applyNumberFormat="1" applyFont="1" applyFill="1" applyBorder="1" applyAlignment="1">
      <alignment vertical="center"/>
    </xf>
    <xf numFmtId="165" fontId="67" fillId="21" borderId="11" xfId="1" applyNumberFormat="1" applyFont="1" applyFill="1" applyBorder="1" applyAlignment="1">
      <alignment vertical="center"/>
    </xf>
    <xf numFmtId="3" fontId="47" fillId="49" borderId="39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0" fontId="1" fillId="0" borderId="0" xfId="13" applyNumberFormat="1" applyFont="1" applyFill="1" applyBorder="1" applyAlignment="1">
      <alignment horizontal="right" vertical="center"/>
    </xf>
    <xf numFmtId="165" fontId="1" fillId="0" borderId="11" xfId="1" applyNumberFormat="1" applyFont="1" applyFill="1" applyBorder="1" applyAlignment="1">
      <alignment vertical="center"/>
    </xf>
    <xf numFmtId="165" fontId="1" fillId="12" borderId="11" xfId="1" applyNumberFormat="1" applyFont="1" applyFill="1" applyBorder="1" applyAlignment="1">
      <alignment vertical="center"/>
    </xf>
    <xf numFmtId="165" fontId="1" fillId="15" borderId="64" xfId="1" applyNumberFormat="1" applyFont="1" applyFill="1" applyBorder="1" applyAlignment="1">
      <alignment vertical="center"/>
    </xf>
    <xf numFmtId="165" fontId="1" fillId="21" borderId="11" xfId="1" applyNumberFormat="1" applyFont="1" applyFill="1" applyBorder="1" applyAlignment="1">
      <alignment vertical="center"/>
    </xf>
    <xf numFmtId="165" fontId="1" fillId="15" borderId="11" xfId="1" applyNumberFormat="1" applyFont="1" applyFill="1" applyBorder="1" applyAlignment="1">
      <alignment vertical="center"/>
    </xf>
    <xf numFmtId="165" fontId="1" fillId="2" borderId="11" xfId="1" applyNumberFormat="1" applyFont="1" applyFill="1" applyBorder="1" applyAlignment="1">
      <alignment vertical="center"/>
    </xf>
    <xf numFmtId="165" fontId="1" fillId="12" borderId="69" xfId="1" applyNumberFormat="1" applyFont="1" applyFill="1" applyBorder="1" applyAlignment="1">
      <alignment vertical="center"/>
    </xf>
    <xf numFmtId="165" fontId="1" fillId="15" borderId="69" xfId="1" applyNumberFormat="1" applyFont="1" applyFill="1" applyBorder="1" applyAlignment="1">
      <alignment vertical="center"/>
    </xf>
    <xf numFmtId="165" fontId="1" fillId="21" borderId="3" xfId="1" applyNumberFormat="1" applyFont="1" applyFill="1" applyBorder="1" applyAlignment="1">
      <alignment vertical="center"/>
    </xf>
    <xf numFmtId="165" fontId="1" fillId="16" borderId="3" xfId="1" applyNumberFormat="1" applyFont="1" applyFill="1" applyBorder="1" applyAlignment="1">
      <alignment vertical="center"/>
    </xf>
    <xf numFmtId="165" fontId="1" fillId="0" borderId="11" xfId="1" applyNumberFormat="1" applyFont="1" applyBorder="1" applyAlignment="1">
      <alignment vertical="center"/>
    </xf>
    <xf numFmtId="165" fontId="1" fillId="0" borderId="69" xfId="1" applyNumberFormat="1" applyFont="1" applyFill="1" applyBorder="1" applyAlignment="1">
      <alignment vertical="center"/>
    </xf>
    <xf numFmtId="2" fontId="1" fillId="12" borderId="11" xfId="1" applyNumberFormat="1" applyFont="1" applyFill="1" applyBorder="1" applyAlignment="1">
      <alignment vertical="center"/>
    </xf>
    <xf numFmtId="2" fontId="1" fillId="12" borderId="69" xfId="1" applyNumberFormat="1" applyFont="1" applyFill="1" applyBorder="1" applyAlignment="1">
      <alignment vertical="center"/>
    </xf>
    <xf numFmtId="165" fontId="1" fillId="0" borderId="11" xfId="1" applyNumberFormat="1" applyFont="1" applyFill="1" applyBorder="1" applyAlignment="1">
      <alignment horizontal="center" vertical="center" wrapText="1"/>
    </xf>
    <xf numFmtId="165" fontId="1" fillId="0" borderId="10" xfId="1" applyNumberFormat="1" applyFont="1" applyFill="1" applyBorder="1" applyAlignment="1">
      <alignment vertical="center"/>
    </xf>
    <xf numFmtId="165" fontId="1" fillId="21" borderId="69" xfId="1" applyNumberFormat="1" applyFont="1" applyFill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165" fontId="16" fillId="0" borderId="0" xfId="1" applyNumberFormat="1" applyFont="1" applyFill="1" applyBorder="1"/>
    <xf numFmtId="0" fontId="17" fillId="48" borderId="3" xfId="0" applyFont="1" applyFill="1" applyBorder="1" applyAlignment="1">
      <alignment horizontal="center" vertical="center"/>
    </xf>
    <xf numFmtId="173" fontId="17" fillId="48" borderId="3" xfId="0" applyNumberFormat="1" applyFont="1" applyFill="1" applyBorder="1" applyAlignment="1">
      <alignment horizontal="center" vertical="center"/>
    </xf>
    <xf numFmtId="165" fontId="44" fillId="14" borderId="3" xfId="1" applyNumberFormat="1" applyFont="1" applyFill="1" applyBorder="1" applyAlignment="1">
      <alignment horizontal="center" vertical="center" wrapText="1"/>
    </xf>
    <xf numFmtId="165" fontId="1" fillId="0" borderId="3" xfId="1" applyNumberFormat="1" applyFont="1" applyFill="1" applyBorder="1" applyAlignment="1">
      <alignment vertical="center"/>
    </xf>
    <xf numFmtId="165" fontId="60" fillId="5" borderId="3" xfId="1" applyNumberFormat="1" applyFont="1" applyFill="1" applyBorder="1" applyAlignment="1">
      <alignment vertical="center"/>
    </xf>
    <xf numFmtId="165" fontId="60" fillId="50" borderId="3" xfId="1" applyNumberFormat="1" applyFont="1" applyFill="1" applyBorder="1" applyAlignment="1">
      <alignment vertical="center"/>
    </xf>
    <xf numFmtId="165" fontId="1" fillId="12" borderId="3" xfId="1" applyNumberFormat="1" applyFont="1" applyFill="1" applyBorder="1" applyAlignment="1">
      <alignment vertical="center"/>
    </xf>
    <xf numFmtId="165" fontId="60" fillId="2" borderId="3" xfId="1" applyNumberFormat="1" applyFont="1" applyFill="1" applyBorder="1" applyAlignment="1">
      <alignment vertical="center"/>
    </xf>
    <xf numFmtId="165" fontId="1" fillId="15" borderId="3" xfId="1" applyNumberFormat="1" applyFont="1" applyFill="1" applyBorder="1" applyAlignment="1">
      <alignment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" fontId="61" fillId="6" borderId="11" xfId="1" applyNumberFormat="1" applyFont="1" applyFill="1" applyBorder="1" applyAlignment="1">
      <alignment vertical="center"/>
    </xf>
    <xf numFmtId="165" fontId="0" fillId="0" borderId="45" xfId="1" applyNumberFormat="1" applyFont="1" applyBorder="1" applyAlignment="1">
      <alignment vertical="center"/>
    </xf>
    <xf numFmtId="3" fontId="72" fillId="57" borderId="77" xfId="0" applyNumberFormat="1" applyFont="1" applyFill="1" applyBorder="1" applyAlignment="1">
      <alignment wrapText="1"/>
    </xf>
    <xf numFmtId="165" fontId="2" fillId="33" borderId="50" xfId="14" applyNumberFormat="1" applyFont="1" applyFill="1" applyBorder="1" applyAlignment="1">
      <alignment horizontal="center" vertical="center" wrapText="1"/>
    </xf>
    <xf numFmtId="174" fontId="2" fillId="34" borderId="52" xfId="14" applyNumberFormat="1" applyFont="1" applyFill="1" applyBorder="1" applyAlignment="1">
      <alignment horizontal="center" vertical="center" wrapText="1"/>
    </xf>
    <xf numFmtId="174" fontId="2" fillId="34" borderId="53" xfId="14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165" fontId="26" fillId="0" borderId="0" xfId="0" applyNumberFormat="1" applyFont="1" applyAlignment="1">
      <alignment vertical="center"/>
    </xf>
    <xf numFmtId="165" fontId="26" fillId="0" borderId="45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165" fontId="26" fillId="0" borderId="0" xfId="1" applyNumberFormat="1" applyFont="1" applyAlignment="1">
      <alignment vertical="center"/>
    </xf>
    <xf numFmtId="165" fontId="26" fillId="0" borderId="45" xfId="1" applyNumberFormat="1" applyFont="1" applyBorder="1" applyAlignment="1">
      <alignment vertical="center"/>
    </xf>
    <xf numFmtId="165" fontId="18" fillId="11" borderId="11" xfId="1" applyNumberFormat="1" applyFont="1" applyFill="1" applyBorder="1" applyAlignment="1">
      <alignment vertical="center"/>
    </xf>
    <xf numFmtId="0" fontId="43" fillId="15" borderId="0" xfId="0" applyFont="1" applyFill="1" applyBorder="1" applyAlignment="1">
      <alignment horizontal="center" vertical="center" wrapText="1"/>
    </xf>
    <xf numFmtId="165" fontId="8" fillId="15" borderId="0" xfId="0" applyNumberFormat="1" applyFont="1" applyFill="1" applyBorder="1" applyAlignment="1">
      <alignment horizontal="center" vertical="center" wrapText="1"/>
    </xf>
    <xf numFmtId="0" fontId="17" fillId="48" borderId="0" xfId="0" applyFont="1" applyFill="1" applyBorder="1" applyAlignment="1">
      <alignment horizontal="center" vertical="center"/>
    </xf>
    <xf numFmtId="173" fontId="17" fillId="48" borderId="0" xfId="0" applyNumberFormat="1" applyFont="1" applyFill="1" applyBorder="1" applyAlignment="1">
      <alignment horizontal="center" vertical="center"/>
    </xf>
    <xf numFmtId="165" fontId="61" fillId="6" borderId="3" xfId="1" applyNumberFormat="1" applyFont="1" applyFill="1" applyBorder="1" applyAlignment="1">
      <alignment vertical="center"/>
    </xf>
    <xf numFmtId="165" fontId="44" fillId="14" borderId="0" xfId="1" applyNumberFormat="1" applyFont="1" applyFill="1" applyBorder="1" applyAlignment="1">
      <alignment horizontal="center" vertical="center" wrapText="1"/>
    </xf>
    <xf numFmtId="165" fontId="60" fillId="10" borderId="3" xfId="1" applyNumberFormat="1" applyFont="1" applyFill="1" applyBorder="1" applyAlignment="1">
      <alignment vertical="center"/>
    </xf>
    <xf numFmtId="165" fontId="1" fillId="12" borderId="0" xfId="1" applyNumberFormat="1" applyFont="1" applyFill="1" applyBorder="1" applyAlignment="1">
      <alignment vertical="center"/>
    </xf>
    <xf numFmtId="0" fontId="17" fillId="48" borderId="0" xfId="0" applyNumberFormat="1" applyFont="1" applyFill="1" applyAlignment="1">
      <alignment horizontal="center" vertical="center"/>
    </xf>
    <xf numFmtId="165" fontId="32" fillId="58" borderId="25" xfId="0" applyNumberFormat="1" applyFont="1" applyFill="1" applyBorder="1" applyAlignment="1">
      <alignment horizontal="center" vertical="center" wrapText="1"/>
    </xf>
    <xf numFmtId="165" fontId="32" fillId="58" borderId="3" xfId="0" applyNumberFormat="1" applyFont="1" applyFill="1" applyBorder="1" applyAlignment="1">
      <alignment horizontal="center" vertical="center" wrapText="1"/>
    </xf>
    <xf numFmtId="165" fontId="6" fillId="58" borderId="60" xfId="0" applyNumberFormat="1" applyFont="1" applyFill="1" applyBorder="1" applyAlignment="1">
      <alignment horizontal="center" vertical="center" wrapText="1"/>
    </xf>
    <xf numFmtId="165" fontId="6" fillId="58" borderId="39" xfId="0" applyNumberFormat="1" applyFont="1" applyFill="1" applyBorder="1" applyAlignment="1">
      <alignment horizontal="center" vertical="center" wrapText="1"/>
    </xf>
    <xf numFmtId="165" fontId="3" fillId="58" borderId="11" xfId="0" applyNumberFormat="1" applyFont="1" applyFill="1" applyBorder="1" applyAlignment="1">
      <alignment horizontal="center" vertical="center" wrapText="1"/>
    </xf>
    <xf numFmtId="165" fontId="56" fillId="58" borderId="65" xfId="0" applyNumberFormat="1" applyFont="1" applyFill="1" applyBorder="1" applyAlignment="1">
      <alignment horizontal="center" vertical="center" wrapText="1"/>
    </xf>
    <xf numFmtId="165" fontId="56" fillId="58" borderId="11" xfId="0" applyNumberFormat="1" applyFont="1" applyFill="1" applyBorder="1" applyAlignment="1">
      <alignment horizontal="center" vertical="center" wrapText="1"/>
    </xf>
    <xf numFmtId="165" fontId="19" fillId="58" borderId="69" xfId="1" applyNumberFormat="1" applyFont="1" applyFill="1" applyBorder="1" applyAlignment="1">
      <alignment vertical="center"/>
    </xf>
    <xf numFmtId="165" fontId="19" fillId="58" borderId="11" xfId="1" applyNumberFormat="1" applyFont="1" applyFill="1" applyBorder="1" applyAlignment="1">
      <alignment vertical="center"/>
    </xf>
    <xf numFmtId="165" fontId="19" fillId="58" borderId="69" xfId="1" applyNumberFormat="1" applyFont="1" applyFill="1" applyBorder="1" applyAlignment="1">
      <alignment horizontal="center" vertical="center"/>
    </xf>
    <xf numFmtId="165" fontId="19" fillId="58" borderId="11" xfId="1" applyNumberFormat="1" applyFont="1" applyFill="1" applyBorder="1" applyAlignment="1">
      <alignment horizontal="center" vertical="center"/>
    </xf>
    <xf numFmtId="165" fontId="47" fillId="59" borderId="3" xfId="0" applyNumberFormat="1" applyFont="1" applyFill="1" applyBorder="1" applyAlignment="1">
      <alignment horizontal="center" vertical="center"/>
    </xf>
    <xf numFmtId="0" fontId="0" fillId="60" borderId="0" xfId="0" applyFill="1" applyAlignment="1">
      <alignment vertical="center"/>
    </xf>
    <xf numFmtId="165" fontId="43" fillId="2" borderId="0" xfId="1" applyNumberFormat="1" applyFont="1" applyFill="1" applyBorder="1"/>
    <xf numFmtId="165" fontId="8" fillId="2" borderId="0" xfId="1" applyNumberFormat="1" applyFont="1" applyFill="1" applyBorder="1"/>
    <xf numFmtId="0" fontId="1" fillId="0" borderId="0" xfId="0" applyFont="1"/>
    <xf numFmtId="165" fontId="2" fillId="43" borderId="40" xfId="14" applyNumberFormat="1" applyFont="1" applyFill="1" applyBorder="1" applyAlignment="1">
      <alignment horizontal="center" vertical="center"/>
    </xf>
    <xf numFmtId="165" fontId="2" fillId="43" borderId="42" xfId="14" applyNumberFormat="1" applyFont="1" applyFill="1" applyBorder="1" applyAlignment="1">
      <alignment horizontal="center" vertical="center"/>
    </xf>
    <xf numFmtId="165" fontId="51" fillId="38" borderId="14" xfId="14" applyNumberFormat="1" applyFont="1" applyFill="1" applyBorder="1" applyAlignment="1">
      <alignment horizontal="center" vertical="center" wrapText="1"/>
    </xf>
    <xf numFmtId="165" fontId="51" fillId="38" borderId="15" xfId="14" applyNumberFormat="1" applyFont="1" applyFill="1" applyBorder="1" applyAlignment="1">
      <alignment horizontal="center" vertical="center" wrapText="1"/>
    </xf>
    <xf numFmtId="165" fontId="49" fillId="36" borderId="40" xfId="14" applyNumberFormat="1" applyFont="1" applyFill="1" applyBorder="1" applyAlignment="1">
      <alignment horizontal="center" vertical="center"/>
    </xf>
    <xf numFmtId="165" fontId="49" fillId="36" borderId="41" xfId="14" applyNumberFormat="1" applyFont="1" applyFill="1" applyBorder="1" applyAlignment="1">
      <alignment horizontal="center" vertical="center"/>
    </xf>
    <xf numFmtId="165" fontId="49" fillId="36" borderId="42" xfId="14" applyNumberFormat="1" applyFont="1" applyFill="1" applyBorder="1" applyAlignment="1">
      <alignment horizontal="center" vertical="center"/>
    </xf>
    <xf numFmtId="165" fontId="2" fillId="33" borderId="40" xfId="14" applyNumberFormat="1" applyFont="1" applyFill="1" applyBorder="1" applyAlignment="1">
      <alignment horizontal="center" vertical="center" wrapText="1"/>
    </xf>
    <xf numFmtId="165" fontId="2" fillId="33" borderId="41" xfId="14" applyNumberFormat="1" applyFont="1" applyFill="1" applyBorder="1" applyAlignment="1">
      <alignment horizontal="center" vertical="center" wrapText="1"/>
    </xf>
    <xf numFmtId="165" fontId="2" fillId="33" borderId="42" xfId="14" applyNumberFormat="1" applyFont="1" applyFill="1" applyBorder="1" applyAlignment="1">
      <alignment horizontal="center" vertical="center" wrapText="1"/>
    </xf>
    <xf numFmtId="165" fontId="49" fillId="37" borderId="40" xfId="14" applyNumberFormat="1" applyFont="1" applyFill="1" applyBorder="1" applyAlignment="1">
      <alignment horizontal="center" vertical="center" wrapText="1"/>
    </xf>
    <xf numFmtId="165" fontId="49" fillId="37" borderId="41" xfId="14" applyNumberFormat="1" applyFont="1" applyFill="1" applyBorder="1" applyAlignment="1">
      <alignment horizontal="center" vertical="center" wrapText="1"/>
    </xf>
    <xf numFmtId="165" fontId="49" fillId="37" borderId="42" xfId="14" applyNumberFormat="1" applyFont="1" applyFill="1" applyBorder="1" applyAlignment="1">
      <alignment horizontal="center" vertical="center" wrapText="1"/>
    </xf>
    <xf numFmtId="165" fontId="51" fillId="38" borderId="13" xfId="14" applyNumberFormat="1" applyFont="1" applyFill="1" applyBorder="1" applyAlignment="1">
      <alignment horizontal="center" vertical="center" wrapText="1"/>
    </xf>
    <xf numFmtId="165" fontId="49" fillId="36" borderId="49" xfId="14" applyNumberFormat="1" applyFont="1" applyFill="1" applyBorder="1" applyAlignment="1">
      <alignment horizontal="center" vertical="center"/>
    </xf>
    <xf numFmtId="165" fontId="49" fillId="36" borderId="50" xfId="14" applyNumberFormat="1" applyFont="1" applyFill="1" applyBorder="1" applyAlignment="1">
      <alignment horizontal="center" vertical="center"/>
    </xf>
    <xf numFmtId="165" fontId="2" fillId="33" borderId="49" xfId="14" applyNumberFormat="1" applyFont="1" applyFill="1" applyBorder="1" applyAlignment="1">
      <alignment horizontal="center" vertical="center" wrapText="1"/>
    </xf>
    <xf numFmtId="165" fontId="2" fillId="33" borderId="50" xfId="14" applyNumberFormat="1" applyFont="1" applyFill="1" applyBorder="1" applyAlignment="1">
      <alignment horizontal="center" vertical="center" wrapText="1"/>
    </xf>
    <xf numFmtId="165" fontId="49" fillId="37" borderId="55" xfId="14" applyNumberFormat="1" applyFont="1" applyFill="1" applyBorder="1" applyAlignment="1">
      <alignment horizontal="center" vertical="center" wrapText="1"/>
    </xf>
    <xf numFmtId="165" fontId="49" fillId="37" borderId="56" xfId="14" applyNumberFormat="1" applyFont="1" applyFill="1" applyBorder="1" applyAlignment="1">
      <alignment horizontal="center" vertical="center" wrapText="1"/>
    </xf>
    <xf numFmtId="165" fontId="49" fillId="37" borderId="57" xfId="14" applyNumberFormat="1" applyFont="1" applyFill="1" applyBorder="1" applyAlignment="1">
      <alignment horizontal="center" vertical="center" wrapText="1"/>
    </xf>
    <xf numFmtId="0" fontId="30" fillId="13" borderId="13" xfId="0" applyFont="1" applyFill="1" applyBorder="1" applyAlignment="1">
      <alignment horizontal="center" vertical="center"/>
    </xf>
    <xf numFmtId="0" fontId="30" fillId="13" borderId="14" xfId="0" applyFont="1" applyFill="1" applyBorder="1" applyAlignment="1">
      <alignment horizontal="center" vertical="center"/>
    </xf>
    <xf numFmtId="0" fontId="30" fillId="13" borderId="15" xfId="0" applyFont="1" applyFill="1" applyBorder="1" applyAlignment="1">
      <alignment horizontal="center" vertical="center"/>
    </xf>
    <xf numFmtId="0" fontId="30" fillId="20" borderId="13" xfId="0" applyFont="1" applyFill="1" applyBorder="1" applyAlignment="1">
      <alignment horizontal="center" vertical="center"/>
    </xf>
    <xf numFmtId="0" fontId="30" fillId="20" borderId="14" xfId="0" applyFont="1" applyFill="1" applyBorder="1" applyAlignment="1">
      <alignment horizontal="center" vertical="center"/>
    </xf>
    <xf numFmtId="0" fontId="30" fillId="20" borderId="15" xfId="0" applyFont="1" applyFill="1" applyBorder="1" applyAlignment="1">
      <alignment horizontal="center" vertical="center"/>
    </xf>
    <xf numFmtId="0" fontId="29" fillId="22" borderId="21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8" fillId="23" borderId="0" xfId="0" applyFont="1" applyFill="1" applyAlignment="1">
      <alignment horizontal="center" vertical="center"/>
    </xf>
    <xf numFmtId="0" fontId="26" fillId="17" borderId="22" xfId="0" applyFont="1" applyFill="1" applyBorder="1" applyAlignment="1">
      <alignment horizontal="center"/>
    </xf>
    <xf numFmtId="0" fontId="26" fillId="17" borderId="23" xfId="0" applyFont="1" applyFill="1" applyBorder="1" applyAlignment="1">
      <alignment horizontal="center"/>
    </xf>
    <xf numFmtId="0" fontId="26" fillId="17" borderId="24" xfId="0" applyFont="1" applyFill="1" applyBorder="1" applyAlignment="1">
      <alignment horizontal="center"/>
    </xf>
  </cellXfs>
  <cellStyles count="15">
    <cellStyle name="Milliers" xfId="1" builtinId="3"/>
    <cellStyle name="Milliers 10" xfId="2" xr:uid="{00000000-0005-0000-0000-000001000000}"/>
    <cellStyle name="Milliers 2" xfId="8" xr:uid="{00000000-0005-0000-0000-000002000000}"/>
    <cellStyle name="Milliers 3" xfId="14" xr:uid="{00000000-0005-0000-0000-000003000000}"/>
    <cellStyle name="Monétaire 2 4 2 3 2" xfId="3" xr:uid="{00000000-0005-0000-0000-000004000000}"/>
    <cellStyle name="Monétaire 3 2" xfId="9" xr:uid="{00000000-0005-0000-0000-000005000000}"/>
    <cellStyle name="Normal" xfId="0" builtinId="0"/>
    <cellStyle name="Normal 2" xfId="5" xr:uid="{00000000-0005-0000-0000-000007000000}"/>
    <cellStyle name="Normal 2 54" xfId="12" xr:uid="{00000000-0005-0000-0000-000008000000}"/>
    <cellStyle name="Pourcentage" xfId="4" builtinId="5"/>
    <cellStyle name="Pourcentage 2" xfId="6" xr:uid="{00000000-0005-0000-0000-00000A000000}"/>
    <cellStyle name="Pourcentage 2 21" xfId="11" xr:uid="{00000000-0005-0000-0000-00000B000000}"/>
    <cellStyle name="Pourcentage 3" xfId="7" xr:uid="{00000000-0005-0000-0000-00000C000000}"/>
    <cellStyle name="Pourcentage 4" xfId="10" xr:uid="{00000000-0005-0000-0000-00000D000000}"/>
    <cellStyle name="Pourcentage 9" xfId="13" xr:uid="{00000000-0005-0000-0000-00000E000000}"/>
  </cellStyles>
  <dxfs count="740"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B4C6E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" formatCode="#,##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73" formatCode="0.0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rgb="FFFFFFFF"/>
        </left>
      </border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none"/>
      </font>
      <fill>
        <patternFill patternType="solid">
          <fgColor theme="5" tint="0.79998168889431442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73" formatCode="0.0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rgb="FFFFFFFF"/>
        </left>
      </border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lightUp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lightUp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lightUp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lightUp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73" formatCode="0.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border outline="0">
        <left style="thin">
          <color rgb="FFFFFFFF"/>
        </left>
        <bottom style="thick">
          <color theme="0"/>
        </bottom>
      </border>
    </dxf>
    <dxf>
      <font>
        <b/>
        <i val="0"/>
        <color rgb="FFFF0000"/>
      </font>
      <fill>
        <patternFill>
          <bgColor rgb="FFFFC000"/>
        </patternFill>
      </fill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CCCC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rgb="FFDBDB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none"/>
      </font>
      <fill>
        <patternFill patternType="solid">
          <fgColor theme="5" tint="0.79998168889431442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73" formatCode="0.0"/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theme="5" tint="0.79998168889431442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rgb="FFFFFFFF"/>
        </left>
      </border>
    </dxf>
    <dxf>
      <font>
        <b/>
        <i val="0"/>
        <color rgb="FFFF0000"/>
      </font>
      <fill>
        <patternFill>
          <bgColor rgb="FFFFC000"/>
        </patternFill>
      </fill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67" formatCode="0.0%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67" formatCode="0.0%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</font>
      <numFmt numFmtId="165" formatCode="_-* #,##0\ _€_-;\-* #,##0\ _€_-;_-* &quot;-&quot;??\ _€_-;_-@_-"/>
      <alignment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</font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</font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/>
        <bottom/>
      </border>
    </dxf>
    <dxf>
      <fill>
        <patternFill patternType="solid">
          <fgColor indexed="64"/>
          <bgColor theme="7" tint="0.59999389629810485"/>
        </patternFill>
      </fill>
      <alignment vertical="center" textRotation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rgb="FF000000"/>
          <bgColor rgb="FFC6E0B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rgb="FF54823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9" formatCode="#,##0_ ;\-#,##0\ 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6" formatCode="#,##0.00_ ;\-#,##0.00\ 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z val="8"/>
      </font>
      <numFmt numFmtId="164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z val="8"/>
      </font>
      <numFmt numFmtId="173" formatCode="0.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border>
        <top style="double">
          <color rgb="FF548235"/>
        </top>
      </border>
    </dxf>
    <dxf>
      <fill>
        <patternFill patternType="solid">
          <fgColor rgb="FF000000"/>
          <bgColor rgb="FFC6E0B4"/>
        </patternFill>
      </fill>
      <alignment vertical="center" textRotation="0" wrapText="0" indent="0" justifyLastLine="0" shrinkToFit="0" readingOrder="0"/>
    </dxf>
    <dxf>
      <border outline="0">
        <left style="thin">
          <color rgb="FFFFFFFF"/>
        </left>
      </border>
    </dxf>
    <dxf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C6E0B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rgb="FF54823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9" formatCode="#,##0_ ;\-#,##0\ 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6" formatCode="#,##0.00_ ;\-#,##0.00\ 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z val="8"/>
      </font>
      <numFmt numFmtId="164" formatCode="_-* #,##0.00\ _€_-;\-* #,##0.0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z val="8"/>
      </font>
      <numFmt numFmtId="173" formatCode="0.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border>
        <top style="double">
          <color rgb="FF548235"/>
        </top>
      </border>
    </dxf>
    <dxf>
      <fill>
        <patternFill patternType="solid">
          <fgColor rgb="FF000000"/>
          <bgColor rgb="FFC6E0B4"/>
        </patternFill>
      </fill>
      <alignment vertical="center" textRotation="0" wrapText="0" indent="0" justifyLastLine="0" shrinkToFit="0" readingOrder="0"/>
    </dxf>
    <dxf>
      <border outline="0">
        <left style="thin">
          <color rgb="FFFFFFFF"/>
        </left>
      </border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9" formatCode="#,##0_ ;\-#,##0\ 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6" formatCode="#,##0.00_ ;\-#,##0.00\ 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sz val="8"/>
        <color auto="1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theme="9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sz val="8"/>
      </font>
      <numFmt numFmtId="173" formatCode="0.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border>
        <top style="double">
          <color theme="9" tint="-0.24994659260841701"/>
        </top>
      </border>
    </dxf>
    <dxf>
      <fill>
        <patternFill patternType="solid">
          <fgColor indexed="64"/>
          <bgColor theme="9" tint="0.59999389629810485"/>
        </patternFill>
      </fill>
      <alignment vertical="center" textRotation="0" wrapText="0" indent="0" justifyLastLine="0" shrinkToFit="0" readingOrder="0"/>
    </dxf>
    <dxf>
      <border outline="0">
        <left style="thin">
          <color rgb="FFFFFFFF"/>
        </left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7" formatCode="0.0%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7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numFmt numFmtId="165" formatCode="_-* #,##0\ _€_-;\-* #,##0\ _€_-;_-* &quot;-&quot;??\ _€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  <border diagonalUp="0" diagonalDown="0"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  <border diagonalUp="0" diagonalDown="0"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numFmt numFmtId="165" formatCode="_-* #,##0\ _€_-;\-* #,##0\ _€_-;_-* &quot;-&quot;??\ _€_-;_-@_-"/>
      <alignment vertical="center" textRotation="0" indent="0" justifyLastLine="0" shrinkToFit="0" readingOrder="0"/>
      <border diagonalUp="0" diagonalDown="0"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\ _€_-;\-* #,##0\ _€_-;_-* &quot;-&quot;??\ _€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Calibri"/>
        <family val="2"/>
        <scheme val="none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165" formatCode="_-* #,##0\ _€_-;\-* #,##0\ _€_-;_-* &quot;-&quot;??\ _€_-;_-@_-"/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/>
        <bottom/>
      </border>
    </dxf>
    <dxf>
      <fill>
        <patternFill patternType="solid">
          <fgColor indexed="64"/>
          <bgColor theme="5" tint="0.5999938962981048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</font>
      <numFmt numFmtId="165" formatCode="_-* #,##0\ _€_-;\-* #,##0\ _€_-;_-* &quot;-&quot;??\ _€_-;_-@_-"/>
      <alignment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72" formatCode="#,##0\ &quot;MWh&quot;"/>
      <fill>
        <patternFill patternType="solid">
          <fgColor indexed="64"/>
          <bgColor rgb="FFFAC09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#,##0\ &quot;kWh&quot;"/>
      <fill>
        <patternFill patternType="solid">
          <fgColor indexed="64"/>
          <bgColor theme="5" tint="0.79998168889431442"/>
        </patternFill>
      </fill>
      <alignment vertical="center" textRotation="0" indent="0" justifyLastLine="0" shrinkToFit="0" readingOrder="0"/>
      <border diagonalUp="0" diagonalDown="0" outline="0">
        <left/>
        <right/>
        <top style="hair">
          <color theme="5" tint="-0.24994659260841701"/>
        </top>
        <bottom style="hair">
          <color theme="5" tint="-0.24994659260841701"/>
        </bottom>
      </border>
    </dxf>
    <dxf>
      <numFmt numFmtId="170" formatCode="#\ #00.0&quot;Mw&quot;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numFmt numFmtId="170" formatCode="#\ #00.0&quot;Mw&quot;"/>
      <alignment horizontal="center" vertical="center" textRotation="0" indent="0" justifyLastLine="0" shrinkToFit="0" readingOrder="0"/>
    </dxf>
    <dxf>
      <numFmt numFmtId="170" formatCode="#\ #00.0&quot;Mw&quot;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numFmt numFmtId="170" formatCode="#\ #00.0&quot;Mw&quot;"/>
      <alignment vertical="center" textRotation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border outline="0">
        <bottom style="thin">
          <color rgb="FF95B3D7"/>
        </bottom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101600</xdr:rowOff>
    </xdr:from>
    <xdr:to>
      <xdr:col>19</xdr:col>
      <xdr:colOff>495749</xdr:colOff>
      <xdr:row>44</xdr:row>
      <xdr:rowOff>115226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B7547F-7835-46A5-9F59-1D5EFE3F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600"/>
          <a:ext cx="12123749" cy="781362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35</xdr:col>
      <xdr:colOff>66675</xdr:colOff>
      <xdr:row>41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0156899-D0A3-41EA-8C95-249EB3B9945F}"/>
            </a:ext>
            <a:ext uri="{147F2762-F138-4A5C-976F-8EAC2B608ADB}">
              <a16:predDERef xmlns:a16="http://schemas.microsoft.com/office/drawing/2014/main" pred="{1BB7547F-7835-46A5-9F59-1D5EFE3F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30800" y="485775"/>
          <a:ext cx="8982075" cy="7048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oassaillit/Local%20Settings/Temporary%20Internet%20Files/Content.Outlook/9QM3O874/Traducteur_Hyseo_Windga_To_Olivie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WCOR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jdominguessantos/Mes%20documents/Work/Windga/Imports%20SSIS/Productible/Version%202/20110127_EDFEN_Import_Etude_Productible_v2_Avec_Prot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étrage Mapping"/>
      <sheetName val="Préparation Export"/>
      <sheetName val="EMPLOYES"/>
      <sheetName val="Reel17 Reel 16 sept_EBITDA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ix"/>
      <sheetName val="SaisiCompteurs EDF"/>
      <sheetName val="CalculKWMensuel"/>
      <sheetName val="ProdMoisCorse"/>
      <sheetName val="GraphMois"/>
      <sheetName val="GraphHebdo"/>
      <sheetName val="SaisiKWHebdo"/>
      <sheetName val="NbHeurViaNova"/>
      <sheetName val="NbHeurAsco"/>
      <sheetName val="Module3"/>
      <sheetName val="Module4"/>
      <sheetName val="Module1"/>
      <sheetName val="Module2"/>
    </sheetNames>
    <sheetDataSet>
      <sheetData sheetId="0"/>
      <sheetData sheetId="1"/>
      <sheetData sheetId="2">
        <row r="4">
          <cell r="I4">
            <v>590000</v>
          </cell>
        </row>
        <row r="5">
          <cell r="I5">
            <v>306800</v>
          </cell>
        </row>
        <row r="6">
          <cell r="I6">
            <v>185600</v>
          </cell>
        </row>
        <row r="7">
          <cell r="I7">
            <v>106400</v>
          </cell>
        </row>
        <row r="8">
          <cell r="I8">
            <v>140400</v>
          </cell>
        </row>
        <row r="9">
          <cell r="I9">
            <v>38400</v>
          </cell>
        </row>
        <row r="10">
          <cell r="I10">
            <v>0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168800</v>
          </cell>
        </row>
        <row r="15">
          <cell r="I15">
            <v>282400</v>
          </cell>
        </row>
        <row r="20">
          <cell r="I20">
            <v>1363200</v>
          </cell>
        </row>
        <row r="21">
          <cell r="I21">
            <v>729600</v>
          </cell>
        </row>
        <row r="22">
          <cell r="I22">
            <v>574400</v>
          </cell>
        </row>
        <row r="23">
          <cell r="I23">
            <v>638400</v>
          </cell>
        </row>
        <row r="24">
          <cell r="I24">
            <v>1550400</v>
          </cell>
        </row>
        <row r="25">
          <cell r="I25">
            <v>936800</v>
          </cell>
        </row>
        <row r="26">
          <cell r="I26">
            <v>241600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596000</v>
          </cell>
        </row>
        <row r="30">
          <cell r="I30">
            <v>1063200</v>
          </cell>
        </row>
        <row r="31">
          <cell r="I31">
            <v>1136000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Paramètres"/>
      <sheetName val="Données centrale"/>
      <sheetName val="Données prévisionnelles PVT"/>
      <sheetName val="Intégration dans Windga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ha ALILOU" id="{8C8A0C17-2755-4ED2-B3F5-4E255DC0BA93}" userId="S::maha.alilou@edf-re.fr::223eec9e-e4a6-4a9c-8472-1b9f9a7e534c" providerId="AD"/>
  <person displayName="Lola GAUTIER" id="{7CAE674B-9D79-4200-9F2E-3FEAE266C294}" userId="S::Lola.GAUTIER@edf-re.fr::6ce8016e-5a0a-4b79-8926-95bc07888c81" providerId="AD"/>
  <person displayName="Demba NDIAYE" id="{9B8DDAD3-9F64-4978-A02D-1AAD5FCCD226}" userId="S::demba.ndiaye@edf-re.fr::8d2c0e0f-a131-49c7-b5a1-61f3ec630a26" providerId="AD"/>
  <person displayName="Julie PASTOR" id="{1C82A4E8-D9C5-41FB-BD39-26F66317C03C}" userId="S::julie.pastor@edf-re.fr::0f669060-529b-4562-b9cc-aa8c3427bd54" providerId="AD"/>
  <person displayName="Louis HONORE" id="{7D2821EC-6170-489B-BBB7-C5AB24EDE7DB}" userId="S::louis.honore@edf-re.fr::48cb74e8-a791-47e7-8db8-b4b9224ee661" providerId="AD"/>
  <person displayName="Pascal DIGON" id="{AA76A9EF-0DB0-4FCB-B270-E50AEF4A6EE6}" userId="S::pascal.digon@edf-re.fr::e553792d-7223-4edf-98c6-0ee27e15c488" providerId="AD"/>
  <person displayName="Boris KASABOV" id="{7688E19C-59E1-4E90-B778-2CC71EC606D8}" userId="S::Boris.Kasabov@edf-re.fr::bc5d4c14-d7c9-4363-8068-8844d87c182c" providerId="AD"/>
  <person displayName="Kevin CLEMENT" id="{170DE29A-4F89-4AA5-9A3B-5E0D4C244EE2}" userId="S::Kevin.CLEMENT@edf-re.fr::c56c8a3b-2600-4cf2-a251-bc392989baea" providerId="AD"/>
  <person displayName="Marie PILLODS" id="{6C753DA6-191D-48D2-9DEA-254F9A496679}" userId="S::Marie.PILLODS@edf-re.fr::5915f307-4595-4eef-805b-b5a91a0989e5" providerId="AD"/>
  <person displayName="Kevin DALIBERT" id="{9EB4FA34-52A4-42AD-94C5-08A28DEC581C}" userId="S::Kevin.Dalibert@edf-re.fr::5dde03b1-d647-4244-a7aa-068999fed7d4" providerId="AD"/>
  <person displayName="Monika ARNOULD" id="{6AF6DFCA-5D65-417C-96C2-7A5ADA8F121C}" userId="S::Monika.Arnould@edf-re.fr::1b404b08-0d7a-4adc-976b-1fa7ddbf7786" providerId="AD"/>
  <person displayName="Nicolas DULONG" id="{A0A38A8A-C134-4678-9CBB-23A0304771A0}" userId="S::Nicolas.DULONG@edf-re.fr::cc045e8f-3f64-456f-9e3e-3c6739bb1748" providerId="AD"/>
  <person displayName="Pierre GITENET" id="{69CA0253-62CF-4B18-83E9-9A2EA13E7DDE}" userId="S::Pierre.Gitenet@edf-re.fr::ba02ea7f-00b3-45e8-900a-df683a7a94ff" providerId="AD"/>
  <person displayName="Zakaria ANGOUD" id="{C2149035-1331-4159-8FC2-DE8044F8706D}" userId="S::Zakaria.ANGOUD@edf-re.fr::94f38eb2-88a6-4f94-954b-56956d72a6ac" providerId="AD"/>
  <person displayName="Monika ARNOULD" id="{692B9717-F9AF-4DDC-90DB-F180C82E0DFD}" userId="S::monika.arnould@edf-re.fr::1b404b08-0d7a-4adc-976b-1fa7ddbf7786" providerId="AD"/>
  <person displayName="Othmane OUTAYEB" id="{8EB10B61-537E-4BDE-ADF3-A7864FFF3CCF}" userId="S::Othmane.Outayeb@edf-re.fr::ef343852-ab9d-46af-8e11-3a8b55c190e7" providerId="AD"/>
  <person displayName="Dominique JACOB" id="{FDDF2605-3A0A-4CB8-A69E-5BEE09943F94}" userId="S::dominique.jacob@edf-re.fr::d233f1fb-1010-47f7-833c-5e497c07731f" providerId="AD"/>
  <person displayName="Othmane OUTAYEB" id="{E06499CF-A6A4-4316-97FA-0922CD5D7AE0}" userId="S::othmane.outayeb@edf-re.fr::ef343852-ab9d-46af-8e11-3a8b55c190e7" providerId="AD"/>
  <person displayName="Nicolas LEGENDRE" id="{47608323-9CE7-4C00-B95A-4687EEA986EA}" userId="S::Nicolas.LEGENDRE@edf-re.fr::d13aba14-8d51-4ea5-a5bd-bd8420b1571f" providerId="AD"/>
  <person displayName="Simon CLEMENCEAU" id="{E97F4A3F-2F7C-4FF0-A6B3-5D5F676AD6E1}" userId="S::simon.clemenceau@edf-re.fr::e28fee67-06fe-406b-b1e9-ef57b57ee61a" providerId="AD"/>
  <person displayName="Aymeric BIGOURDAN" id="{EFDD1484-E03D-4397-9050-3CD92997A87B}" userId="S::Aymeric.BIGOURDAN@edf-re.fr::335a9174-6f35-402a-ae83-9692197140bb" providerId="AD"/>
  <person displayName="Nopphadol SRIKONG" id="{406BADBF-FB89-4BB3-AFA2-11851406DD50}" userId="S::nopphadol.srikong@edf-re.fr::b699bd93-6ace-444c-b15c-7bca1c6dbdd2" providerId="AD"/>
</personList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#REF!</fb>
    <v>3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362" displayName="Tableau1362" ref="A1:O190" totalsRowCount="1" headerRowDxfId="738" dataDxfId="737" totalsRowDxfId="736">
  <autoFilter ref="A1:O189" xr:uid="{00000000-0009-0000-0100-000001000000}"/>
  <sortState xmlns:xlrd2="http://schemas.microsoft.com/office/spreadsheetml/2017/richdata2" ref="A2:N187">
    <sortCondition ref="A1:A187"/>
  </sortState>
  <tableColumns count="15">
    <tableColumn id="15" xr3:uid="{00000000-0010-0000-0000-00000F000000}" name="Quadri" totalsRowFunction="count" dataDxfId="735" totalsRowDxfId="734"/>
    <tableColumn id="1" xr3:uid="{00000000-0010-0000-0000-000001000000}" name="SITES" totalsRowFunction="count" dataDxfId="733" totalsRowDxfId="732"/>
    <tableColumn id="2" xr3:uid="{00000000-0010-0000-0000-000002000000}" name="JANVIER" dataDxfId="731" totalsRowDxfId="730">
      <calculatedColumnFormula>900.77509/#REF!</calculatedColumnFormula>
    </tableColumn>
    <tableColumn id="3" xr3:uid="{00000000-0010-0000-0000-000003000000}" name="FEVRIER" dataDxfId="729" totalsRowDxfId="728"/>
    <tableColumn id="4" xr3:uid="{00000000-0010-0000-0000-000004000000}" name="MARS" dataDxfId="727" totalsRowDxfId="726"/>
    <tableColumn id="5" xr3:uid="{00000000-0010-0000-0000-000005000000}" name="AVRIL" dataDxfId="725" totalsRowDxfId="724"/>
    <tableColumn id="6" xr3:uid="{00000000-0010-0000-0000-000006000000}" name="MAI" dataDxfId="723" totalsRowDxfId="722"/>
    <tableColumn id="7" xr3:uid="{00000000-0010-0000-0000-000007000000}" name="JUIN" dataDxfId="721" totalsRowDxfId="720"/>
    <tableColumn id="8" xr3:uid="{00000000-0010-0000-0000-000008000000}" name="JUILLET" dataDxfId="719" totalsRowDxfId="718"/>
    <tableColumn id="9" xr3:uid="{00000000-0010-0000-0000-000009000000}" name="AOUT" dataDxfId="717" totalsRowDxfId="716"/>
    <tableColumn id="10" xr3:uid="{00000000-0010-0000-0000-00000A000000}" name="SEPTEMBRE" dataDxfId="715" totalsRowDxfId="714"/>
    <tableColumn id="11" xr3:uid="{00000000-0010-0000-0000-00000B000000}" name="OCTOBRE" dataDxfId="713" totalsRowDxfId="712"/>
    <tableColumn id="12" xr3:uid="{00000000-0010-0000-0000-00000C000000}" name="NOVEMBRE " dataDxfId="711" totalsRowDxfId="710"/>
    <tableColumn id="13" xr3:uid="{00000000-0010-0000-0000-00000D000000}" name="DECEMBRE" dataDxfId="709" totalsRowDxfId="708"/>
    <tableColumn id="14" xr3:uid="{00000000-0010-0000-0000-00000E000000}" name="total" dataDxfId="707" totalsRowDxfId="706">
      <calculatedColumnFormula>SUM(Tableau1362[[#This Row],[JANVIER]:[DECEMBRE]])</calculatedColumnFormula>
    </tableColumn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leau16" displayName="Tableau16" ref="A5:AO200" totalsRowCount="1" tableBorderDxfId="275">
  <autoFilter ref="A5:AO199" xr:uid="{00000000-000C-0000-FFFF-FFFF09000000}"/>
  <tableColumns count="41">
    <tableColumn id="1" xr3:uid="{00000000-0010-0000-0900-000001000000}" name="OPEX VARIABLES en €_x000a__x000a_BN 2023" totalsRowFunction="count" dataDxfId="274" totalsRowDxfId="273"/>
    <tableColumn id="2" xr3:uid="{00000000-0010-0000-0900-000002000000}" name="Code Sté" dataDxfId="272" totalsRowDxfId="271">
      <calculatedColumnFormula>VLOOKUP(OPX_LE3!$A6,Tableau106[],3,FALSE)</calculatedColumnFormula>
    </tableColumn>
    <tableColumn id="3" xr3:uid="{00000000-0010-0000-0900-000003000000}" name="CODE PROJET" dataDxfId="270" totalsRowDxfId="269">
      <calculatedColumnFormula>VLOOKUP(OPX_LE3!$A6,Tableau106[],2,FALSE)</calculatedColumnFormula>
    </tableColumn>
    <tableColumn id="4" xr3:uid="{00000000-0010-0000-0900-000004000000}" name="NRJ" dataDxfId="268" totalsRowDxfId="267">
      <calculatedColumnFormula>VLOOKUP(OPX_LE3!$A6,Tableau106[],8,FALSE)</calculatedColumnFormula>
    </tableColumn>
    <tableColumn id="5" xr3:uid="{00000000-0010-0000-0900-000005000000}" name="MW" dataDxfId="266" totalsRowDxfId="265">
      <calculatedColumnFormula>VLOOKUP(OPX_LE3!$A6,Tableau106[],4,FALSE)</calculatedColumnFormula>
    </tableColumn>
    <tableColumn id="6" xr3:uid="{00000000-0010-0000-0900-000006000000}" name="CODE PI" dataDxfId="264" totalsRowDxfId="263">
      <calculatedColumnFormula>VLOOKUP(OPX_LE3!$A6,Tableau106[],5,FALSE)</calculatedColumnFormula>
    </tableColumn>
    <tableColumn id="7" xr3:uid="{00000000-0010-0000-0900-000007000000}" name="PORTFOLIO" dataDxfId="262" totalsRowDxfId="261">
      <calculatedColumnFormula>VLOOKUP(OPX_LE3!$A6,Tableau106[],7,FALSE)</calculatedColumnFormula>
    </tableColumn>
    <tableColumn id="8" xr3:uid="{00000000-0010-0000-0900-000008000000}" name="REGION _x000a_N/S" dataDxfId="260" totalsRowDxfId="259">
      <calculatedColumnFormula>VLOOKUP(OPX_LE3!$A6,Tableau106[],6,FALSE)</calculatedColumnFormula>
    </tableColumn>
    <tableColumn id="39" xr3:uid="{00000000-0010-0000-0900-000027000000}" name="CAGA" dataDxfId="258" totalsRowDxfId="257">
      <calculatedColumnFormula>VLOOKUP(OPX_LE3!$A6,Tableau106[],9,FALSE)</calculatedColumnFormula>
    </tableColumn>
    <tableColumn id="9" xr3:uid="{00000000-0010-0000-0900-000009000000}" name="Contrat Groupe EDF Re : (WTG + PDL)" totalsRowFunction="sum" dataDxfId="256" totalsRowDxfId="255"/>
    <tableColumn id="10" xr3:uid="{00000000-0010-0000-0900-00000A000000}" name="Tâches réalisées par EDF RS en sus du contrat  + DI" totalsRowFunction="sum" dataDxfId="254" totalsRowDxfId="253"/>
    <tableColumn id="11" xr3:uid="{00000000-0010-0000-0900-00000B000000}" name="Préstations effectuées dans le cadre de MCR (GBX, génératrice, composant HTA…) par EDF RS_x000a_PV : Sinistre" totalsRowFunction="sum" dataDxfId="252" totalsRowDxfId="251"/>
    <tableColumn id="12" xr3:uid="{00000000-0010-0000-0900-00000C000000}" name="Entretien du BoP (pistes, végétation, plateformes, nettoyage panneaux…) ou travaux sur le BOP" totalsRowFunction="sum" dataDxfId="250" totalsRowDxfId="249"/>
    <tableColumn id="13" xr3:uid="{00000000-0010-0000-0900-00000D000000}" name="Préstations pour des inpsections sur les pales, fin de vie, fin de garantie.. en sus du contrat réalisé en interne" totalsRowFunction="sum" dataDxfId="248" totalsRowDxfId="247"/>
    <tableColumn id="14" xr3:uid="{00000000-0010-0000-0900-00000E000000}" name="Préstations sur les MdM et équipements météo (entretien, maintenance corrective…)" totalsRowFunction="sum" dataDxfId="246" totalsRowDxfId="245"/>
    <tableColumn id="15" xr3:uid="{00000000-0010-0000-0900-00000F000000}" name="Préstations sur les outils Télésurveillance / SCADA / Telecom, les abonnements RDL / Internet / Genesys / Wonder…" totalsRowFunction="sum" dataDxfId="244" totalsRowDxfId="243"/>
    <tableColumn id="16" xr3:uid="{00000000-0010-0000-0900-000010000000}" name="Prestations diverses  &amp; accompagnements interne (1,6 k€ par jour d'acc)" totalsRowFunction="sum" dataDxfId="242" totalsRowDxfId="241" dataCellStyle="Milliers">
      <calculatedColumnFormula>-250*OPX_LE3!$E6</calculatedColumnFormula>
    </tableColumn>
    <tableColumn id="17" xr3:uid="{00000000-0010-0000-0900-000011000000}" name="TOTAL CORRECTIF 0&amp;M GROUPE" totalsRowFunction="sum" dataDxfId="240" totalsRowDxfId="239">
      <calculatedColumnFormula>SUM(OPX_LE3!$K6:$Q6)</calculatedColumnFormula>
    </tableColumn>
    <tableColumn id="18" xr3:uid="{00000000-0010-0000-0900-000012000000}" name="Contrats (WTG + PDL) hors EDF RS" totalsRowFunction="sum" dataDxfId="238" totalsRowDxfId="237"/>
    <tableColumn id="19" xr3:uid="{00000000-0010-0000-0900-000013000000}" name="Tâches réalisées en sus du contrat" totalsRowFunction="sum" dataDxfId="236" totalsRowDxfId="235"/>
    <tableColumn id="20" xr3:uid="{00000000-0010-0000-0900-000014000000}" name="Préstations effectuées dans le cadre de MCR (GBX, génératrice, composant HTA…) par EDF RS_x000a_PV : Sinistre2" totalsRowFunction="sum" dataDxfId="234" totalsRowDxfId="233"/>
    <tableColumn id="21" xr3:uid="{00000000-0010-0000-0900-000015000000}" name="Entretien du BoP (pistes, végétation, plateformes, nettoyage panneaux…) ou travaux sur le BOP3" totalsRowFunction="sum" dataDxfId="232" totalsRowDxfId="231"/>
    <tableColumn id="22" xr3:uid="{00000000-0010-0000-0900-000016000000}" name="Prestations pour des inpsections sur les pales, Fin de vie, Fin de garantie.. En sus du contrat " totalsRowFunction="sum" dataDxfId="230" totalsRowDxfId="229"/>
    <tableColumn id="23" xr3:uid="{00000000-0010-0000-0900-000017000000}" name="Préstations sur les MdM et équipements météo (entretien, maintenance corrective…)4" totalsRowFunction="sum" dataDxfId="228" totalsRowDxfId="227"/>
    <tableColumn id="24" xr3:uid="{00000000-0010-0000-0900-000018000000}" name="Préstations sur les outils Télésurveillance / SCADA / Telecom, les abonnements RDL / Internet / Genesys / Wonder…5" totalsRowFunction="sum" dataDxfId="226" totalsRowDxfId="225"/>
    <tableColumn id="25" xr3:uid="{00000000-0010-0000-0900-000019000000}" name="Prestations diverses  &amp; accompagnements (1,6 k€ par jour d'acc)" totalsRowFunction="sum" dataDxfId="224" totalsRowDxfId="223"/>
    <tableColumn id="26" xr3:uid="{00000000-0010-0000-0900-00001A000000}" name="Prestations locale pour ancrage territorial " totalsRowFunction="sum" dataDxfId="222" totalsRowDxfId="221"/>
    <tableColumn id="27" xr3:uid="{00000000-0010-0000-0900-00001B000000}" name="TOTAL CORRECTIF O&amp;M HORS GROUPE" totalsRowFunction="sum" dataDxfId="220" totalsRowDxfId="219">
      <calculatedColumnFormula>SUM(OPX_LE3!$T6:$AA6)</calculatedColumnFormula>
    </tableColumn>
    <tableColumn id="28" xr3:uid="{00000000-0010-0000-0900-00001C000000}" name="SDA (loc nacelle, contrat O&amp;M, dépannage)" totalsRowFunction="sum" dataDxfId="218" totalsRowDxfId="217">
      <calculatedColumnFormula>-((46000/8*4)/2)</calculatedColumnFormula>
    </tableColumn>
    <tableColumn id="29" xr3:uid="{00000000-0010-0000-0900-00001D000000}" name="Location des containers, prestations de mise en place…" totalsRowFunction="sum" dataDxfId="216" totalsRowDxfId="215">
      <calculatedColumnFormula>-4924*1.03</calculatedColumnFormula>
    </tableColumn>
    <tableColumn id="30" xr3:uid="{00000000-0010-0000-0900-00001E000000}" name="Prestations pour les suivis avifaune (hors morta)" totalsRowFunction="sum" dataDxfId="214" totalsRowDxfId="213"/>
    <tableColumn id="31" xr3:uid="{00000000-0010-0000-0900-00001F000000}" name="Prestations pour les suivis Chiroptères" totalsRowFunction="sum" dataDxfId="212" totalsRowDxfId="211"/>
    <tableColumn id="32" xr3:uid="{00000000-0010-0000-0900-000020000000}" name="Prestations pour les suivis mortalités" totalsRowFunction="sum" dataDxfId="210" totalsRowDxfId="209"/>
    <tableColumn id="33" xr3:uid="{00000000-0010-0000-0900-000021000000}" name="Autres suivis /Etudes (+ dédiée PV)" totalsRowFunction="sum" dataDxfId="208" totalsRowDxfId="207"/>
    <tableColumn id="34" xr3:uid="{00000000-0010-0000-0900-000022000000}" name="(mesures compensatoires du PC ou autres)" totalsRowFunction="sum" dataDxfId="206" totalsRowDxfId="205"/>
    <tableColumn id="35" xr3:uid="{00000000-0010-0000-0900-000023000000}" name="TOTAL ENVIRO" totalsRowFunction="sum" dataDxfId="204" totalsRowDxfId="203">
      <calculatedColumnFormula>SUM(OPX_LE3!$AC6:$AI6)</calculatedColumnFormula>
    </tableColumn>
    <tableColumn id="36" xr3:uid="{00000000-0010-0000-0900-000024000000}" name="Bonus, dédommagement sinistre" totalsRowFunction="sum" dataDxfId="202" totalsRowDxfId="201"/>
    <tableColumn id="37" xr3:uid="{00000000-0010-0000-0900-000025000000}" name="GRAND TOTAL" totalsRowFunction="sum" dataDxfId="200" totalsRowDxfId="199">
      <calculatedColumnFormula>SUM(OPX_LE3!$J6,OPX_LE3!$AB6,OPX_LE3!$S6,OPX_LE3!$AJ6,OPX_LE3!$R6,OPX_LE3!$AK6)</calculatedColumnFormula>
    </tableColumn>
    <tableColumn id="38" xr3:uid="{00000000-0010-0000-0900-000026000000}" name="CAPEX" totalsRowFunction="sum" dataDxfId="198" totalsRowDxfId="197"/>
    <tableColumn id="41" xr3:uid="{CF256CED-F8DF-454B-A320-18EC9AEC20F1}" name="Enveloppe CAPEX EGM (4,6M€)" totalsRowFunction="custom" dataDxfId="196" totalsRowDxfId="195" dataCellStyle="Milliers">
      <totalsRowFormula>SUBTOTAL(109,AN6:AN199)</totalsRowFormula>
    </tableColumn>
    <tableColumn id="40" xr3:uid="{00000000-0010-0000-0900-000028000000}" name="commentaires" dataDxfId="194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A000000}" name="Tableau17" displayName="Tableau17" ref="A5:AN200" totalsRowCount="1" tableBorderDxfId="108">
  <autoFilter ref="A5:AN199" xr:uid="{00000000-0009-0000-0100-000011000000}"/>
  <tableColumns count="40">
    <tableColumn id="1" xr3:uid="{00000000-0010-0000-0A00-000001000000}" name="OPEX VARIABLES en €_x000a__x000a_BN 2024" totalsRowFunction="count" dataDxfId="107" totalsRowDxfId="106"/>
    <tableColumn id="2" xr3:uid="{00000000-0010-0000-0A00-000002000000}" name="Code Sté" dataDxfId="105" totalsRowDxfId="104">
      <calculatedColumnFormula>VLOOKUP('OPX_BN+1'!$A6,Tableau106[],3,FALSE)</calculatedColumnFormula>
    </tableColumn>
    <tableColumn id="3" xr3:uid="{00000000-0010-0000-0A00-000003000000}" name="CODE PROJET" dataDxfId="103" totalsRowDxfId="102">
      <calculatedColumnFormula>VLOOKUP('OPX_BN+1'!$A6,Tableau106[],2,FALSE)</calculatedColumnFormula>
    </tableColumn>
    <tableColumn id="4" xr3:uid="{00000000-0010-0000-0A00-000004000000}" name="NRJ" dataDxfId="101" totalsRowDxfId="100">
      <calculatedColumnFormula>VLOOKUP('OPX_BN+1'!$A6,Tableau106[],8,FALSE)</calculatedColumnFormula>
    </tableColumn>
    <tableColumn id="5" xr3:uid="{00000000-0010-0000-0A00-000005000000}" name="MW" dataDxfId="99" totalsRowDxfId="98">
      <calculatedColumnFormula>VLOOKUP('OPX_BN+1'!$A6,Tableau106[],4,FALSE)</calculatedColumnFormula>
    </tableColumn>
    <tableColumn id="6" xr3:uid="{00000000-0010-0000-0A00-000006000000}" name="CODE PI" dataDxfId="97" totalsRowDxfId="96">
      <calculatedColumnFormula>VLOOKUP('OPX_BN+1'!$A6,Tableau106[],5,FALSE)</calculatedColumnFormula>
    </tableColumn>
    <tableColumn id="7" xr3:uid="{00000000-0010-0000-0A00-000007000000}" name="PORTFOLIO" dataDxfId="95" totalsRowDxfId="94">
      <calculatedColumnFormula>VLOOKUP('OPX_BN+1'!$A6,Tableau106[],7,FALSE)</calculatedColumnFormula>
    </tableColumn>
    <tableColumn id="8" xr3:uid="{00000000-0010-0000-0A00-000008000000}" name="REGION _x000a_N/S" dataDxfId="93" totalsRowDxfId="92">
      <calculatedColumnFormula>VLOOKUP('OPX_BN+1'!$A6,Tableau106[],6,FALSE)</calculatedColumnFormula>
    </tableColumn>
    <tableColumn id="39" xr3:uid="{00000000-0010-0000-0A00-000027000000}" name="CAGA" dataDxfId="91" totalsRowDxfId="90">
      <calculatedColumnFormula>VLOOKUP(Tableau17[[#This Row],[OPEX VARIABLES en €
BN 2024]],Tableau106[],9,FALSE)</calculatedColumnFormula>
    </tableColumn>
    <tableColumn id="9" xr3:uid="{00000000-0010-0000-0A00-000009000000}" name="Contrat Groupe EDF Re : (WTG + PDL)" totalsRowFunction="sum" dataDxfId="89" totalsRowDxfId="88">
      <calculatedColumnFormula>VLOOKUP(Tableau17[[#This Row],[CODE PI]],Tableau16[[CODE PI]:[(mesures compensatoires du PC ou autres)]],5,FALSE)*(1+$B$1)</calculatedColumnFormula>
    </tableColumn>
    <tableColumn id="10" xr3:uid="{00000000-0010-0000-0A00-00000A000000}" name="Tâches réalisées par EDF RS en sus du contrat  + DI" totalsRowFunction="sum" dataDxfId="87" totalsRowDxfId="86" dataCellStyle="Milliers"/>
    <tableColumn id="11" xr3:uid="{00000000-0010-0000-0A00-00000B000000}" name="Préstations effectuées dans le cadre de MCR (GBX, génératrice, composant HTA…) par EDF RS_x000a_PV : Sinistre" dataDxfId="85" totalsRowDxfId="84"/>
    <tableColumn id="12" xr3:uid="{00000000-0010-0000-0A00-00000C000000}" name="Entretien du BoP (pistes, végétation, plateformes, nettoyage panneaux…) ou travaux sur le BOP" dataDxfId="83" totalsRowDxfId="82"/>
    <tableColumn id="13" xr3:uid="{00000000-0010-0000-0A00-00000D000000}" name="Préstations pour des inpsections sur les pales, fin de vie, fin de garantie.. en sus du contrat réalisé en interne" dataDxfId="81" totalsRowDxfId="80"/>
    <tableColumn id="14" xr3:uid="{00000000-0010-0000-0A00-00000E000000}" name="Préstations sur les MdM et équipements météo (entretien, maintenance corrective…)" dataDxfId="79" totalsRowDxfId="78"/>
    <tableColumn id="15" xr3:uid="{00000000-0010-0000-0A00-00000F000000}" name="Préstations sur les outils Télésurveillance / SCADA / Telecom, les abonnements RDL / Internet / Genesys / Wonder…" dataDxfId="77" totalsRowDxfId="76"/>
    <tableColumn id="16" xr3:uid="{00000000-0010-0000-0A00-000010000000}" name="Prestations diverses  &amp; accompagnements interne (1,6 k€ par jour d'acc)" totalsRowFunction="custom" dataDxfId="75" totalsRowDxfId="74" dataCellStyle="Milliers">
      <calculatedColumnFormula>-250*'OPX_BN+1'!$E6</calculatedColumnFormula>
      <totalsRowFormula>SUM(Tableau17[Prestations diverses  &amp; accompagnements interne (1,6 k€ par jour d''acc)])</totalsRowFormula>
    </tableColumn>
    <tableColumn id="17" xr3:uid="{00000000-0010-0000-0A00-000011000000}" name="TOTAL CORRECTIF 0&amp;M GROUPE" totalsRowFunction="sum" dataDxfId="73" totalsRowDxfId="72">
      <calculatedColumnFormula>SUM('OPX_BN+1'!$K6:$Q6)</calculatedColumnFormula>
    </tableColumn>
    <tableColumn id="18" xr3:uid="{00000000-0010-0000-0A00-000012000000}" name="Contrats (WTG + PDL) hors EDF RS" totalsRowFunction="sum" dataDxfId="71" totalsRowDxfId="70">
      <calculatedColumnFormula>VLOOKUP(Tableau17[[#This Row],[CODE PI]],Tableau16[[CODE PI]:[(mesures compensatoires du PC ou autres)]],14,FALSE)*(1+$B$1)</calculatedColumnFormula>
    </tableColumn>
    <tableColumn id="19" xr3:uid="{00000000-0010-0000-0A00-000013000000}" name="Tâches réalisées en sus du contrat" dataDxfId="69" totalsRowDxfId="68"/>
    <tableColumn id="20" xr3:uid="{00000000-0010-0000-0A00-000014000000}" name="Préstations effectuées dans le cadre de MCR (GBX, génératrice, composant HTA…) par EDF RS_x000a_PV : Sinistre2" dataDxfId="67" totalsRowDxfId="66"/>
    <tableColumn id="21" xr3:uid="{00000000-0010-0000-0A00-000015000000}" name="Entretien du BoP (pistes, végétation, plateformes, nettoyage panneaux…) ou travaux sur le BOP3" dataDxfId="65" totalsRowDxfId="64"/>
    <tableColumn id="22" xr3:uid="{00000000-0010-0000-0A00-000016000000}" name="Prestations pour des inpsections sur les pales, Fin de vie, Fin de garantie.. En sus du contrat " dataDxfId="63" totalsRowDxfId="62"/>
    <tableColumn id="23" xr3:uid="{00000000-0010-0000-0A00-000017000000}" name="Préstations sur les MdM et équipements météo (entretien, maintenance corrective…)4" dataDxfId="61" totalsRowDxfId="60"/>
    <tableColumn id="24" xr3:uid="{00000000-0010-0000-0A00-000018000000}" name="Préstations sur les outils Télésurveillance / SCADA / Telecom, les abonnements RDL / Internet / Genesys / Wonder…5" dataDxfId="59" totalsRowDxfId="58"/>
    <tableColumn id="25" xr3:uid="{00000000-0010-0000-0A00-000019000000}" name="Prestations diverses  &amp; accompagnements (1,6 k€ par jour d'acc)" dataDxfId="57" totalsRowDxfId="56">
      <calculatedColumnFormula>-250*Tableau17[[#This Row],[MW]]</calculatedColumnFormula>
    </tableColumn>
    <tableColumn id="26" xr3:uid="{00000000-0010-0000-0A00-00001A000000}" name="Prestations locale pour ancrage territorial " dataDxfId="55" totalsRowDxfId="54"/>
    <tableColumn id="27" xr3:uid="{00000000-0010-0000-0A00-00001B000000}" name="TOTAL CORRECTIF O&amp;M HORS GROUPE" totalsRowFunction="sum" dataDxfId="53" totalsRowDxfId="52">
      <calculatedColumnFormula>SUM('OPX_BN+1'!$T6:$AA6)</calculatedColumnFormula>
    </tableColumn>
    <tableColumn id="28" xr3:uid="{00000000-0010-0000-0A00-00001C000000}" name="SDA (loc nacelle, contrat O&amp;M, dépannage)" dataDxfId="51" totalsRowDxfId="50"/>
    <tableColumn id="29" xr3:uid="{00000000-0010-0000-0A00-00001D000000}" name="Location des containers, prestations de mise en place…" totalsRowFunction="custom" dataDxfId="49" totalsRowDxfId="48">
      <calculatedColumnFormula>-4924*1.025</calculatedColumnFormula>
      <totalsRowFormula>SUBTOTAL(109,AD6:AD199)</totalsRowFormula>
    </tableColumn>
    <tableColumn id="30" xr3:uid="{00000000-0010-0000-0A00-00001E000000}" name="Prestations pour les suivis avifaune (hors morta)" dataDxfId="47" totalsRowDxfId="46"/>
    <tableColumn id="31" xr3:uid="{00000000-0010-0000-0A00-00001F000000}" name="Prestations pour les suivis Chiroptères" dataDxfId="45" totalsRowDxfId="44"/>
    <tableColumn id="32" xr3:uid="{00000000-0010-0000-0A00-000020000000}" name="Prestations pour les suivis mortalités" dataDxfId="43" totalsRowDxfId="42"/>
    <tableColumn id="33" xr3:uid="{00000000-0010-0000-0A00-000021000000}" name="Autres suivis /Etudes (+ dédiée PV)" dataDxfId="41" totalsRowDxfId="40"/>
    <tableColumn id="34" xr3:uid="{00000000-0010-0000-0A00-000022000000}" name="(mesures compensatoires du PC ou autres)" dataDxfId="39" totalsRowDxfId="38"/>
    <tableColumn id="35" xr3:uid="{00000000-0010-0000-0A00-000023000000}" name="TOTAL ENVIRO" totalsRowFunction="sum" dataDxfId="37" totalsRowDxfId="36">
      <calculatedColumnFormula>SUM('OPX_BN+1'!$AC6:$AI6)</calculatedColumnFormula>
    </tableColumn>
    <tableColumn id="36" xr3:uid="{00000000-0010-0000-0A00-000024000000}" name="Bonus, dédommagement sinistre" dataDxfId="35" totalsRowDxfId="34"/>
    <tableColumn id="37" xr3:uid="{00000000-0010-0000-0A00-000025000000}" name="GRAND TOTAL" totalsRowFunction="sum" dataDxfId="33" totalsRowDxfId="32">
      <calculatedColumnFormula>SUM('OPX_BN+1'!$J6,'OPX_BN+1'!$AB6,'OPX_BN+1'!$S6,'OPX_BN+1'!$AJ6,'OPX_BN+1'!$R6,'OPX_BN+1'!$AK6)</calculatedColumnFormula>
    </tableColumn>
    <tableColumn id="38" xr3:uid="{00000000-0010-0000-0A00-000026000000}" name="CAPEX" totalsRowFunction="sum" dataDxfId="31" totalsRowDxfId="30"/>
    <tableColumn id="40" xr3:uid="{00000000-0010-0000-0A00-000028000000}" name="commentaires" totalsRowFunction="count" dataDxfId="29" totalsRowDxfId="28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au106" displayName="Tableau106" ref="A2:I243" totalsRowCount="1" headerRowDxfId="27" dataDxfId="26" tableBorderDxfId="25">
  <autoFilter ref="A2:I242" xr:uid="{00000000-0009-0000-0100-00000B000000}"/>
  <sortState xmlns:xlrd2="http://schemas.microsoft.com/office/spreadsheetml/2017/richdata2" ref="A3:I242">
    <sortCondition ref="A2:A242"/>
  </sortState>
  <tableColumns count="9">
    <tableColumn id="1" xr3:uid="{00000000-0010-0000-0B00-000001000000}" name="PARCS" dataDxfId="24" totalsRowDxfId="23"/>
    <tableColumn id="3" xr3:uid="{00000000-0010-0000-0B00-000003000000}" name="CODE PROJET" totalsRowFunction="count" dataDxfId="22" totalsRowDxfId="21"/>
    <tableColumn id="2" xr3:uid="{00000000-0010-0000-0B00-000002000000}" name="Code Sté" dataDxfId="20" totalsRowDxfId="19"/>
    <tableColumn id="7" xr3:uid="{00000000-0010-0000-0B00-000007000000}" name="MW" dataDxfId="18" totalsRowDxfId="17"/>
    <tableColumn id="4" xr3:uid="{00000000-0010-0000-0B00-000004000000}" name="CODE PI" dataDxfId="16" totalsRowDxfId="15"/>
    <tableColumn id="5" xr3:uid="{00000000-0010-0000-0B00-000005000000}" name="REGION _x000a_N/S" dataDxfId="14" totalsRowDxfId="13"/>
    <tableColumn id="6" xr3:uid="{00000000-0010-0000-0B00-000006000000}" name="PORTFOLIO" dataDxfId="12" totalsRowDxfId="11"/>
    <tableColumn id="9" xr3:uid="{00000000-0010-0000-0B00-000009000000}" name="nrj" totalsRowFunction="count" dataDxfId="10" totalsRowDxfId="9"/>
    <tableColumn id="8" xr3:uid="{00000000-0010-0000-0B00-000008000000}" name="INITIALES CAGA" dataDxfId="8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C000000}" name="Tableau6" displayName="Tableau6" ref="T2:V203" totalsRowShown="0" headerRowDxfId="7" dataDxfId="5" headerRowBorderDxfId="6" tableBorderDxfId="4" totalsRowBorderDxfId="3">
  <autoFilter ref="T2:V203" xr:uid="{00000000-0009-0000-0100-000006000000}"/>
  <sortState xmlns:xlrd2="http://schemas.microsoft.com/office/spreadsheetml/2017/richdata2" ref="T3:V203">
    <sortCondition ref="T2:T203"/>
  </sortState>
  <tableColumns count="3">
    <tableColumn id="1" xr3:uid="{00000000-0010-0000-0C00-000001000000}" name="quadrigramme" dataDxfId="2"/>
    <tableColumn id="2" xr3:uid="{00000000-0010-0000-0C00-000002000000}" name="gestionnaire_actifs" dataDxfId="1"/>
    <tableColumn id="3" xr3:uid="{00000000-0010-0000-0C00-000003000000}" name="INITIA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au7" displayName="Tableau7" ref="Q1:U189" totalsRowCount="1" headerRowDxfId="705" dataDxfId="704" totalsRowDxfId="702" tableBorderDxfId="703">
  <autoFilter ref="Q1:U188" xr:uid="{00000000-0009-0000-0100-000009000000}"/>
  <sortState xmlns:xlrd2="http://schemas.microsoft.com/office/spreadsheetml/2017/richdata2" ref="Q2:T186">
    <sortCondition ref="Q1:Q186"/>
  </sortState>
  <tableColumns count="5">
    <tableColumn id="5" xr3:uid="{00000000-0010-0000-0100-000005000000}" name="quadri" dataDxfId="701" totalsRowDxfId="700"/>
    <tableColumn id="1" xr3:uid="{00000000-0010-0000-0100-000001000000}" name="Centrale" totalsRowFunction="count" dataDxfId="699" totalsRowDxfId="698"/>
    <tableColumn id="2" xr3:uid="{00000000-0010-0000-0100-000002000000}" name="Puissance" totalsRowFunction="sum" dataDxfId="697" totalsRowDxfId="696"/>
    <tableColumn id="4" xr3:uid="{00000000-0010-0000-0100-000004000000}" name="quadri2" dataDxfId="695" totalsRowDxfId="694"/>
    <tableColumn id="3" xr3:uid="{00000000-0010-0000-0100-000003000000}" name="Production Th 2023" totalsRowFunction="custom" dataDxfId="693" totalsRowDxfId="692">
      <totalsRowFormula>SUBTOTAL(109,Tableau7[Production Th 2023])/1000</totalsRow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au1" displayName="Tableau1" ref="A4:X186" totalsRowCount="1" headerRowDxfId="691" dataDxfId="690" totalsRowDxfId="689">
  <autoFilter ref="A4:X185" xr:uid="{00000000-0009-0000-0100-00000A000000}"/>
  <sortState xmlns:xlrd2="http://schemas.microsoft.com/office/spreadsheetml/2017/richdata2" ref="A6:X184">
    <sortCondition ref="U4:U185"/>
  </sortState>
  <tableColumns count="24">
    <tableColumn id="1" xr3:uid="{00000000-0010-0000-0200-000001000000}" name="PARCS" totalsRowFunction="count" dataDxfId="688" totalsRowDxfId="687"/>
    <tableColumn id="2" xr3:uid="{00000000-0010-0000-0200-000002000000}" name="STE" dataDxfId="686" totalsRowDxfId="685">
      <calculatedColumnFormula>VLOOKUP(Tableau1[[#This Row],[PARCS]],Tableau106[],3,FALSE)</calculatedColumnFormula>
    </tableColumn>
    <tableColumn id="3" xr3:uid="{00000000-0010-0000-0200-000003000000}" name="EOTP" dataDxfId="684" totalsRowDxfId="683">
      <calculatedColumnFormula>VLOOKUP(Tableau1[[#This Row],[PARCS]],Tableau106[],2,FALSE)</calculatedColumnFormula>
    </tableColumn>
    <tableColumn id="4" xr3:uid="{00000000-0010-0000-0200-000004000000}" name="NRJ" dataDxfId="682" totalsRowDxfId="681">
      <calculatedColumnFormula>VLOOKUP(Tableau1[[#This Row],[PARCS]],Tableau106[],8,FALSE)</calculatedColumnFormula>
    </tableColumn>
    <tableColumn id="26" xr3:uid="{00000000-0010-0000-0200-00001A000000}" name="Zone" dataDxfId="680" totalsRowDxfId="679">
      <calculatedColumnFormula>VLOOKUP(A5,Tableau106[],6,FALSE)</calculatedColumnFormula>
    </tableColumn>
    <tableColumn id="5" xr3:uid="{00000000-0010-0000-0200-000005000000}" name="QUADRI" dataDxfId="678" totalsRowDxfId="677">
      <calculatedColumnFormula>VLOOKUP(Tableau1[[#This Row],[PARCS]],Tableau106[],5,FALSE)</calculatedColumnFormula>
    </tableColumn>
    <tableColumn id="6" xr3:uid="{00000000-0010-0000-0200-000006000000}" name="PORTFOLIO" dataDxfId="676" totalsRowDxfId="675">
      <calculatedColumnFormula>VLOOKUP(Tableau1[[#This Row],[PARCS]],Tableau106[],7,FALSE)</calculatedColumnFormula>
    </tableColumn>
    <tableColumn id="22" xr3:uid="{00000000-0010-0000-0200-000016000000}" name="CAGA" dataDxfId="674" totalsRowDxfId="673">
      <calculatedColumnFormula>VLOOKUP(Tableau1[[#This Row],[PARCS]],Tableau106[],9,FALSE)</calculatedColumnFormula>
    </tableColumn>
    <tableColumn id="23" xr3:uid="{00000000-0010-0000-0200-000017000000}" name="PROD 2022_x000a_en MWh" totalsRowFunction="sum" dataDxfId="672" totalsRowDxfId="671"/>
    <tableColumn id="21" xr3:uid="{00000000-0010-0000-0200-000015000000}" name="CA 2022_x000a_en K€" totalsRowFunction="sum" dataDxfId="670" totalsRowDxfId="669"/>
    <tableColumn id="7" xr3:uid="{00000000-0010-0000-0200-000007000000}" name="PROD en Mwh" totalsRowFunction="sum" dataDxfId="668" totalsRowDxfId="667">
      <calculatedColumnFormula>VLOOKUP(Tableau1[[#This Row],[PARCS]],Tableau25[],10,FALSE)</calculatedColumnFormula>
    </tableColumn>
    <tableColumn id="8" xr3:uid="{00000000-0010-0000-0200-000008000000}" name="PRODUITS excep. (PENALITES, indem. Ass.) - BN-1" totalsRowFunction="sum" dataDxfId="666" totalsRowDxfId="665">
      <calculatedColumnFormula>VLOOKUP(Tableau1[[#This Row],[PARCS]],Tableau25[],12,FALSE)</calculatedColumnFormula>
    </tableColumn>
    <tableColumn id="9" xr3:uid="{00000000-0010-0000-0200-000009000000}" name="CA" totalsRowFunction="sum" dataDxfId="664" totalsRowDxfId="663">
      <calculatedColumnFormula>VLOOKUP(Tableau1[[#This Row],[PARCS]],Tableau25[],13,FALSE)</calculatedColumnFormula>
    </tableColumn>
    <tableColumn id="10" xr3:uid="{00000000-0010-0000-0200-00000A000000}" name="PROD en Mwh2" totalsRowFunction="sum" dataDxfId="662" totalsRowDxfId="661">
      <calculatedColumnFormula>VLOOKUP(Tableau1[[#This Row],[PARCS]],Tableau254[],10,FALSE)</calculatedColumnFormula>
    </tableColumn>
    <tableColumn id="11" xr3:uid="{00000000-0010-0000-0200-00000B000000}" name="PRODUITS excep. (PENALITES, indem. Ass.) - LE3" totalsRowFunction="sum" dataDxfId="660" totalsRowDxfId="659">
      <calculatedColumnFormula>VLOOKUP(Tableau1[[#This Row],[PARCS]],Tableau254[],12,FALSE)</calculatedColumnFormula>
    </tableColumn>
    <tableColumn id="12" xr3:uid="{00000000-0010-0000-0200-00000C000000}" name="CA4" totalsRowFunction="sum" dataDxfId="658" totalsRowDxfId="657">
      <calculatedColumnFormula>VLOOKUP(Tableau1[[#This Row],[PARCS]],Tableau254[],13,FALSE)</calculatedColumnFormula>
    </tableColumn>
    <tableColumn id="13" xr3:uid="{00000000-0010-0000-0200-00000D000000}" name="PROD en Mwh5" totalsRowFunction="sum" dataDxfId="656" totalsRowDxfId="655">
      <calculatedColumnFormula>VLOOKUP(Tableau1[[#This Row],[PARCS]],Tableau2546[],10,FALSE)</calculatedColumnFormula>
    </tableColumn>
    <tableColumn id="14" xr3:uid="{00000000-0010-0000-0200-00000E000000}" name="PRODUITS excep. (PENALITES, indem. Ass.) - BN+1" totalsRowFunction="sum" dataDxfId="654" totalsRowDxfId="653">
      <calculatedColumnFormula>VLOOKUP(Tableau1[[#This Row],[PARCS]],Tableau2546[],12,FALSE)</calculatedColumnFormula>
    </tableColumn>
    <tableColumn id="15" xr3:uid="{00000000-0010-0000-0200-00000F000000}" name="CA7" totalsRowFunction="sum" dataDxfId="652" totalsRowDxfId="651">
      <calculatedColumnFormula>VLOOKUP(Tableau1[[#This Row],[PARCS]],Tableau2546[],13,FALSE)</calculatedColumnFormula>
    </tableColumn>
    <tableColumn id="20" xr3:uid="{00000000-0010-0000-0200-000014000000}" name="LE3 2023 vs REEL 2022 en €" dataDxfId="650" totalsRowDxfId="649">
      <calculatedColumnFormula>P5-J5</calculatedColumnFormula>
    </tableColumn>
    <tableColumn id="19" xr3:uid="{00000000-0010-0000-0200-000013000000}" name="LE3 2023 vs REEL 2022 en %" dataDxfId="648" totalsRowDxfId="647" dataCellStyle="Pourcentage">
      <calculatedColumnFormula>(P5-J5)/J5</calculatedColumnFormula>
    </tableColumn>
    <tableColumn id="18" xr3:uid="{00000000-0010-0000-0200-000012000000}" name="BUDGET 2024 vs LE3 2023 en €" dataDxfId="646" totalsRowDxfId="645">
      <calculatedColumnFormula>Tableau1[[#This Row],[CA7]]-Tableau1[[#This Row],[CA4]]</calculatedColumnFormula>
    </tableColumn>
    <tableColumn id="17" xr3:uid="{00000000-0010-0000-0200-000011000000}" name="BUDGET 2024 vs LE3 2023 en %" dataDxfId="644" totalsRowDxfId="643">
      <calculatedColumnFormula>(Tableau1[[#This Row],[CA7]]-Tableau1[[#This Row],[CA4]])/Tableau1[[#This Row],[CA4]]</calculatedColumnFormula>
    </tableColumn>
    <tableColumn id="16" xr3:uid="{00000000-0010-0000-0200-000010000000}" name="COMMENTAIRES" dataDxfId="642" totalsRowDxfId="641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25" displayName="Tableau25" ref="A1:N191" totalsRowCount="1" headerRowDxfId="640" totalsRowDxfId="638" tableBorderDxfId="639" totalsRowBorderDxfId="637">
  <autoFilter ref="A1:N190" xr:uid="{00000000-0009-0000-0100-000004000000}"/>
  <tableColumns count="14">
    <tableColumn id="17" xr3:uid="{00000000-0010-0000-0300-000011000000}" name="CA O&amp;M s/parc_x000a_BN 2023" totalsRowLabel="Total" dataDxfId="636" totalsRowDxfId="635"/>
    <tableColumn id="26" xr3:uid="{00000000-0010-0000-0300-00001A000000}" name="Code Sté" totalsRowFunction="count" dataDxfId="634" totalsRowDxfId="633">
      <calculatedColumnFormula>VLOOKUP(Tableau25[[#This Row],[CA O&amp;M s/parc
BN 2023]],Tableau106[],3,FALSE)</calculatedColumnFormula>
    </tableColumn>
    <tableColumn id="5" xr3:uid="{00000000-0010-0000-0300-000005000000}" name="CODE PROJET" dataDxfId="632" totalsRowDxfId="631">
      <calculatedColumnFormula>VLOOKUP(Tableau25[[#This Row],[CA O&amp;M s/parc
BN 2023]],Tableau106[],2,FALSE)</calculatedColumnFormula>
    </tableColumn>
    <tableColumn id="1" xr3:uid="{00000000-0010-0000-0300-000001000000}" name="NRJ" dataDxfId="630" totalsRowDxfId="629">
      <calculatedColumnFormula>VLOOKUP(Tableau25[[#This Row],[CA O&amp;M s/parc
BN 2023]],Tableau106[],8,FALSE)</calculatedColumnFormula>
    </tableColumn>
    <tableColumn id="2" xr3:uid="{00000000-0010-0000-0300-000002000000}" name="MW" dataDxfId="628" totalsRowDxfId="627">
      <calculatedColumnFormula>VLOOKUP(Tableau25[[#This Row],[CA O&amp;M s/parc
BN 2023]],Tableau106[],4,FALSE)</calculatedColumnFormula>
    </tableColumn>
    <tableColumn id="3" xr3:uid="{00000000-0010-0000-0300-000003000000}" name="CODE PI" dataDxfId="626" totalsRowDxfId="625">
      <calculatedColumnFormula>VLOOKUP(Tableau25[[#This Row],[CA O&amp;M s/parc
BN 2023]],Tableau106[],5,FALSE)</calculatedColumnFormula>
    </tableColumn>
    <tableColumn id="7" xr3:uid="{00000000-0010-0000-0300-000007000000}" name="PORTFOLIO" dataDxfId="624" totalsRowDxfId="623">
      <calculatedColumnFormula>VLOOKUP(Tableau25[[#This Row],[CA O&amp;M s/parc
BN 2023]],Tableau106[],7,FALSE)</calculatedColumnFormula>
    </tableColumn>
    <tableColumn id="6" xr3:uid="{00000000-0010-0000-0300-000006000000}" name="REGION _x000a_N/S" dataDxfId="622" totalsRowDxfId="621">
      <calculatedColumnFormula>VLOOKUP(Tableau25[[#This Row],[CA O&amp;M s/parc
BN 2023]],Tableau106[],6,FALSE)</calculatedColumnFormula>
    </tableColumn>
    <tableColumn id="8" xr3:uid="{00000000-0010-0000-0300-000008000000}" name="CAGA" dataDxfId="620" totalsRowDxfId="619">
      <calculatedColumnFormula>VLOOKUP(Tableau25[[#This Row],[CA O&amp;M s/parc
BN 2023]],Tableau106[],9,FALSE)</calculatedColumnFormula>
    </tableColumn>
    <tableColumn id="18" xr3:uid="{00000000-0010-0000-0300-000012000000}" name="PROD en Mwh" totalsRowFunction="sum" dataDxfId="618" totalsRowDxfId="617"/>
    <tableColumn id="19" xr3:uid="{00000000-0010-0000-0300-000013000000}" name="TARIF" totalsRowFunction="custom" dataDxfId="616" totalsRowDxfId="615">
      <totalsRowFormula>COUNTBLANK(Tableau25[TARIF])</totalsRowFormula>
    </tableColumn>
    <tableColumn id="4" xr3:uid="{00000000-0010-0000-0300-000004000000}" name="PRODUITS excep. (PENALITES, indem. Ass.)" totalsRowFunction="sum" dataDxfId="614" totalsRowDxfId="613"/>
    <tableColumn id="20" xr3:uid="{00000000-0010-0000-0300-000014000000}" name="CA" totalsRowFunction="sum" dataDxfId="612" totalsRowDxfId="611"/>
    <tableColumn id="9" xr3:uid="{00000000-0010-0000-0300-000009000000}" name="Commentaires" totalsRowDxfId="6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au254" displayName="Tableau254" ref="A1:N186" totalsRowCount="1" headerRowDxfId="609" totalsRowDxfId="607" tableBorderDxfId="608" totalsRowBorderDxfId="606">
  <autoFilter ref="A1:N185" xr:uid="{00000000-0009-0000-0100-000003000000}"/>
  <tableColumns count="14">
    <tableColumn id="17" xr3:uid="{00000000-0010-0000-0400-000011000000}" name="CA O&amp;M s/parc_x000a_BN 2023" totalsRowLabel="Total" dataDxfId="605" totalsRowDxfId="604"/>
    <tableColumn id="26" xr3:uid="{00000000-0010-0000-0400-00001A000000}" name="Code Sté" totalsRowFunction="count" dataDxfId="603" totalsRowDxfId="602">
      <calculatedColumnFormula>VLOOKUP(Tableau254[[#This Row],[CA O&amp;M s/parc
BN 2023]],Tableau106[],3,FALSE)</calculatedColumnFormula>
    </tableColumn>
    <tableColumn id="5" xr3:uid="{00000000-0010-0000-0400-000005000000}" name="CODE PROJET" dataDxfId="601" totalsRowDxfId="600">
      <calculatedColumnFormula>VLOOKUP(Tableau254[[#This Row],[CA O&amp;M s/parc
BN 2023]],Tableau106[],2,FALSE)</calculatedColumnFormula>
    </tableColumn>
    <tableColumn id="1" xr3:uid="{00000000-0010-0000-0400-000001000000}" name="NRJ" dataDxfId="599" totalsRowDxfId="598">
      <calculatedColumnFormula>VLOOKUP(Tableau254[[#This Row],[CA O&amp;M s/parc
BN 2023]],Tableau106[],8,FALSE)</calculatedColumnFormula>
    </tableColumn>
    <tableColumn id="2" xr3:uid="{00000000-0010-0000-0400-000002000000}" name="MW" dataDxfId="597" totalsRowDxfId="596">
      <calculatedColumnFormula>VLOOKUP(Tableau254[[#This Row],[CA O&amp;M s/parc
BN 2023]],Tableau106[],4,FALSE)</calculatedColumnFormula>
    </tableColumn>
    <tableColumn id="3" xr3:uid="{00000000-0010-0000-0400-000003000000}" name="CODE PI" dataDxfId="595" totalsRowDxfId="594">
      <calculatedColumnFormula>VLOOKUP(Tableau254[[#This Row],[CA O&amp;M s/parc
BN 2023]],Tableau106[],5,FALSE)</calculatedColumnFormula>
    </tableColumn>
    <tableColumn id="7" xr3:uid="{00000000-0010-0000-0400-000007000000}" name="PORTFOLIO" dataDxfId="593" totalsRowDxfId="592">
      <calculatedColumnFormula>VLOOKUP(Tableau254[[#This Row],[CA O&amp;M s/parc
BN 2023]],Tableau106[],7,FALSE)</calculatedColumnFormula>
    </tableColumn>
    <tableColumn id="6" xr3:uid="{00000000-0010-0000-0400-000006000000}" name="REGION _x000a_N/S" dataDxfId="591" totalsRowDxfId="590">
      <calculatedColumnFormula>VLOOKUP(Tableau254[[#This Row],[CA O&amp;M s/parc
BN 2023]],Tableau106[],6,FALSE)</calculatedColumnFormula>
    </tableColumn>
    <tableColumn id="8" xr3:uid="{00000000-0010-0000-0400-000008000000}" name="CAGA" dataDxfId="589" totalsRowDxfId="588">
      <calculatedColumnFormula>VLOOKUP(Tableau254[[#This Row],[CA O&amp;M s/parc
BN 2023]],Tableau106[],9,FALSE)</calculatedColumnFormula>
    </tableColumn>
    <tableColumn id="18" xr3:uid="{00000000-0010-0000-0400-000012000000}" name="PROD en Mwh" totalsRowFunction="sum" dataDxfId="587" totalsRowDxfId="586"/>
    <tableColumn id="19" xr3:uid="{00000000-0010-0000-0400-000013000000}" name="TARIF" totalsRowFunction="custom" dataDxfId="585" totalsRowDxfId="584">
      <totalsRowFormula>COUNTBLANK(Tableau254[TARIF])</totalsRowFormula>
    </tableColumn>
    <tableColumn id="4" xr3:uid="{00000000-0010-0000-0400-000004000000}" name="PRODUITS excep. (PENALITES, indem. Ass.)" totalsRowFunction="sum" dataDxfId="583" totalsRowDxfId="582"/>
    <tableColumn id="20" xr3:uid="{00000000-0010-0000-0400-000014000000}" name="CA" totalsRowFunction="sum" dataDxfId="581" totalsRowDxfId="580">
      <calculatedColumnFormula>Tableau254[[#This Row],[PROD en Mwh]]*Tableau254[[#This Row],[TARIF]]</calculatedColumnFormula>
    </tableColumn>
    <tableColumn id="9" xr3:uid="{00000000-0010-0000-0400-000009000000}" name="commentaires" totalsRowDxfId="57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au2546" displayName="Tableau2546" ref="A1:N186" totalsRowCount="1" headerRowDxfId="578" totalsRowDxfId="576" tableBorderDxfId="577" totalsRowBorderDxfId="575">
  <autoFilter ref="A1:N185" xr:uid="{00000000-0009-0000-0100-000005000000}"/>
  <tableColumns count="14">
    <tableColumn id="17" xr3:uid="{00000000-0010-0000-0500-000011000000}" name="CA O&amp;M s/parc_x000a_BN 2024" totalsRowLabel="Total" dataDxfId="574" totalsRowDxfId="573"/>
    <tableColumn id="26" xr3:uid="{00000000-0010-0000-0500-00001A000000}" name="Code Sté" totalsRowFunction="count" dataDxfId="572" totalsRowDxfId="571">
      <calculatedColumnFormula>VLOOKUP(Tableau2546[[#This Row],[CA O&amp;M s/parc
BN 2024]],Tableau106[],3,FALSE)</calculatedColumnFormula>
    </tableColumn>
    <tableColumn id="5" xr3:uid="{00000000-0010-0000-0500-000005000000}" name="CODE PROJET" dataDxfId="570" totalsRowDxfId="569">
      <calculatedColumnFormula>VLOOKUP(Tableau2546[[#This Row],[CA O&amp;M s/parc
BN 2024]],Tableau106[],2,FALSE)</calculatedColumnFormula>
    </tableColumn>
    <tableColumn id="1" xr3:uid="{00000000-0010-0000-0500-000001000000}" name="NRJ" dataDxfId="568" totalsRowDxfId="567">
      <calculatedColumnFormula>VLOOKUP(Tableau2546[[#This Row],[CA O&amp;M s/parc
BN 2024]],Tableau106[],8,FALSE)</calculatedColumnFormula>
    </tableColumn>
    <tableColumn id="2" xr3:uid="{00000000-0010-0000-0500-000002000000}" name="MW" dataDxfId="566" totalsRowDxfId="565">
      <calculatedColumnFormula>VLOOKUP(Tableau2546[[#This Row],[CA O&amp;M s/parc
BN 2024]],Tableau106[],4,FALSE)</calculatedColumnFormula>
    </tableColumn>
    <tableColumn id="3" xr3:uid="{00000000-0010-0000-0500-000003000000}" name="CODE PI" dataDxfId="564" totalsRowDxfId="563">
      <calculatedColumnFormula>VLOOKUP(Tableau2546[[#This Row],[CA O&amp;M s/parc
BN 2024]],Tableau106[],5,FALSE)</calculatedColumnFormula>
    </tableColumn>
    <tableColumn id="7" xr3:uid="{00000000-0010-0000-0500-000007000000}" name="PORTFOLIO" dataDxfId="562" totalsRowDxfId="561">
      <calculatedColumnFormula>VLOOKUP(Tableau2546[[#This Row],[CA O&amp;M s/parc
BN 2024]],Tableau106[],7,FALSE)</calculatedColumnFormula>
    </tableColumn>
    <tableColumn id="6" xr3:uid="{00000000-0010-0000-0500-000006000000}" name="REGION _x000a_N/S" dataDxfId="560" totalsRowDxfId="559">
      <calculatedColumnFormula>VLOOKUP(Tableau2546[[#This Row],[CA O&amp;M s/parc
BN 2024]],Tableau106[],6,FALSE)</calculatedColumnFormula>
    </tableColumn>
    <tableColumn id="8" xr3:uid="{00000000-0010-0000-0500-000008000000}" name="CAGA" dataDxfId="558" totalsRowDxfId="557">
      <calculatedColumnFormula>VLOOKUP(Tableau2546[[#This Row],[CA O&amp;M s/parc
BN 2024]],Tableau106[],9,FALSE)</calculatedColumnFormula>
    </tableColumn>
    <tableColumn id="18" xr3:uid="{00000000-0010-0000-0500-000012000000}" name="PROD en Mwh" totalsRowFunction="sum" dataDxfId="556" totalsRowDxfId="555"/>
    <tableColumn id="19" xr3:uid="{00000000-0010-0000-0500-000013000000}" name="TARIF" totalsRowFunction="custom" dataDxfId="554" totalsRowDxfId="553">
      <calculatedColumnFormula>VLOOKUP(Tableau2546[[#This Row],[CODE PI]],Tableau254[[CODE PI]:[TARIF]],5,FALSE)*(1+$Q$1)</calculatedColumnFormula>
      <totalsRowFormula>COUNTBLANK(Tableau2546[TARIF])</totalsRowFormula>
    </tableColumn>
    <tableColumn id="4" xr3:uid="{00000000-0010-0000-0500-000004000000}" name="PRODUITS excep. (PENALITES, indem. Ass.)" totalsRowFunction="sum" dataDxfId="552" totalsRowDxfId="551"/>
    <tableColumn id="20" xr3:uid="{00000000-0010-0000-0500-000014000000}" name="CA" totalsRowFunction="sum" dataDxfId="550" totalsRowDxfId="549">
      <calculatedColumnFormula>Tableau2546[[#This Row],[PROD en Mwh]]*Tableau2546[[#This Row],[TARIF]]</calculatedColumnFormula>
    </tableColumn>
    <tableColumn id="9" xr3:uid="{00000000-0010-0000-0500-000009000000}" name="commentaires" dataDxfId="548" totalsRowDxfId="5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eau1315" displayName="Tableau1315" ref="A3:AH197" totalsRowCount="1" headerRowDxfId="546" dataDxfId="545" totalsRowDxfId="544">
  <autoFilter ref="A3:AH196" xr:uid="{00000000-0009-0000-0100-00000E000000}">
    <filterColumn colId="6">
      <filters>
        <filter val="FUTUREN"/>
      </filters>
    </filterColumn>
  </autoFilter>
  <tableColumns count="34">
    <tableColumn id="1" xr3:uid="{00000000-0010-0000-0600-000001000000}" name="PARCS" totalsRowFunction="count" dataDxfId="543" totalsRowDxfId="542"/>
    <tableColumn id="2" xr3:uid="{00000000-0010-0000-0600-000002000000}" name="STE" dataDxfId="541" totalsRowDxfId="540">
      <calculatedColumnFormula>VLOOKUP(Tableau1315[[#This Row],[PARCS]],Tableau106[],3,FALSE)</calculatedColumnFormula>
    </tableColumn>
    <tableColumn id="3" xr3:uid="{00000000-0010-0000-0600-000003000000}" name="EOTP" dataDxfId="539" totalsRowDxfId="538">
      <calculatedColumnFormula>VLOOKUP(Tableau1315[[#This Row],[PARCS]],Tableau106[],2,FALSE)</calculatedColumnFormula>
    </tableColumn>
    <tableColumn id="4" xr3:uid="{00000000-0010-0000-0600-000004000000}" name="NRJ" dataDxfId="537" totalsRowDxfId="536">
      <calculatedColumnFormula>VLOOKUP(Tableau1315[[#This Row],[PARCS]],Tableau106[],8,FALSE)</calculatedColumnFormula>
    </tableColumn>
    <tableColumn id="34" xr3:uid="{00000000-0010-0000-0600-000022000000}" name="Zone" dataDxfId="535" totalsRowDxfId="534">
      <calculatedColumnFormula>VLOOKUP(A4,Tableau106[[#Headers],[#Data]],6,FALSE)</calculatedColumnFormula>
    </tableColumn>
    <tableColumn id="5" xr3:uid="{00000000-0010-0000-0600-000005000000}" name="QUADRI" dataDxfId="533" totalsRowDxfId="532">
      <calculatedColumnFormula>VLOOKUP(Tableau1315[[#This Row],[PARCS]],Tableau106[],5,FALSE)</calculatedColumnFormula>
    </tableColumn>
    <tableColumn id="6" xr3:uid="{00000000-0010-0000-0600-000006000000}" name="PORTFOLIO" dataDxfId="531" totalsRowDxfId="530">
      <calculatedColumnFormula>VLOOKUP(Tableau1315[[#This Row],[PARCS]],Tableau106[],7,FALSE)</calculatedColumnFormula>
    </tableColumn>
    <tableColumn id="24" xr3:uid="{00000000-0010-0000-0600-000018000000}" name="CAGA" dataDxfId="529" totalsRowDxfId="528">
      <calculatedColumnFormula>VLOOKUP(Tableau1315[[#This Row],[PARCS]],Tableau106[],9,FALSE)</calculatedColumnFormula>
    </tableColumn>
    <tableColumn id="7" xr3:uid="{00000000-0010-0000-0600-000007000000}" name="CONTRAT O&amp;M FORFAIT GROUPE" totalsRowFunction="sum" dataDxfId="527" totalsRowDxfId="526">
      <calculatedColumnFormula>IFERROR(VLOOKUP(Tableau1315[[#This Row],[PARCS]],Tableau15[],10,FALSE),"")</calculatedColumnFormula>
    </tableColumn>
    <tableColumn id="8" xr3:uid="{00000000-0010-0000-0600-000008000000}" name="TOTAL CORRECTIF 0&amp;M GROUPE" totalsRowFunction="sum" dataDxfId="525" totalsRowDxfId="524">
      <calculatedColumnFormula>IFERROR(VLOOKUP(Tableau1315[[#This Row],[PARCS]],Tableau15[],18,FALSE),"")</calculatedColumnFormula>
    </tableColumn>
    <tableColumn id="9" xr3:uid="{00000000-0010-0000-0600-000009000000}" name="CONTRAT O&amp;M FORFAIT HORS GROUPE" totalsRowFunction="sum" dataDxfId="523" totalsRowDxfId="522">
      <calculatedColumnFormula>IFERROR(VLOOKUP(Tableau1315[[#This Row],[PARCS]],Tableau15[],19,FALSE),"")</calculatedColumnFormula>
    </tableColumn>
    <tableColumn id="23" xr3:uid="{00000000-0010-0000-0600-000017000000}" name="TOTAL CORRECTIF O&amp;M HORS GROUPE" totalsRowFunction="sum" dataDxfId="521" totalsRowDxfId="520">
      <calculatedColumnFormula>IFERROR(VLOOKUP(Tableau1315[[#This Row],[PARCS]],Tableau15[],28,FALSE),"")</calculatedColumnFormula>
    </tableColumn>
    <tableColumn id="22" xr3:uid="{00000000-0010-0000-0600-000016000000}" name="TOTAL ENVIRO" totalsRowFunction="sum" dataDxfId="519" totalsRowDxfId="518">
      <calculatedColumnFormula>IFERROR(VLOOKUP(Tableau1315[[#This Row],[PARCS]],Tableau15[],36,FALSE),"")</calculatedColumnFormula>
    </tableColumn>
    <tableColumn id="21" xr3:uid="{00000000-0010-0000-0600-000015000000}" name="CHARGES exceptionnels (BONUS, sinistres)" totalsRowFunction="sum" dataDxfId="517" totalsRowDxfId="516">
      <calculatedColumnFormula>IFERROR(VLOOKUP(Tableau1315[[#This Row],[PARCS]],Tableau15[],37,FALSE),"")</calculatedColumnFormula>
    </tableColumn>
    <tableColumn id="31" xr3:uid="{00000000-0010-0000-0600-00001F000000}" name="TOTAL BN-1" totalsRowFunction="custom" dataDxfId="515" totalsRowDxfId="514">
      <calculatedColumnFormula>SUM(Tableau1315[[#This Row],[CONTRAT O&amp;M FORFAIT GROUPE]:[CHARGES exceptionnels (BONUS, sinistres)]])</calculatedColumnFormula>
      <totalsRowFormula>SUBTOTAL(109,O4:O196)</totalsRowFormula>
    </tableColumn>
    <tableColumn id="10" xr3:uid="{00000000-0010-0000-0600-00000A000000}" name="CONTRAT O&amp;M FORFAIT GROUPE2" totalsRowFunction="sum" dataDxfId="513" totalsRowDxfId="512">
      <calculatedColumnFormula>VLOOKUP(Tableau1315[[#This Row],[PARCS]],Tableau16[],10,FALSE)</calculatedColumnFormula>
    </tableColumn>
    <tableColumn id="11" xr3:uid="{00000000-0010-0000-0600-00000B000000}" name="TOTAL CORRECTIF 0&amp;M GROUPE3" totalsRowFunction="sum" dataDxfId="511" totalsRowDxfId="510">
      <calculatedColumnFormula>VLOOKUP(Tableau1315[[#This Row],[PARCS]],Tableau16[],18,FALSE)</calculatedColumnFormula>
    </tableColumn>
    <tableColumn id="27" xr3:uid="{00000000-0010-0000-0600-00001B000000}" name="CONTRAT O&amp;M FORFAIT HORS GROUPE4" totalsRowFunction="sum" dataDxfId="509" totalsRowDxfId="508">
      <calculatedColumnFormula>VLOOKUP(Tableau1315[[#This Row],[PARCS]],Tableau16[],19,FALSE)</calculatedColumnFormula>
    </tableColumn>
    <tableColumn id="26" xr3:uid="{00000000-0010-0000-0600-00001A000000}" name="TOTAL CORRECTIF O&amp;M HORS GROUPE5" totalsRowFunction="sum" dataDxfId="507" totalsRowDxfId="506">
      <calculatedColumnFormula>VLOOKUP(Tableau1315[[#This Row],[PARCS]],Tableau16[],28,FALSE)</calculatedColumnFormula>
    </tableColumn>
    <tableColumn id="25" xr3:uid="{00000000-0010-0000-0600-000019000000}" name="TOTAL ENVIRO6" totalsRowFunction="sum" dataDxfId="505" totalsRowDxfId="504">
      <calculatedColumnFormula>VLOOKUP(Tableau1315[[#This Row],[PARCS]],Tableau16[],36,FALSE)</calculatedColumnFormula>
    </tableColumn>
    <tableColumn id="12" xr3:uid="{00000000-0010-0000-0600-00000C000000}" name="CHARGES exceptionnels (BONUS, sinistres)7" totalsRowFunction="sum" dataDxfId="503" totalsRowDxfId="502">
      <calculatedColumnFormula>VLOOKUP(Tableau1315[[#This Row],[PARCS]],Tableau16[],37,FALSE)</calculatedColumnFormula>
    </tableColumn>
    <tableColumn id="32" xr3:uid="{00000000-0010-0000-0600-000020000000}" name="TOTAL LE3" totalsRowFunction="custom" dataDxfId="501" totalsRowDxfId="500">
      <calculatedColumnFormula>SUM(Tableau1315[[#This Row],[CONTRAT O&amp;M FORFAIT GROUPE2]:[CHARGES exceptionnels (BONUS, sinistres)7]])</calculatedColumnFormula>
      <totalsRowFormula>SUBTOTAL(109,V4:V196)</totalsRowFormula>
    </tableColumn>
    <tableColumn id="13" xr3:uid="{00000000-0010-0000-0600-00000D000000}" name="CONTRAT O&amp;M FORFAIT GROUPE22" totalsRowFunction="sum" dataDxfId="499" totalsRowDxfId="498">
      <calculatedColumnFormula>VLOOKUP(Tableau1315[[#This Row],[PARCS]],Tableau17[],10,FALSE)</calculatedColumnFormula>
    </tableColumn>
    <tableColumn id="14" xr3:uid="{00000000-0010-0000-0600-00000E000000}" name="TOTAL CORRECTIF 0&amp;M GROUPE33" totalsRowFunction="sum" dataDxfId="497" totalsRowDxfId="496">
      <calculatedColumnFormula>VLOOKUP(Tableau1315[[#This Row],[PARCS]],Tableau17[],18,FALSE)</calculatedColumnFormula>
    </tableColumn>
    <tableColumn id="30" xr3:uid="{00000000-0010-0000-0600-00001E000000}" name="CONTRAT O&amp;M FORFAIT HORS GROUPE44" totalsRowFunction="sum" dataDxfId="495" totalsRowDxfId="494">
      <calculatedColumnFormula>VLOOKUP(Tableau1315[[#This Row],[PARCS]],Tableau17[],19,FALSE)</calculatedColumnFormula>
    </tableColumn>
    <tableColumn id="29" xr3:uid="{00000000-0010-0000-0600-00001D000000}" name="TOTAL CORRECTIF O&amp;M HORS GROUPE55" totalsRowFunction="sum" dataDxfId="493" totalsRowDxfId="492">
      <calculatedColumnFormula>VLOOKUP(Tableau1315[[#This Row],[PARCS]],Tableau17[],28,FALSE)</calculatedColumnFormula>
    </tableColumn>
    <tableColumn id="28" xr3:uid="{00000000-0010-0000-0600-00001C000000}" name="TOTAL ENVIRO66" totalsRowFunction="sum" dataDxfId="491" totalsRowDxfId="490">
      <calculatedColumnFormula>VLOOKUP(Tableau1315[[#This Row],[PARCS]],Tableau17[],36,FALSE)</calculatedColumnFormula>
    </tableColumn>
    <tableColumn id="15" xr3:uid="{00000000-0010-0000-0600-00000F000000}" name="CHARGES exceptionnels (BONUS, sinistres)77" totalsRowFunction="sum" dataDxfId="489" totalsRowDxfId="488">
      <calculatedColumnFormula>VLOOKUP(Tableau1315[[#This Row],[PARCS]],Tableau17[],37,FALSE)</calculatedColumnFormula>
    </tableColumn>
    <tableColumn id="33" xr3:uid="{00000000-0010-0000-0600-000021000000}" name="TOTAL BN+1" totalsRowFunction="custom" dataDxfId="487" totalsRowDxfId="486">
      <calculatedColumnFormula>SUM(Tableau1315[[#This Row],[CONTRAT O&amp;M FORFAIT GROUPE22]:[CHARGES exceptionnels (BONUS, sinistres)77]])</calculatedColumnFormula>
      <totalsRowFormula>SUBTOTAL(109,AC4:AC196)</totalsRowFormula>
    </tableColumn>
    <tableColumn id="20" xr3:uid="{00000000-0010-0000-0600-000014000000}" name="LE3 2023 vs BUDGET 2023_x000a_en €" totalsRowFunction="sum" dataDxfId="485" totalsRowDxfId="484">
      <calculatedColumnFormula>Tableau1315[[#This Row],[TOTAL LE3]]-Tableau1315[[#This Row],[TOTAL BN-1]]</calculatedColumnFormula>
    </tableColumn>
    <tableColumn id="19" xr3:uid="{00000000-0010-0000-0600-000013000000}" name="LE3 2023 vs BUDGET 2023_x000a_en %" dataDxfId="483" totalsRowDxfId="482">
      <calculatedColumnFormula>IFERROR((Tableau1315[[#This Row],[TOTAL LE3]]-Tableau1315[[#This Row],[TOTAL BN-1]])/Tableau1315[[#This Row],[TOTAL BN-1]],"")</calculatedColumnFormula>
    </tableColumn>
    <tableColumn id="18" xr3:uid="{00000000-0010-0000-0600-000012000000}" name="BUDGET 2024 vs LE3 2023_x000a_en €" totalsRowFunction="sum" dataDxfId="481" totalsRowDxfId="480">
      <calculatedColumnFormula>Tableau1315[[#This Row],[TOTAL BN+1]]-Tableau1315[[#This Row],[TOTAL LE3]]</calculatedColumnFormula>
    </tableColumn>
    <tableColumn id="17" xr3:uid="{00000000-0010-0000-0600-000011000000}" name="BUDGET 2024 vs LE3 2023_x000a_en %" dataDxfId="479" totalsRowDxfId="478">
      <calculatedColumnFormula>IFERROR((Tableau1315[[#This Row],[TOTAL BN+1]]-Tableau1315[[#This Row],[TOTAL LE3]])/Tableau1315[[#This Row],[TOTAL LE3]],"")</calculatedColumnFormula>
    </tableColumn>
    <tableColumn id="16" xr3:uid="{00000000-0010-0000-0600-000010000000}" name="COMMENTAIRES" dataDxfId="477" totalsRowDxfId="476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au163" displayName="Tableau163" ref="A5:AN195" totalsRowCount="1" tableBorderDxfId="474">
  <autoFilter ref="A5:AN194" xr:uid="{00000000-0009-0000-0100-000002000000}">
    <filterColumn colId="8">
      <filters>
        <filter val="AlY"/>
      </filters>
    </filterColumn>
  </autoFilter>
  <tableColumns count="40">
    <tableColumn id="1" xr3:uid="{00000000-0010-0000-0700-000001000000}" name="OPEX VARIABLES en €_x000a__x000a_BN 2023" totalsRowFunction="count" dataDxfId="473" totalsRowDxfId="472"/>
    <tableColumn id="2" xr3:uid="{00000000-0010-0000-0700-000002000000}" name="Code Sté" dataDxfId="471" totalsRowDxfId="470">
      <calculatedColumnFormula>VLOOKUP('OPX_LE3 (2)'!$A6,Tableau106[],3,FALSE)</calculatedColumnFormula>
    </tableColumn>
    <tableColumn id="3" xr3:uid="{00000000-0010-0000-0700-000003000000}" name="CODE PROJET" dataDxfId="469" totalsRowDxfId="468">
      <calculatedColumnFormula>VLOOKUP('OPX_LE3 (2)'!$A6,Tableau106[],2,FALSE)</calculatedColumnFormula>
    </tableColumn>
    <tableColumn id="4" xr3:uid="{00000000-0010-0000-0700-000004000000}" name="NRJ" dataDxfId="467" totalsRowDxfId="466">
      <calculatedColumnFormula>VLOOKUP('OPX_LE3 (2)'!$A6,Tableau106[],8,FALSE)</calculatedColumnFormula>
    </tableColumn>
    <tableColumn id="5" xr3:uid="{00000000-0010-0000-0700-000005000000}" name="MW" dataDxfId="465" totalsRowDxfId="464">
      <calculatedColumnFormula>VLOOKUP('OPX_LE3 (2)'!$A6,Tableau106[],4,FALSE)</calculatedColumnFormula>
    </tableColumn>
    <tableColumn id="6" xr3:uid="{00000000-0010-0000-0700-000006000000}" name="CODE PI" dataDxfId="463" totalsRowDxfId="462">
      <calculatedColumnFormula>VLOOKUP('OPX_LE3 (2)'!$A6,Tableau106[],5,FALSE)</calculatedColumnFormula>
    </tableColumn>
    <tableColumn id="7" xr3:uid="{00000000-0010-0000-0700-000007000000}" name="PORTFOLIO" dataDxfId="461" totalsRowDxfId="460">
      <calculatedColumnFormula>VLOOKUP('OPX_LE3 (2)'!$A6,Tableau106[],7,FALSE)</calculatedColumnFormula>
    </tableColumn>
    <tableColumn id="8" xr3:uid="{00000000-0010-0000-0700-000008000000}" name="REGION _x000a_N/S" dataDxfId="459" totalsRowDxfId="458">
      <calculatedColumnFormula>VLOOKUP('OPX_LE3 (2)'!$A6,Tableau106[],6,FALSE)</calculatedColumnFormula>
    </tableColumn>
    <tableColumn id="39" xr3:uid="{00000000-0010-0000-0700-000027000000}" name="CAGA" dataDxfId="457" totalsRowDxfId="456">
      <calculatedColumnFormula>VLOOKUP('OPX_LE3 (2)'!$A6,Tableau106[],9,FALSE)</calculatedColumnFormula>
    </tableColumn>
    <tableColumn id="9" xr3:uid="{00000000-0010-0000-0700-000009000000}" name="Contrat Groupe EDF Re : (WTG + PDL)" totalsRowFunction="sum" dataDxfId="455" totalsRowDxfId="454"/>
    <tableColumn id="10" xr3:uid="{00000000-0010-0000-0700-00000A000000}" name="Tâches réalisées par EDF RS en sus du contrat  + DI" totalsRowFunction="sum" dataDxfId="453" totalsRowDxfId="452"/>
    <tableColumn id="11" xr3:uid="{00000000-0010-0000-0700-00000B000000}" name="Préstations effectuées dans le cadre de MCR (GBX, génératrice, composant HTA…) par EDF RS_x000a_PV : Sinistre" totalsRowFunction="sum" dataDxfId="451" totalsRowDxfId="450"/>
    <tableColumn id="12" xr3:uid="{00000000-0010-0000-0700-00000C000000}" name="Entretien du BoP (pistes, végétation, plateformes, nettoyage panneaux…) ou travaux sur le BOP" totalsRowFunction="sum" dataDxfId="449" totalsRowDxfId="448">
      <calculatedColumnFormula>+VLOOKUP(Tableau163[[#This Row],[CODE PI]],Tableau15[[CODE PI]:[Prestations diverses  &amp; accompagnements interne (1,6 k€ par jour d''acc)]],8,FALSE)</calculatedColumnFormula>
    </tableColumn>
    <tableColumn id="13" xr3:uid="{00000000-0010-0000-0700-00000D000000}" name="Préstations pour des inpsections sur les pales, fin de vie, fin de garantie.. en sus du contrat réalisé en interne" totalsRowFunction="sum" dataDxfId="447" totalsRowDxfId="446">
      <calculatedColumnFormula>+VLOOKUP(Tableau163[[#This Row],[CODE PI]],Tableau15[[CODE PI]:[Prestations diverses  &amp; accompagnements interne (1,6 k€ par jour d''acc)]],9,FALSE)</calculatedColumnFormula>
    </tableColumn>
    <tableColumn id="14" xr3:uid="{00000000-0010-0000-0700-00000E000000}" name="Préstations sur les MdM et équipements météo (entretien, maintenance corrective…)" totalsRowFunction="sum" dataDxfId="445" totalsRowDxfId="444">
      <calculatedColumnFormula>+VLOOKUP(Tableau163[[#This Row],[CODE PI]],Tableau15[[CODE PI]:[Prestations diverses  &amp; accompagnements interne (1,6 k€ par jour d''acc)]],10,FALSE)</calculatedColumnFormula>
    </tableColumn>
    <tableColumn id="15" xr3:uid="{00000000-0010-0000-0700-00000F000000}" name="Préstations sur les outils Télésurveillance / SCADA / Telecom, les abonnements RDL / Internet / Genesys / Wonder…" totalsRowFunction="sum" dataDxfId="443" totalsRowDxfId="442">
      <calculatedColumnFormula>+VLOOKUP(Tableau163[[#This Row],[CODE PI]],Tableau15[[CODE PI]:[Prestations diverses  &amp; accompagnements interne (1,6 k€ par jour d''acc)]],11,FALSE)</calculatedColumnFormula>
    </tableColumn>
    <tableColumn id="16" xr3:uid="{00000000-0010-0000-0700-000010000000}" name="Prestations diverses  &amp; accompagnements interne (1,6 k€ par jour d'acc)" totalsRowFunction="sum" dataDxfId="441" totalsRowDxfId="440">
      <calculatedColumnFormula>-250*'OPX_LE3 (2)'!$E6</calculatedColumnFormula>
    </tableColumn>
    <tableColumn id="17" xr3:uid="{00000000-0010-0000-0700-000011000000}" name="TOTAL CORRECTIF 0&amp;M GROUPE" totalsRowFunction="sum" dataDxfId="439" totalsRowDxfId="438">
      <calculatedColumnFormula>SUM('OPX_LE3 (2)'!$K6:$Q6)</calculatedColumnFormula>
    </tableColumn>
    <tableColumn id="18" xr3:uid="{00000000-0010-0000-0700-000012000000}" name="Contrats (WTG + PDL) hors EDF RS" totalsRowFunction="sum" dataDxfId="437" totalsRowDxfId="436"/>
    <tableColumn id="19" xr3:uid="{00000000-0010-0000-0700-000013000000}" name="Tâches réalisées en sus du contrat" totalsRowFunction="sum" dataDxfId="435" totalsRowDxfId="434"/>
    <tableColumn id="20" xr3:uid="{00000000-0010-0000-0700-000014000000}" name="Préstations effectuées dans le cadre de MCR (GBX, génératrice, composant HTA…) par EDF RS_x000a_PV : Sinistre2" totalsRowFunction="sum" dataDxfId="433" totalsRowDxfId="432"/>
    <tableColumn id="21" xr3:uid="{00000000-0010-0000-0700-000015000000}" name="Entretien du BoP (pistes, végétation, plateformes, nettoyage panneaux…) ou travaux sur le BOP3" totalsRowFunction="sum" dataDxfId="431" totalsRowDxfId="430"/>
    <tableColumn id="22" xr3:uid="{00000000-0010-0000-0700-000016000000}" name="Prestations pour des inpsections sur les pales, Fin de vie, Fin de garantie.. En sus du contrat " totalsRowFunction="sum" dataDxfId="429" totalsRowDxfId="428"/>
    <tableColumn id="23" xr3:uid="{00000000-0010-0000-0700-000017000000}" name="Préstations sur les MdM et équipements météo (entretien, maintenance corrective…)4" totalsRowFunction="sum" dataDxfId="427" totalsRowDxfId="426"/>
    <tableColumn id="24" xr3:uid="{00000000-0010-0000-0700-000018000000}" name="Préstations sur les outils Télésurveillance / SCADA / Telecom, les abonnements RDL / Internet / Genesys / Wonder…5" totalsRowFunction="sum" dataDxfId="425" totalsRowDxfId="424"/>
    <tableColumn id="25" xr3:uid="{00000000-0010-0000-0700-000019000000}" name="Prestations diverses  &amp; accompagnements (1,6 k€ par jour d'acc)" totalsRowFunction="sum" dataDxfId="423" totalsRowDxfId="422"/>
    <tableColumn id="26" xr3:uid="{00000000-0010-0000-0700-00001A000000}" name="Prestations locale pour ancrage territorial " totalsRowFunction="sum" dataDxfId="421" totalsRowDxfId="420"/>
    <tableColumn id="27" xr3:uid="{00000000-0010-0000-0700-00001B000000}" name="TOTAL CORRECTIF O&amp;M HORS GROUPE" totalsRowFunction="sum" dataDxfId="419" totalsRowDxfId="418">
      <calculatedColumnFormula>SUM('OPX_LE3 (2)'!$T6:$AA6)</calculatedColumnFormula>
    </tableColumn>
    <tableColumn id="28" xr3:uid="{00000000-0010-0000-0700-00001C000000}" name="SDA (loc nacelle, contrat O&amp;M, dépannage)" totalsRowFunction="sum" dataDxfId="417" totalsRowDxfId="416">
      <calculatedColumnFormula>-((46000/8*4)/2)</calculatedColumnFormula>
    </tableColumn>
    <tableColumn id="29" xr3:uid="{00000000-0010-0000-0700-00001D000000}" name="Location des containers, prestations de mise en place…" totalsRowFunction="sum" dataDxfId="415" totalsRowDxfId="414"/>
    <tableColumn id="30" xr3:uid="{00000000-0010-0000-0700-00001E000000}" name="Prestations pour les suivis avifaune (hors morta)" totalsRowFunction="sum" dataDxfId="413" totalsRowDxfId="412"/>
    <tableColumn id="31" xr3:uid="{00000000-0010-0000-0700-00001F000000}" name="Prestations pour les suivis Chiroptères" totalsRowFunction="sum" dataDxfId="411" totalsRowDxfId="410"/>
    <tableColumn id="32" xr3:uid="{00000000-0010-0000-0700-000020000000}" name="Prestations pour les suivis mortalités" totalsRowFunction="sum" dataDxfId="409" totalsRowDxfId="408"/>
    <tableColumn id="33" xr3:uid="{00000000-0010-0000-0700-000021000000}" name="Autres suivis /Etudes (+ dédiée PV)" totalsRowFunction="sum" dataDxfId="407" totalsRowDxfId="406"/>
    <tableColumn id="34" xr3:uid="{00000000-0010-0000-0700-000022000000}" name="(mesures compensatoires du PC ou autres)" totalsRowFunction="sum" dataDxfId="405" totalsRowDxfId="404"/>
    <tableColumn id="35" xr3:uid="{00000000-0010-0000-0700-000023000000}" name="TOTAL ENVIRO" totalsRowFunction="sum" dataDxfId="403" totalsRowDxfId="402">
      <calculatedColumnFormula>SUM('OPX_LE3 (2)'!$AC6:$AI6)</calculatedColumnFormula>
    </tableColumn>
    <tableColumn id="36" xr3:uid="{00000000-0010-0000-0700-000024000000}" name="Bonus, dédommagement sinistre" totalsRowFunction="sum" dataDxfId="401" totalsRowDxfId="400"/>
    <tableColumn id="37" xr3:uid="{00000000-0010-0000-0700-000025000000}" name="GRAND TOTAL" totalsRowFunction="sum" dataDxfId="399" totalsRowDxfId="398">
      <calculatedColumnFormula>SUM('OPX_LE3 (2)'!$J6,'OPX_LE3 (2)'!$AB6,'OPX_LE3 (2)'!$S6,'OPX_LE3 (2)'!$AJ6,'OPX_LE3 (2)'!$R6,'OPX_LE3 (2)'!$AK6)</calculatedColumnFormula>
    </tableColumn>
    <tableColumn id="38" xr3:uid="{00000000-0010-0000-0700-000026000000}" name="CAPEX" totalsRowFunction="sum" dataDxfId="397" totalsRowDxfId="396"/>
    <tableColumn id="40" xr3:uid="{00000000-0010-0000-0700-000028000000}" name="commentaires" dataDxfId="395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eau15" displayName="Tableau15" ref="A5:AN195" totalsRowCount="1" tableBorderDxfId="393">
  <autoFilter ref="A5:AN194" xr:uid="{00000000-0009-0000-0100-00000F000000}"/>
  <tableColumns count="40">
    <tableColumn id="1" xr3:uid="{00000000-0010-0000-0800-000001000000}" name="OPEX VARIABLES en €_x000a__x000a_BN 2023" totalsRowFunction="count" dataDxfId="392" totalsRowDxfId="391"/>
    <tableColumn id="2" xr3:uid="{00000000-0010-0000-0800-000002000000}" name="Code Sté" dataDxfId="390" totalsRowDxfId="389"/>
    <tableColumn id="3" xr3:uid="{00000000-0010-0000-0800-000003000000}" name="CODE PROJET" dataDxfId="388" totalsRowDxfId="387"/>
    <tableColumn id="4" xr3:uid="{00000000-0010-0000-0800-000004000000}" name="NRJ" dataDxfId="386" totalsRowDxfId="385">
      <calculatedColumnFormula>VLOOKUP('OPX_BN-1'!$A6,Tableau106[],8,FALSE)</calculatedColumnFormula>
    </tableColumn>
    <tableColumn id="5" xr3:uid="{00000000-0010-0000-0800-000005000000}" name="MW" dataDxfId="384" totalsRowDxfId="383">
      <calculatedColumnFormula>VLOOKUP('OPX_BN-1'!$A6,Tableau106[],4,FALSE)</calculatedColumnFormula>
    </tableColumn>
    <tableColumn id="6" xr3:uid="{00000000-0010-0000-0800-000006000000}" name="CODE PI" dataDxfId="382" totalsRowDxfId="381">
      <calculatedColumnFormula>VLOOKUP('OPX_BN-1'!$A6,Tableau106[],5,FALSE)</calculatedColumnFormula>
    </tableColumn>
    <tableColumn id="7" xr3:uid="{00000000-0010-0000-0800-000007000000}" name="PORTFOLIO" dataDxfId="380" totalsRowDxfId="379">
      <calculatedColumnFormula>VLOOKUP('OPX_BN-1'!$A6,Tableau106[],7,FALSE)</calculatedColumnFormula>
    </tableColumn>
    <tableColumn id="8" xr3:uid="{00000000-0010-0000-0800-000008000000}" name="REGION _x000a_N/S" dataDxfId="378" totalsRowDxfId="377">
      <calculatedColumnFormula>VLOOKUP('OPX_BN-1'!$A6,Tableau106[],6,FALSE)</calculatedColumnFormula>
    </tableColumn>
    <tableColumn id="39" xr3:uid="{00000000-0010-0000-0800-000027000000}" name="CAGA" dataDxfId="376" totalsRowDxfId="375">
      <calculatedColumnFormula>VLOOKUP('OPX_BN-1'!$A6,Tableau106[],9,FALSE)</calculatedColumnFormula>
    </tableColumn>
    <tableColumn id="9" xr3:uid="{00000000-0010-0000-0800-000009000000}" name="Contrat Groupe EDF Re : (WTG + PDL)" totalsRowFunction="sum" dataDxfId="374" totalsRowDxfId="373"/>
    <tableColumn id="10" xr3:uid="{00000000-0010-0000-0800-00000A000000}" name="Tâches réalisées par EDF RS en sus du contrat  + DI" totalsRowFunction="sum" dataDxfId="372" totalsRowDxfId="371"/>
    <tableColumn id="11" xr3:uid="{00000000-0010-0000-0800-00000B000000}" name="Préstations effectuées dans le cadre de MCR (GBX, génératrice, composant HTA…) par EDF RS_x000a_PV : Sinistre" totalsRowFunction="sum" dataDxfId="370" totalsRowDxfId="369"/>
    <tableColumn id="12" xr3:uid="{00000000-0010-0000-0800-00000C000000}" name="Entretien du BoP (pistes, végétation, plateformes, nettoyage panneaux…) ou travaux sur le BOP" totalsRowFunction="sum" dataDxfId="368" totalsRowDxfId="367"/>
    <tableColumn id="13" xr3:uid="{00000000-0010-0000-0800-00000D000000}" name="Préstations pour des inspections sur les pales, fin de vie, fin de garantie.. en sus du contrat réalisé en interne" totalsRowFunction="sum" dataDxfId="366" totalsRowDxfId="365"/>
    <tableColumn id="14" xr3:uid="{00000000-0010-0000-0800-00000E000000}" name="Préstations sur les MdM et équipements météo (entretien, maintenance corrective…)" totalsRowFunction="sum" dataDxfId="364" totalsRowDxfId="363"/>
    <tableColumn id="15" xr3:uid="{00000000-0010-0000-0800-00000F000000}" name="Préstations sur les outils Télésurveillance / SCADA / Telecom, les abonnements RDL / Internet / Genesys / Wonder…" totalsRowFunction="sum" dataDxfId="362" totalsRowDxfId="361"/>
    <tableColumn id="16" xr3:uid="{00000000-0010-0000-0800-000010000000}" name="Prestations diverses  &amp; accompagnements interne (1,6 k€ par jour d'acc)" totalsRowFunction="sum" dataDxfId="360" totalsRowDxfId="359"/>
    <tableColumn id="17" xr3:uid="{00000000-0010-0000-0800-000011000000}" name="TOTAL CORRECTIF 0&amp;M GROUPE" totalsRowFunction="sum" dataDxfId="358" totalsRowDxfId="357">
      <calculatedColumnFormula>SUM('OPX_BN-1'!$K6:$Q6)</calculatedColumnFormula>
    </tableColumn>
    <tableColumn id="18" xr3:uid="{00000000-0010-0000-0800-000012000000}" name="Contrats (WTG + PDL) hors EDF RS" totalsRowFunction="sum" dataDxfId="356" totalsRowDxfId="355"/>
    <tableColumn id="19" xr3:uid="{00000000-0010-0000-0800-000013000000}" name="Tâches réalisées en sus du contrat" totalsRowFunction="sum" dataDxfId="354" totalsRowDxfId="353"/>
    <tableColumn id="20" xr3:uid="{00000000-0010-0000-0800-000014000000}" name="Préstations effectuées dans le cadre de MCR (GBX, génératrice, composant HTA…) par EDF RS_x000a_PV : Sinistre2" totalsRowFunction="sum" dataDxfId="352" totalsRowDxfId="351"/>
    <tableColumn id="21" xr3:uid="{00000000-0010-0000-0800-000015000000}" name="Entretien du BoP (pistes, végétation, plateformes, nettoyage panneaux…) ou travaux sur le BOP3" totalsRowFunction="sum" dataDxfId="350" totalsRowDxfId="349"/>
    <tableColumn id="22" xr3:uid="{00000000-0010-0000-0800-000016000000}" name="Prestations pour des inpsections sur les pales, Fin de vie, Fin de garantie.. En sus du contrat " totalsRowFunction="sum" dataDxfId="348" totalsRowDxfId="347"/>
    <tableColumn id="23" xr3:uid="{00000000-0010-0000-0800-000017000000}" name="Préstations sur les MdM et équipements météo (entretien, maintenance corrective…)4" totalsRowFunction="sum" dataDxfId="346" totalsRowDxfId="345"/>
    <tableColumn id="24" xr3:uid="{00000000-0010-0000-0800-000018000000}" name="Préstations sur les outils Télésurveillance / SCADA / Telecom, les abonnements RDL / Internet / Genesys / Wonder…5" totalsRowFunction="sum" dataDxfId="344" totalsRowDxfId="343"/>
    <tableColumn id="25" xr3:uid="{00000000-0010-0000-0800-000019000000}" name="Prestations diverses  &amp; accompagnements (1,6 k€ par jour d'acc)" totalsRowFunction="sum" dataDxfId="342" totalsRowDxfId="341"/>
    <tableColumn id="26" xr3:uid="{00000000-0010-0000-0800-00001A000000}" name="Prestations locale pour ancrage territorial " totalsRowFunction="sum" dataDxfId="340" totalsRowDxfId="339"/>
    <tableColumn id="27" xr3:uid="{00000000-0010-0000-0800-00001B000000}" name="TOTAL CORRECTIF O&amp;M HORS GROUPE" totalsRowFunction="sum" dataDxfId="338" totalsRowDxfId="337">
      <calculatedColumnFormula>SUM('OPX_BN-1'!$T6:$AA6)</calculatedColumnFormula>
    </tableColumn>
    <tableColumn id="28" xr3:uid="{00000000-0010-0000-0800-00001C000000}" name="SDA (loc nacelle, contrat O&amp;M, dépannage)" totalsRowFunction="sum" dataDxfId="336" totalsRowDxfId="335"/>
    <tableColumn id="29" xr3:uid="{00000000-0010-0000-0800-00001D000000}" name="Location des containers, prestations de mise en place…" totalsRowFunction="sum" dataDxfId="334" totalsRowDxfId="333"/>
    <tableColumn id="30" xr3:uid="{00000000-0010-0000-0800-00001E000000}" name="Prestations pour les suivis avifaune (hors morta)" totalsRowFunction="sum" dataDxfId="332" totalsRowDxfId="331"/>
    <tableColumn id="31" xr3:uid="{00000000-0010-0000-0800-00001F000000}" name="Prestations pour les suivis Chiroptères" totalsRowFunction="sum" dataDxfId="330" totalsRowDxfId="329"/>
    <tableColumn id="32" xr3:uid="{00000000-0010-0000-0800-000020000000}" name="Prestations pour les suivis mortalités" totalsRowFunction="sum" dataDxfId="328" totalsRowDxfId="327"/>
    <tableColumn id="33" xr3:uid="{00000000-0010-0000-0800-000021000000}" name="Autres suivis /Etudes (+ dédiée PV)" totalsRowFunction="sum" dataDxfId="326" totalsRowDxfId="325"/>
    <tableColumn id="34" xr3:uid="{00000000-0010-0000-0800-000022000000}" name="(mesures compensatoires du PC ou autres)" totalsRowFunction="sum" dataDxfId="324" totalsRowDxfId="323"/>
    <tableColumn id="35" xr3:uid="{00000000-0010-0000-0800-000023000000}" name="TOTAL ENVIRO" totalsRowFunction="sum" dataDxfId="322" totalsRowDxfId="321">
      <calculatedColumnFormula>SUM('OPX_BN-1'!$AC6:$AI6)</calculatedColumnFormula>
    </tableColumn>
    <tableColumn id="36" xr3:uid="{00000000-0010-0000-0800-000024000000}" name="Bonus, dédommagement sinistre" totalsRowFunction="sum" dataDxfId="320" totalsRowDxfId="319"/>
    <tableColumn id="37" xr3:uid="{00000000-0010-0000-0800-000025000000}" name="GRAND TOTAL" totalsRowFunction="sum" dataDxfId="318" totalsRowDxfId="317">
      <calculatedColumnFormula>SUM('OPX_BN-1'!$J6,'OPX_BN-1'!$AB6,'OPX_BN-1'!$S6,'OPX_BN-1'!$AJ6,'OPX_BN-1'!$R6,'OPX_BN-1'!$AK6)</calculatedColumnFormula>
    </tableColumn>
    <tableColumn id="38" xr3:uid="{00000000-0010-0000-0800-000026000000}" name="CAPEX" totalsRowFunction="sum" dataDxfId="316" totalsRowDxfId="315"/>
    <tableColumn id="40" xr3:uid="{00000000-0010-0000-0800-000028000000}" name="commentaires" dataDxfId="31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9" dT="2023-04-27T11:59:24.84" personId="{47608323-9CE7-4C00-B95A-4687EEA986EA}" id="{5BFD2A0B-0736-44D3-AFBE-2317BD9FD9D4}">
    <text>Montant incorrect, j'ais mis le 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4-27T14:04:49.66" personId="{7688E19C-59E1-4E90-B778-2CC71EC606D8}" id="{318FE080-FA30-46CD-B7C2-8FFD34ED1C7B}">
    <text>bonus plus important que prévu, voir OPEX</text>
  </threadedComment>
  <threadedComment ref="L25" dT="2023-04-28T15:11:53.56" personId="{7D2821EC-6170-489B-BBB7-C5AB24EDE7DB}" id="{4DD2F743-71CA-477C-AFC1-62D446C41AAD}">
    <text>Malus Vestas, en cours d'approbation</text>
  </threadedComment>
  <threadedComment ref="J31" dT="2023-04-28T14:33:40.72" personId="{7D2821EC-6170-489B-BBB7-C5AB24EDE7DB}" id="{799D3171-CFEB-4277-AB92-950BB58EBD2C}">
    <text>Perte bridage acoustique</text>
  </threadedComment>
  <threadedComment ref="J31" dT="2023-05-02T14:57:52.06" personId="{692B9717-F9AF-4DDC-90DB-F180C82E0DFD}" id="{F9A8EA7B-01BF-4073-B464-437D3AAB49C1}" parentId="{799D3171-CFEB-4277-AB92-950BB58EBD2C}">
    <text>Mise à jour de la LE3 avec la production réelle avril. A revoir pour la perte bridage acoustique.</text>
  </threadedComment>
  <threadedComment ref="J31" dT="2023-05-05T08:12:39.36" personId="{7D2821EC-6170-489B-BBB7-C5AB24EDE7DB}" id="{71BBE6C5-EC29-4C0C-B8A6-F61050C18242}" parentId="{799D3171-CFEB-4277-AB92-950BB58EBD2C}">
    <text>J'ai remis un pourcentage de perte dans la formule de la case, mais je retombe sur le même résultat.</text>
  </threadedComment>
  <threadedComment ref="J31" dT="2023-05-05T13:37:50.57" personId="{692B9717-F9AF-4DDC-90DB-F180C82E0DFD}" id="{ACCD0F4C-7EB5-48D5-BC6A-A90BA76D2AA7}" parentId="{799D3171-CFEB-4277-AB92-950BB58EBD2C}">
    <text>c'est bon cette fois la mise à jour est faite. donc chiffre mis en gras</text>
  </threadedComment>
  <threadedComment ref="J32" dT="2023-05-24T13:46:42.23" personId="{E06499CF-A6A4-4316-97FA-0922CD5D7AE0}" id="{B5860B9E-B55C-4F40-B6A7-16824173F480}">
    <text>Rectification : 3 mois d'arrêt du parc suite à l'incendie sur la E36
Hypothèse : redémarrage fin juin
-&gt; Par la suite, retirer le productible d'une éolienne</text>
  </threadedComment>
  <threadedComment ref="L43" dT="2023-04-26T09:12:55.28" personId="{9B8DDAD3-9F64-4978-A02D-1AAD5FCCD226}" id="{EBC99B74-A18D-499A-9270-CAE71F8183B4}">
    <text>dédommagement claim assurance datant du 12/01/2022 (FRN00013422BM)</text>
  </threadedComment>
  <threadedComment ref="L67" dT="2023-04-28T09:39:01.21" personId="{8C8A0C17-2755-4ED2-B3F5-4E255DC0BA93}" id="{F2E28B50-0A3C-4C6F-87EB-9B41FCB6CE76}">
    <text>Energy Thrust SGRE</text>
  </threadedComment>
  <threadedComment ref="L74" dT="2023-04-27T13:42:20.89" personId="{7688E19C-59E1-4E90-B778-2CC71EC606D8}" id="{7DE664F9-CF36-4D3D-B561-65E7A8A01467}">
    <text>Indemnité assurance suite au sinistre géné. Bonus estimé = bonus réel (4831.60 euros)donc delta = 0</text>
  </threadedComment>
  <threadedComment ref="L76" dT="2023-04-26T09:15:32.44" personId="{9B8DDAD3-9F64-4978-A02D-1AAD5FCCD226}" id="{29F44ECF-DE2B-4126-AFE3-9071AB0BACD0}">
    <text>112539€: Dédommagement claim assurance datant du 15/06/2021 (FRE00098321BM)
40263.31€ de Malus 2022</text>
  </threadedComment>
  <threadedComment ref="L77" dT="2023-04-26T12:19:16.50" personId="{8C8A0C17-2755-4ED2-B3F5-4E255DC0BA93}" id="{3C64B821-C045-4EEE-8150-4573670C1DAC}">
    <text>MaA 26/04/2023
Estimation Malus 2022 : 11072€
Malus réel 2022 : 20383€</text>
  </threadedComment>
  <threadedComment ref="L80" dT="2023-04-27T13:41:40.44" personId="{7688E19C-59E1-4E90-B778-2CC71EC606D8}" id="{C84C13E5-08C4-4501-97EE-BADA548579DD}">
    <text>Ni bonus, ni malus 2022, pas d'autres produits.</text>
  </threadedComment>
  <threadedComment ref="J90" dT="2023-04-28T14:33:59.74" personId="{7D2821EC-6170-489B-BBB7-C5AB24EDE7DB}" id="{CC82E941-C48D-4DB2-95A1-47918D24BAC9}">
    <text>Estimation bridage SDA</text>
  </threadedComment>
  <threadedComment ref="L90" dT="2023-04-28T15:12:17.31" personId="{7D2821EC-6170-489B-BBB7-C5AB24EDE7DB}" id="{39C7D335-7834-49C7-8095-CE39AFAEC09F}">
    <text>Malus Vestas réestimé. Donnée manquante pour cloturer le calcul.</text>
  </threadedComment>
  <threadedComment ref="L97" dT="2023-04-27T14:00:46.88" personId="{7688E19C-59E1-4E90-B778-2CC71EC606D8}" id="{04B5903B-AC72-4899-AADB-E459639E4E73}">
    <text>malus estimé = malus réel = 40,263.31 euros donc delta = 0 , pas d'autres produits.</text>
  </threadedComment>
  <threadedComment ref="L102" dT="2023-04-26T09:23:59.17" personId="{9B8DDAD3-9F64-4978-A02D-1AAD5FCCD226}" id="{E4D1A257-1D9F-4208-8DE2-50DB615A006A}">
    <text>10065.83€ Malus 2022</text>
  </threadedComment>
  <threadedComment ref="L104" dT="2023-04-26T09:10:32.29" personId="{A0A38A8A-C134-4678-9CBB-23A0304771A0}" id="{2CBA3A3D-8B00-4CBF-BE65-2F38336CB236}">
    <text>NiD : Bonus plus faible qu'estimé</text>
  </threadedComment>
  <threadedComment ref="L108" dT="2023-04-27T09:26:29.66" personId="{47608323-9CE7-4C00-B95A-4687EEA986EA}" id="{B16EAD64-322C-4596-8A48-6C6F54CA68A4}">
    <text>Remboursement sinistre (pertes - franchise)</text>
  </threadedComment>
  <threadedComment ref="K109" dT="2023-05-04T08:09:10.77" personId="{A0A38A8A-C134-4678-9CBB-23A0304771A0}" id="{64B91DBB-DCEF-45D9-8D96-ED951F3858FD}">
    <text>NiD : 35% spot + 65% * 212,52 avec un prix spot variant entre 112 et 299 selon les données disponibles aujourd'hui</text>
  </threadedComment>
  <threadedComment ref="J116" dT="2023-05-24T13:44:35.28" personId="{E06499CF-A6A4-4316-97FA-0922CD5D7AE0}" id="{33E9E9FD-99D6-4C57-BC8B-3B67B8C94AC3}">
    <text>Rectification avec hypothèse de démantèlement en 09/2023 (cf. dernier planning de repowering</text>
  </threadedComment>
  <threadedComment ref="L123" dT="2023-04-26T09:25:13.55" personId="{9B8DDAD3-9F64-4978-A02D-1AAD5FCCD226}" id="{016C9B14-C0DB-4C54-930F-A1D2094541AA}">
    <text>49999.29 Malus 2022</text>
  </threadedComment>
  <threadedComment ref="L131" dT="2023-04-27T14:05:11.53" personId="{7688E19C-59E1-4E90-B778-2CC71EC606D8}" id="{99DEAB4F-989A-46A3-BB73-59547806C08E}">
    <text>Bonus plus important que prévu, voir OPEX</text>
  </threadedComment>
  <threadedComment ref="L145" dT="2023-04-26T09:27:25.29" personId="{9B8DDAD3-9F64-4978-A02D-1AAD5FCCD226}" id="{19BF2E62-192C-4CB0-B832-10C146A23883}">
    <text>Malus 2022 40064.32€</text>
  </threadedComment>
  <threadedComment ref="L157" dT="2023-04-26T09:05:51.35" personId="{A0A38A8A-C134-4678-9CBB-23A0304771A0}" id="{15F50D67-70A6-4F35-950A-FC887B6FADE0}">
    <text>NiD : Bonus plus faible que prévu</text>
  </threadedComment>
  <threadedComment ref="L177" dT="2023-04-27T14:43:41.93" personId="{7688E19C-59E1-4E90-B778-2CC71EC606D8}" id="{D9D996B9-271A-430F-802D-02A1B0DA2719}">
    <text>malus estimé= malus réel = 50 329,14 donc delta = 0, pas d'autres produits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31" dT="2023-04-28T14:55:08.07" personId="{7D2821EC-6170-489B-BBB7-C5AB24EDE7DB}" id="{160E24FD-4C51-4F2F-98F3-98E55D6217F8}">
    <text>Estimation bridage acoustique + SDA</text>
  </threadedComment>
  <threadedComment ref="J32" dT="2023-05-24T13:51:25.13" personId="{E06499CF-A6A4-4316-97FA-0922CD5D7AE0}" id="{62E665CB-0A10-437F-B865-B66F37C2248E}">
    <text>Pourquoi 35 454 ?
Hypothèse repowering ?
A rectifier car le parc ne sera pas repoweré avant 2026
N.B : retirer la prod de la E36 incendiée</text>
  </threadedComment>
  <threadedComment ref="K56" dT="2023-04-24T14:56:23.17" personId="{A0A38A8A-C134-4678-9CBB-23A0304771A0}" id="{4EFF97EB-8A0A-4363-8409-282ED5DE55C0}">
    <text>NiD : PPA RATP prend fin le 31/12/23 ; estimation à 100€/MWh pour 2024</text>
  </threadedComment>
  <threadedComment ref="K89" dT="2023-05-24T15:04:08.14" personId="{E06499CF-A6A4-4316-97FA-0922CD5D7AE0}" id="{EB0F808B-7070-427F-BC26-484B00229E23}">
    <text>Sortie d'OA en 05/22, tarif rectifié ?
-&gt; Même contrat Agregio que Veulettes</text>
  </threadedComment>
  <threadedComment ref="J90" dT="2023-04-28T14:55:26.36" personId="{7D2821EC-6170-489B-BBB7-C5AB24EDE7DB}" id="{D5957B3F-0E75-4C94-A6AF-B810F90DD693}">
    <text>Estimation perte SDA</text>
  </threadedComment>
  <threadedComment ref="K91" dT="2023-04-24T14:56:28.78" personId="{A0A38A8A-C134-4678-9CBB-23A0304771A0}" id="{AD7C1D2D-EBDF-4C31-9167-5E2D101ED3EC}">
    <text>NiD : PPA RATP prend fin le 31/12/23 ; estimation à 100</text>
  </threadedComment>
  <threadedComment ref="J116" dT="2023-05-24T13:50:01.91" personId="{E06499CF-A6A4-4316-97FA-0922CD5D7AE0}" id="{70A7C429-4407-4D7F-8CC8-9825ED4870D2}">
    <text>A supprimer - remise en service prévue fin 2024 pour le projet de repowering</text>
  </threadedComment>
  <threadedComment ref="K161" dT="2023-05-24T13:24:45.84" personId="{E06499CF-A6A4-4316-97FA-0922CD5D7AE0}" id="{3D77C13A-4B66-432E-A007-EFA65A971ABA}">
    <text>Attention : le PPA à 45 €/MWh arrive à terme en 12/2023
-&gt; Tarif à ajuster selon hypothèse CEVEA - autour de 150 €/MWh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C6" dT="2023-04-24T14:46:19.20" personId="{9EB4FA34-52A4-42AD-94C5-08A28DEC581C}" id="{7004E92E-E9D0-4C64-AD7F-8F29DC3F6155}">
    <text>6184€/turbine /an + 1500€ de location nacelle et autres frais.</text>
  </threadedComment>
  <threadedComment ref="AE6" dT="2023-04-17T14:54:03.93" personId="{69CA0253-62CF-4B18-83E9-9A2EA13E7DDE}" id="{AE479E3B-1301-4149-86B2-A5BB81894377}">
    <text>PG : suivi Busard et Aigle royal (Biotope)</text>
  </threadedComment>
  <threadedComment ref="AG10" dT="2023-04-17T15:35:15.45" personId="{69CA0253-62CF-4B18-83E9-9A2EA13E7DDE}" id="{93A3F1DA-7457-43CC-8AC1-7B2E3831184A}">
    <text>PG: suivi mortalité (CERA)</text>
  </threadedComment>
  <threadedComment ref="AC16" dT="2023-04-24T14:46:25.21" personId="{9EB4FA34-52A4-42AD-94C5-08A28DEC581C}" id="{966EE312-192C-477D-A09F-D1993E46DCAE}">
    <text>6184€/turbine /an + 1500€ de location nacelle et autres frais.</text>
  </threadedComment>
  <threadedComment ref="AE16" dT="2023-04-17T14:45:50.66" personId="{69CA0253-62CF-4B18-83E9-9A2EA13E7DDE}" id="{8CAB98FB-7396-4D0D-B5F7-280C5C17D020}">
    <text>PG : suivi Faucon crécerellette (Mathieu Garcia) + presta équipement (LPO France) + Commande balise GPS (Interrex)+ suivi Busard et Aigle royal (Biotope)</text>
  </threadedComment>
  <threadedComment ref="T18" dT="2023-04-24T09:22:44.30" personId="{A0A38A8A-C134-4678-9CBB-23A0304771A0}" id="{4E1A3E37-9C2D-4C38-8005-54E80AD973A2}">
    <text>NiD : Sécurisation des portes</text>
  </threadedComment>
  <threadedComment ref="V18" dT="2023-04-24T09:16:49.29" personId="{A0A38A8A-C134-4678-9CBB-23A0304771A0}" id="{A4290253-7DAF-4445-9AFD-12B6E8B36CC8}">
    <text>NiD : Remise en état plateformes SB04 et SB05 + panneau ICPE SB05</text>
  </threadedComment>
  <threadedComment ref="W18" dT="2023-04-24T08:39:23.96" personId="{A0A38A8A-C134-4678-9CBB-23A0304771A0}" id="{ED1067CA-7BF1-4F03-BB00-2C17358EC227}">
    <text>NiD : inspection pâles</text>
  </threadedComment>
  <threadedComment ref="Y18" dT="2023-04-24T09:19:55.28" personId="{A0A38A8A-C134-4678-9CBB-23A0304771A0}" id="{0C73F630-0414-4F58-8A47-4D01A8F34801}">
    <text>passation satellite</text>
  </threadedComment>
  <threadedComment ref="AC49" dT="2023-04-24T14:46:31.16" personId="{9EB4FA34-52A4-42AD-94C5-08A28DEC581C}" id="{4C871A63-7236-40FA-AEAC-D6BABD84AC4B}">
    <text>6184€/turbine /an + 1500€ de location nacelle et autres frais.</text>
  </threadedComment>
  <threadedComment ref="AE49" dT="2023-04-17T14:56:41.20" personId="{69CA0253-62CF-4B18-83E9-9A2EA13E7DDE}" id="{9383E635-2FD6-48FB-BE79-782931B1E4FC}">
    <text>PG : suivi Busard et Aigle royal (Biotope)</text>
  </threadedComment>
  <threadedComment ref="AH61" dT="2023-04-18T06:47:47.67" personId="{6C753DA6-191D-48D2-9DEA-254F9A496679}" id="{EBE3F79A-C2F0-45A7-9D72-0F5B6693880F}">
    <text>attente devis BE</text>
  </threadedComment>
  <threadedComment ref="V66" dT="2023-04-24T08:18:24.08" personId="{A0A38A8A-C134-4678-9CBB-23A0304771A0}" id="{6FB48D85-C159-4E57-8CEF-00AE4F62CF0D}">
    <text>NiD : débrousaillage</text>
  </threadedComment>
  <threadedComment ref="T78" dT="2023-04-24T14:11:04.71" personId="{A0A38A8A-C134-4678-9CBB-23A0304771A0}" id="{9D533CE3-BBD2-480C-9115-51C9465DCE82}">
    <text>Modification fréquence flashlight</text>
  </threadedComment>
  <threadedComment ref="V78" dT="2023-04-24T08:18:29.29" personId="{A0A38A8A-C134-4678-9CBB-23A0304771A0}" id="{EB8AF693-C102-47CA-A769-97C1F73D3C66}">
    <text>NiD : débrousaillage</text>
  </threadedComment>
  <threadedComment ref="W78" dT="2023-04-24T09:14:56.53" personId="{A0A38A8A-C134-4678-9CBB-23A0304771A0}" id="{5BCA42BA-0A28-47E5-B30E-B2F48D9B991D}">
    <text>Inspection pâles</text>
  </threadedComment>
  <threadedComment ref="Z79" dT="2023-04-18T12:02:01.69" personId="{47608323-9CE7-4C00-B95A-4687EEA986EA}" id="{B790E991-46CC-4399-B9B5-D2E5F45FB329}">
    <text>Accompagnement géoréférencement + installation batcorder</text>
  </threadedComment>
  <threadedComment ref="AC84" dT="2023-04-24T14:46:37.37" personId="{9EB4FA34-52A4-42AD-94C5-08A28DEC581C}" id="{5B3397B5-C5FB-4459-AD75-6E0061553E9F}">
    <text>6184€/turbine /an + 1500€ de location nacelle et autres frais.</text>
  </threadedComment>
  <threadedComment ref="AE84" dT="2023-04-17T15:06:11.09" personId="{69CA0253-62CF-4B18-83E9-9A2EA13E7DDE}" id="{69AA8F71-8BAC-4D02-9033-6E1B74200184}">
    <text>PG : suivi Busard et Aigle royal (Biotope)</text>
  </threadedComment>
  <threadedComment ref="AI84" dT="2023-04-17T15:22:54.21" personId="{69CA0253-62CF-4B18-83E9-9A2EA13E7DDE}" id="{F1BE74C1-A75A-45C3-AD23-E42D75513BF7}">
    <text>PG : presta Néosolus et ecostudiz + travaux ouverture milieux (SERPE)</text>
  </threadedComment>
  <threadedComment ref="V96" dT="2023-04-24T08:18:34.05" personId="{A0A38A8A-C134-4678-9CBB-23A0304771A0}" id="{D7D73725-E44C-425C-A1B5-EEF33C164170}">
    <text>NiD : débrousaillage + géoréférencement des cables</text>
  </threadedComment>
  <threadedComment ref="T109" dT="2023-04-24T08:20:25.77" personId="{A0A38A8A-C134-4678-9CBB-23A0304771A0}" id="{2EF077DC-5487-447A-9A06-54DCD5FE3679}">
    <text>NiD : batcoder nacelle + sécurisation portes</text>
  </threadedComment>
  <threadedComment ref="V109" dT="2023-04-24T08:18:39.27" personId="{A0A38A8A-C134-4678-9CBB-23A0304771A0}" id="{1E670E17-3B18-4B13-BB1A-5CFD5AE797B1}">
    <text>NiD : débrousaillage</text>
  </threadedComment>
  <threadedComment ref="W109" dT="2023-04-24T09:15:11.83" personId="{A0A38A8A-C134-4678-9CBB-23A0304771A0}" id="{A4AC53B1-67A9-44CF-8FC5-3C1151E4E1BB}">
    <text>Inspection pâles</text>
  </threadedComment>
  <threadedComment ref="V113" dT="2023-04-18T12:05:50.56" personId="{47608323-9CE7-4C00-B95A-4687EEA986EA}" id="{8504D3CE-8842-4EDA-B236-201EFC7E86FD}">
    <text>Débroussaillage</text>
  </threadedComment>
  <threadedComment ref="AA113" dT="2023-04-18T12:12:48.71" personId="{47608323-9CE7-4C00-B95A-4687EEA986EA}" id="{AFC49C39-51C2-480F-B3F8-28AF38A99EAB}">
    <text>Convention de partenariat Zimming + Repas inauguration</text>
  </threadedComment>
  <threadedComment ref="V114" dT="2023-04-24T08:19:36.47" personId="{A0A38A8A-C134-4678-9CBB-23A0304771A0}" id="{5F3957C6-B072-47CC-A7CD-DACB975D25EA}">
    <text>NiD : débrousaillage + 2 panneaux ICPE à changer</text>
  </threadedComment>
  <threadedComment ref="AC119" dT="2023-04-24T14:46:42.96" personId="{9EB4FA34-52A4-42AD-94C5-08A28DEC581C}" id="{A1821506-F5EE-40CC-AD2C-CD25CA4E92F2}">
    <text>6184€/turbine /an + 1500€ de location nacelle et autres frais.</text>
  </threadedComment>
  <threadedComment ref="AE119" dT="2023-04-17T15:03:29.81" personId="{69CA0253-62CF-4B18-83E9-9A2EA13E7DDE}" id="{00FDE2B2-EC0A-4C48-B7DA-2AE4A43B13C8}">
    <text>PG : suivi Busard et Aigle royal (Biotope)</text>
  </threadedComment>
  <threadedComment ref="AI119" dT="2023-04-17T15:23:57.15" personId="{69CA0253-62CF-4B18-83E9-9A2EA13E7DDE}" id="{AF5FD38B-F042-40F5-B7FA-FA181EA6B8C7}">
    <text>PG : étude feuille de route DREAL (NEOSOLUS) + travaux ouverture milieux (SERPE)</text>
  </threadedComment>
  <threadedComment ref="AC128" dT="2023-04-24T14:46:47.16" personId="{9EB4FA34-52A4-42AD-94C5-08A28DEC581C}" id="{F298ECA9-F4AC-41DC-B0B6-465827E87956}">
    <text>6184€/turbine /an + 1500€ de location nacelle et autres frais.</text>
  </threadedComment>
  <threadedComment ref="AE128" dT="2023-04-17T15:00:15.50" personId="{69CA0253-62CF-4B18-83E9-9A2EA13E7DDE}" id="{3D6344F8-5149-44D8-ACAC-3CCAD4B78E1C}">
    <text>PG : suivi Busard et Aigle royal (Biotope)</text>
  </threadedComment>
  <threadedComment ref="AI128" dT="2023-04-17T15:28:05.86" personId="{69CA0253-62CF-4B18-83E9-9A2EA13E7DDE}" id="{7180F1EC-C36A-40C0-B89C-40C34ADA3F48}">
    <text>PG : travaux ouverture milieux (SERPE)</text>
  </threadedComment>
  <threadedComment ref="AG140" dT="2023-04-18T06:47:32.95" personId="{6C753DA6-191D-48D2-9DEA-254F9A496679}" id="{07E7883B-23EE-4C87-BD65-CC457B5AA960}">
    <text>en fonction du bureau d'étude choisi, cf JPA avec mutualisation OUPIA</text>
  </threadedComment>
  <threadedComment ref="AG142" dT="2023-04-18T06:50:32.10" personId="{6C753DA6-191D-48D2-9DEA-254F9A496679}" id="{B870CA99-C0D5-40BC-BD75-CF1A763398CC}">
    <text>suivi allégé potentiel en fin d'été pour vérification bridage ? en fonction des conclusion du rapport VF</text>
  </threadedComment>
  <threadedComment ref="J174" dT="2023-04-14T08:54:03.57" personId="{6AF6DFCA-5D65-417C-96C2-7A5ADA8F121C}" id="{30E263F3-ABAE-4BD7-86EE-84DD1688A4C8}">
    <text>Fin au 31.08.23 ?</text>
  </threadedComment>
  <threadedComment ref="Q180" dT="2023-04-18T12:17:20.68" personId="{47608323-9CE7-4C00-B95A-4687EEA986EA}" id="{92FCCE08-7746-4962-8346-2772FD6432CD}">
    <text>Configuration et remise des clés SCADA</text>
  </threadedComment>
  <threadedComment ref="AA180" dT="2023-04-18T12:24:25.41" personId="{47608323-9CE7-4C00-B95A-4687EEA986EA}" id="{619AA6A2-A809-4B36-97FC-96C9AA388A8E}">
    <text>Amélioration de l'espace public</text>
  </threadedComment>
  <threadedComment ref="AH183" dT="2023-04-17T15:41:52.05" personId="{69CA0253-62CF-4B18-83E9-9A2EA13E7DDE}" id="{D4329F43-DF85-4D65-9AB5-FF89696DD9CB}">
    <text>PG : étude oiseaux et flore (BIOTOPE)</text>
  </threadedComment>
  <threadedComment ref="AC186" dT="2023-04-24T14:46:51.21" personId="{9EB4FA34-52A4-42AD-94C5-08A28DEC581C}" id="{01419D64-ED1E-4C7F-B218-5650B60471CF}">
    <text>6184€/turbine /an + 1500€ de location nacelle et autres frais.</text>
  </threadedComment>
  <threadedComment ref="AE186" dT="2023-04-17T14:59:12.03" personId="{69CA0253-62CF-4B18-83E9-9A2EA13E7DDE}" id="{099909CA-680E-4CDA-A0F3-4C06A446B30F}">
    <text>PG : Suivi Busard et Aigle royal (Biotope)</text>
  </threadedComment>
  <threadedComment ref="AI186" dT="2023-04-17T15:25:49.01" personId="{69CA0253-62CF-4B18-83E9-9A2EA13E7DDE}" id="{F0EF0A78-A577-4F6E-BDB0-39E986664EFD}">
    <text>PG : travaux ouverture (SERPE)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V3" dT="2023-04-27T12:05:29.78" personId="{170DE29A-4F89-4AA5-9A3B-5E0D4C244EE2}" id="{04F5B2C8-9706-4813-8E00-D627ADB6ED87}">
    <text>Attribué à la rénovation de la bergerie cette année. Le batiment, situé sur la pist edu parc, finira par s'éffondrer</text>
  </threadedComment>
  <threadedComment ref="AC6" dT="2023-04-24T14:46:19.20" personId="{9EB4FA34-52A4-42AD-94C5-08A28DEC581C}" id="{C4C4E845-1975-4801-9D02-CDC614F00BDB}">
    <text>6184€/turbine /an + 1500€ de location nacelle et autres frais.</text>
  </threadedComment>
  <threadedComment ref="AE6" dT="2023-04-17T14:54:03.93" personId="{69CA0253-62CF-4B18-83E9-9A2EA13E7DDE}" id="{6ACCA2F9-5A72-4FA2-B136-B814514F1AAD}">
    <text>PG : suivi Busard et Aigle royal (Biotope)</text>
  </threadedComment>
  <threadedComment ref="AE8" dT="2023-05-12T13:48:49.22" personId="{69CA0253-62CF-4B18-83E9-9A2EA13E7DDE}" id="{FEC31B99-8757-49F0-B0BC-6037EE8DC9E6}">
    <text>suivi busard à lancer</text>
  </threadedComment>
  <threadedComment ref="AK8" dT="2023-05-24T14:11:04.03" personId="{E06499CF-A6A4-4316-97FA-0922CD5D7AE0}" id="{DD5CB06E-A24E-4D2D-A21A-44D863DE32DB}">
    <text>Une fois le montant de l'indemnisation pour le sinistre sur la E36 connu (sur la base du coût de remise en état), prévoir franchise : Dommages 50K€ et Perte de revenus 2,36 M€ (30 jours)</text>
  </threadedComment>
  <threadedComment ref="AG10" dT="2023-04-17T15:35:15.45" personId="{69CA0253-62CF-4B18-83E9-9A2EA13E7DDE}" id="{37EA075D-7354-49B5-B746-9B0D288E2F8C}">
    <text>PG: suivi mortalité (CERA)</text>
  </threadedComment>
  <threadedComment ref="Z12" dT="2023-04-28T08:49:16.46" personId="{9B8DDAD3-9F64-4978-A02D-1AAD5FCCD226}" id="{EAB08C53-9682-409E-9366-DBEB4D9C43A5}">
    <text>3750€ géoréférencement réseaux HTA</text>
  </threadedComment>
  <threadedComment ref="V13" dT="2023-05-02T11:11:10.43" personId="{170DE29A-4F89-4AA5-9A3B-5E0D4C244EE2}" id="{E838F8B4-B9AC-42FF-86C9-42680BB20712}">
    <text>Provisions pour reprises diverses (première année d'exploitation)</text>
  </threadedComment>
  <threadedComment ref="W13" dT="2023-05-02T09:35:04.73" personId="{170DE29A-4F89-4AA5-9A3B-5E0D4C244EE2}" id="{9ADCFC42-7DD8-4DCF-8493-76F994EC8A42}">
    <text>Inspection pâles light</text>
  </threadedComment>
  <threadedComment ref="Y13" dT="2023-04-27T12:32:16.38" personId="{170DE29A-4F89-4AA5-9A3B-5E0D4C244EE2}" id="{B582F37D-B5B3-4548-8567-92E9555C574A}">
    <text>Orange</text>
  </threadedComment>
  <threadedComment ref="AA13" dT="2023-05-02T11:12:58.89" personId="{170DE29A-4F89-4AA5-9A3B-5E0D4C244EE2}" id="{351024B0-113E-4E63-B6B2-C70FF9D4A9C2}">
    <text>Ancrage</text>
  </threadedComment>
  <threadedComment ref="AK13" dT="2023-05-02T09:51:00.33" personId="{170DE29A-4F89-4AA5-9A3B-5E0D4C244EE2}" id="{A0368CF0-91ED-4757-B81E-9E8A45E18E5B}">
    <text>Bonus</text>
  </threadedComment>
  <threadedComment ref="AK13" dT="2023-05-02T12:18:54.34" personId="{E97F4A3F-2F7C-4FF0-A6B3-5D5F676AD6E1}" id="{EF0F8A35-1D22-437E-BDDC-19DA1F15ACA9}" parentId="{A0368CF0-91ED-4757-B81E-9E8A45E18E5B}">
    <text>formule bonus + date contractuelle</text>
  </threadedComment>
  <threadedComment ref="Z17" dT="2023-04-28T08:48:42.86" personId="{9B8DDAD3-9F64-4978-A02D-1AAD5FCCD226}" id="{5AACFB34-4A3F-4D12-BDD0-620873BDC67B}">
    <text>3750€ géoréférencement réseaux HTA</text>
  </threadedComment>
  <threadedComment ref="AC17" dT="2023-04-24T14:46:25.21" personId="{9EB4FA34-52A4-42AD-94C5-08A28DEC581C}" id="{574CDA47-4A02-40BE-9CE4-16A4ED86ABAE}">
    <text>6184€/turbine /an + 1500€ de location nacelle et autres frais.</text>
  </threadedComment>
  <threadedComment ref="AE17" dT="2023-04-17T14:45:50.66" personId="{69CA0253-62CF-4B18-83E9-9A2EA13E7DDE}" id="{78D1E35F-8722-4489-8D3F-A4146A14A6FE}">
    <text>PG : suivi Faucon crécerellette (Mathieu Garcia) + presta équipement (LPO France) + Commande balise GPS (Interrex)+ suivi Busard et Aigle royal (Biotope)</text>
  </threadedComment>
  <threadedComment ref="J19" dT="2023-05-04T08:00:39.54" personId="{A0A38A8A-C134-4678-9CBB-23A0304771A0}" id="{793FC948-A6C8-4449-952A-80B1536989D6}">
    <text>NiD : WTG avec SGRE et PDL avec INEO</text>
  </threadedComment>
  <threadedComment ref="S19" dT="2023-05-04T12:06:42.31" personId="{A0A38A8A-C134-4678-9CBB-23A0304771A0}" id="{82B68283-D345-48B3-A7DC-5E2E42B4CD59}">
    <text>NiD : 459k€ WTG (sgre) + 9k€ PDL (ineo)</text>
  </threadedComment>
  <threadedComment ref="T19" dT="2023-04-24T09:22:44.30" personId="{A0A38A8A-C134-4678-9CBB-23A0304771A0}" id="{36B52CAE-F181-40BC-BDD5-8879778B6F52}">
    <text>NiD : Sécurisation des portes</text>
  </threadedComment>
  <threadedComment ref="V19" dT="2023-04-24T09:16:49.29" personId="{A0A38A8A-C134-4678-9CBB-23A0304771A0}" id="{AE112C69-ADB9-42DC-BFE0-15F0D6A518EE}">
    <text>NiD : Remise en état plateformes SB04 et SB05 + panneau ICPE SB05</text>
  </threadedComment>
  <threadedComment ref="W19" dT="2023-04-24T08:39:23.96" personId="{A0A38A8A-C134-4678-9CBB-23A0304771A0}" id="{132F7B85-C9F2-4D12-BB8D-140408CA110D}">
    <text>NiD : inspection pâles</text>
  </threadedComment>
  <threadedComment ref="Y19" dT="2023-04-24T09:19:55.28" personId="{A0A38A8A-C134-4678-9CBB-23A0304771A0}" id="{D1D463F9-3C99-4611-9329-EB8CF7FAD8C9}">
    <text>NiD : passation satellite</text>
  </threadedComment>
  <threadedComment ref="AE20" dT="2023-04-27T07:29:28.40" personId="{1C82A4E8-D9C5-41FB-BD39-26F66317C03C}" id="{631ECFF0-A02E-48C6-80BA-25B912E232E0}">
    <text>Suivi Milan royal suite collision</text>
  </threadedComment>
  <threadedComment ref="AF20" dT="2023-04-27T07:29:39.88" personId="{1C82A4E8-D9C5-41FB-BD39-26F66317C03C}" id="{903568C5-CF7D-4D7B-8DC5-F4DF57B430AC}">
    <text>Suivi nacelle pour évaluer efficacité du plan</text>
  </threadedComment>
  <threadedComment ref="AG20" dT="2023-04-27T07:29:47.77" personId="{1C82A4E8-D9C5-41FB-BD39-26F66317C03C}" id="{DC02F23F-F399-4004-9507-E2A0C390B953}">
    <text>Suivi morta pour évaluer efficacité du plan</text>
  </threadedComment>
  <threadedComment ref="O21" dT="2023-04-27T12:04:10.46" personId="{7688E19C-59E1-4E90-B778-2CC71EC606D8}" id="{C1D7BA60-C3F6-465B-A992-5B1171FB8684}">
    <text>entretien mât</text>
  </threadedComment>
  <threadedComment ref="V21" dT="2023-04-27T12:12:47.04" personId="{7688E19C-59E1-4E90-B778-2CC71EC606D8}" id="{EA53E623-2ECD-4C48-99AC-7CAE9622D8C4}">
    <text>débroussaillage</text>
  </threadedComment>
  <threadedComment ref="Z21" dT="2023-04-27T14:06:57.52" personId="{7688E19C-59E1-4E90-B778-2CC71EC606D8}" id="{C3BFF07B-B31C-47A0-AA55-A4237E5BE10F}">
    <text>plainte riverain cable elec - délimitation parcelle + frais huissier</text>
  </threadedComment>
  <threadedComment ref="Z21" dT="2023-04-28T08:54:46.48" personId="{9B8DDAD3-9F64-4978-A02D-1AAD5FCCD226}" id="{E28E95BE-C614-45B8-B3B8-C6D08EE346FF}" parentId="{C3BFF07B-B31C-47A0-AA55-A4237E5BE10F}">
    <text>5280€ géoréférencement réseaux HTA</text>
  </threadedComment>
  <threadedComment ref="AK21" dT="2023-04-27T14:11:01.82" personId="{7688E19C-59E1-4E90-B778-2CC71EC606D8}" id="{F5CB1E50-5020-4807-B5D8-069B35ACEC4B}">
    <text>bonus prévu (pour les deux parcs BTS 1 et 2) 86000 vs bonus réel 91718 donc delta 5718</text>
  </threadedComment>
  <threadedComment ref="X22" dT="2023-04-27T12:05:20.63" personId="{7688E19C-59E1-4E90-B778-2CC71EC606D8}" id="{7497FEB8-D656-4970-B8FE-1FD76DDE0706}">
    <text>entretien mât</text>
  </threadedComment>
  <threadedComment ref="Z22" dT="2023-04-28T13:17:03.08" personId="{7688E19C-59E1-4E90-B778-2CC71EC606D8}" id="{40071F11-65A3-447B-AB88-784F424EDD17}">
    <text>Reparation transfo BTS2</text>
  </threadedComment>
  <threadedComment ref="P23" dT="2023-04-27T12:37:12.80" personId="{170DE29A-4F89-4AA5-9A3B-5E0D4C244EE2}" id="{6A846640-D080-470F-AE49-D3D5980F2EC3}">
    <text>RDL + retrofit PDL reboot distant</text>
  </threadedComment>
  <threadedComment ref="S23" dT="2023-04-27T11:38:46.94" personId="{170DE29A-4F89-4AA5-9A3B-5E0D4C244EE2}" id="{666DFFDD-C8EA-4728-9967-8BDD360E11A5}">
    <text>Augmentation du contrat en année 3</text>
  </threadedComment>
  <threadedComment ref="T23" dT="2023-04-27T12:34:41.75" personId="{170DE29A-4F89-4AA5-9A3B-5E0D4C244EE2}" id="{6037CE0A-8FB7-4A17-A608-048C2670B426}">
    <text>Réparation serrures + pose american lock</text>
  </threadedComment>
  <threadedComment ref="V23" dT="2023-05-02T09:30:52.88" personId="{170DE29A-4F89-4AA5-9A3B-5E0D4C244EE2}" id="{7C584C70-C94C-4E20-AF5B-65FD5077D9B4}">
    <text>Fourniture + pose barrière + sécurisation plateforme 6</text>
  </threadedComment>
  <threadedComment ref="W23" dT="2023-05-02T09:14:24.44" personId="{170DE29A-4F89-4AA5-9A3B-5E0D4C244EE2}" id="{45EC2EF5-0D44-4A6F-A01F-22BF336FA92D}">
    <text>Inspection pâles light</text>
  </threadedComment>
  <threadedComment ref="AA23" dT="2023-04-27T12:40:24.14" personId="{170DE29A-4F89-4AA5-9A3B-5E0D4C244EE2}" id="{6FFB256E-A7EF-42CE-86EC-B4718EECFF5F}">
    <text>Budget ancrage + chèques énergie (esitmation)</text>
  </threadedComment>
  <threadedComment ref="AA23" dT="2023-05-02T12:25:31.69" personId="{E97F4A3F-2F7C-4FF0-A6B3-5D5F676AD6E1}" id="{0FEDFACC-BBB3-44A1-8A36-BC2DEE04E7E3}" parentId="{6FFB256E-A7EF-42CE-86EC-B4718EECFF5F}">
    <text>cheque energie en mesure compensatoire</text>
  </threadedComment>
  <threadedComment ref="AK23" dT="2023-05-02T09:50:50.50" personId="{170DE29A-4F89-4AA5-9A3B-5E0D4C244EE2}" id="{7E741718-1EBB-4049-8FA5-DEAE20331AD1}">
    <text>Bonus</text>
  </threadedComment>
  <threadedComment ref="J24" dT="2023-05-02T15:21:55.16" personId="{C2149035-1331-4159-8FC2-DE8044F8706D}" id="{7886AA51-4185-4697-8507-73FE4CC75F7A}">
    <text>98k€/an</text>
  </threadedComment>
  <threadedComment ref="Q24" dT="2023-05-03T13:54:04.59" personId="{C2149035-1331-4159-8FC2-DE8044F8706D}" id="{D6A40E56-E6E7-46BF-8551-EBADDD2EF0BE}">
    <text>Contrat O&amp;M Luxel : scope de maintenance n'est pas le meme que le contrat cadre (15%)</text>
  </threadedComment>
  <threadedComment ref="Q30" dT="2023-04-27T14:11:37.96" personId="{9B8DDAD3-9F64-4978-A02D-1AAD5FCCD226}" id="{C4EEA62D-FED7-4234-861F-30BEA9B1F10D}">
    <text>3272€ d'installation gastop</text>
  </threadedComment>
  <threadedComment ref="Z30" dT="2023-04-28T08:56:12.47" personId="{9B8DDAD3-9F64-4978-A02D-1AAD5FCCD226}" id="{C9C2B450-78D6-4385-9446-089FA0D12B71}">
    <text>2730€ géoréférencement réseaux HTA</text>
  </threadedComment>
  <threadedComment ref="Q31" dT="2023-04-27T14:02:19.30" personId="{9B8DDAD3-9F64-4978-A02D-1AAD5FCCD226}" id="{29FBAE7F-FE98-4288-939E-174B606F7680}">
    <text>6510€ d'installation compteur particules</text>
  </threadedComment>
  <threadedComment ref="V31" dT="2023-04-27T12:12:55.37" personId="{7688E19C-59E1-4E90-B778-2CC71EC606D8}" id="{03D74CC9-3C4A-4181-8851-FFC075F7ECF5}">
    <text>débroussaillage</text>
  </threadedComment>
  <threadedComment ref="AF32" dT="2023-05-15T15:37:29.15" personId="{69CA0253-62CF-4B18-83E9-9A2EA13E7DDE}" id="{AB6E3E38-911C-4CE6-9FA7-69CDC374BEF9}">
    <text>suivi activité 2023 suite aux résultats 2022</text>
  </threadedComment>
  <threadedComment ref="AG32" dT="2023-05-15T15:37:05.66" personId="{69CA0253-62CF-4B18-83E9-9A2EA13E7DDE}" id="{5159EFD5-E160-4F21-899E-884950B406A5}">
    <text>suivi mortalité 2023 suite aux résultats 2022</text>
  </threadedComment>
  <threadedComment ref="AI32" dT="2023-05-15T15:38:17.55" personId="{69CA0253-62CF-4B18-83E9-9A2EA13E7DDE}" id="{FA56AA7A-29D7-47F1-B687-95D1A947F34B}">
    <text>Suivi des mesures compensatoires + travaux d'ouvertures</text>
  </threadedComment>
  <threadedComment ref="T33" dT="2023-05-03T20:15:28.83" personId="{FDDF2605-3A0A-4CB8-A69E-5BEE09943F94}" id="{4966BC22-282D-4619-85B2-73FB5C4E2430}">
    <text>djacob le 03/05/2023
- Aléas= 3500€</text>
  </threadedComment>
  <threadedComment ref="V33" dT="2023-05-03T19:46:59.67" personId="{FDDF2605-3A0A-4CB8-A69E-5BEE09943F94}" id="{D18E3744-13FE-4377-9386-BE8D8B99D609}">
    <text>djacob le 03/05/2023
- lavage module 7,2k€</text>
  </threadedComment>
  <threadedComment ref="W33" dT="2023-05-03T19:55:11.17" personId="{FDDF2605-3A0A-4CB8-A69E-5BEE09943F94}" id="{726FAF2D-91A6-486A-965B-B10B201487E2}">
    <text>djacob le 03/05/2023
- drone1,9k€
- inspection électrique apave 1,2k€ suite vol</text>
  </threadedComment>
  <threadedComment ref="Z33" dT="2023-05-03T20:34:40.85" personId="{FDDF2605-3A0A-4CB8-A69E-5BEE09943F94}" id="{5AE7F8EE-86B0-4050-B240-80D08DC9660A}">
    <text>djacob le 3/05/2023
-PDP 1,6k€</text>
  </threadedComment>
  <threadedComment ref="AA33" dT="2023-05-03T20:25:27.05" personId="{FDDF2605-3A0A-4CB8-A69E-5BEE09943F94}" id="{055D4DC2-15AD-4847-B8E7-F58135EB9B78}">
    <text>djacob le 03/05/2023
- Ancrage= 0,2% du CA</text>
  </threadedComment>
  <threadedComment ref="V34" dT="2023-04-28T15:08:44.29" personId="{7D2821EC-6170-489B-BBB7-C5AB24EDE7DB}" id="{126A1921-32B2-4976-9658-6D296A5C6981}">
    <text>Végétation + Réfection chemin</text>
  </threadedComment>
  <threadedComment ref="W34" dT="2023-04-28T15:09:10.85" personId="{7D2821EC-6170-489B-BBB7-C5AB24EDE7DB}" id="{52237AA6-0EE0-4993-86E5-5D2046007145}">
    <text>Inspection de pales</text>
  </threadedComment>
  <threadedComment ref="V35" dT="2023-04-25T15:36:47.87" personId="{47608323-9CE7-4C00-B95A-4687EEA986EA}" id="{EDAE9733-32F6-4161-8C06-8FA5FD526B10}">
    <text>Débroussaillage</text>
  </threadedComment>
  <threadedComment ref="Z35" dT="2023-04-27T12:33:40.74" personId="{47608323-9CE7-4C00-B95A-4687EEA986EA}" id="{1627BEB9-028C-4E63-B44F-37B4CB5B10A2}">
    <text>Soudure des marches d'escaliers</text>
  </threadedComment>
  <threadedComment ref="AB36" dT="2023-04-28T08:34:31.98" personId="{9B8DDAD3-9F64-4978-A02D-1AAD5FCCD226}" id="{246B26EE-B521-40F1-86D3-52CF68B728BD}">
    <text>3750€ géoréférencement réseaux HTA</text>
  </threadedComment>
  <threadedComment ref="T37" dT="2023-05-03T20:15:28.83" personId="{FDDF2605-3A0A-4CB8-A69E-5BEE09943F94}" id="{EB5DC185-E827-45B5-B7DF-A1F77938E490}">
    <text>djacob le 03/05/2023
- Aléas= 3500€</text>
  </threadedComment>
  <threadedComment ref="V37" dT="2023-05-03T19:46:59.67" personId="{FDDF2605-3A0A-4CB8-A69E-5BEE09943F94}" id="{023A5310-B30C-4830-AF8B-BD7F69B288B6}">
    <text>djacob le 03/05/2023
- lavage module 7,2k€</text>
  </threadedComment>
  <threadedComment ref="W37" dT="2023-05-03T19:55:11.17" personId="{FDDF2605-3A0A-4CB8-A69E-5BEE09943F94}" id="{82B8E5ED-A9C1-4D55-B816-A1F77AB44CF7}">
    <text>djacob le 03/05/2023
- drone1,9k€
- inspection électrique apave 1,2k€ suite vol</text>
  </threadedComment>
  <threadedComment ref="Z37" dT="2023-05-03T20:34:40.85" personId="{FDDF2605-3A0A-4CB8-A69E-5BEE09943F94}" id="{F88ACF1F-B006-467E-B56E-209922E1BB87}">
    <text>djacob le 3/05/2023
-PDP 1,6k€</text>
  </threadedComment>
  <threadedComment ref="AA37" dT="2023-05-03T20:25:27.05" personId="{FDDF2605-3A0A-4CB8-A69E-5BEE09943F94}" id="{F1756030-5A32-41D1-9017-A9CA497E73AD}">
    <text>djacob le 03/05/2023
- Ancrage= 0,2% du CA</text>
  </threadedComment>
  <threadedComment ref="V38" dT="2023-04-28T08:07:11.33" personId="{7CAE674B-9D79-4200-9F2E-3FEAE266C294}" id="{C556A092-7840-470F-A3C2-3F1794A92AFC}">
    <text>Installation clôture parc</text>
  </threadedComment>
  <threadedComment ref="AH39" dT="2023-04-27T07:30:58.63" personId="{1C82A4E8-D9C5-41FB-BD39-26F66317C03C}" id="{1305662F-9B07-4CE0-9A35-79378CA1A708}">
    <text>Suivi enviro, budget SEE sous-estimé</text>
  </threadedComment>
  <threadedComment ref="W40" dT="2023-04-28T15:09:19.84" personId="{7D2821EC-6170-489B-BBB7-C5AB24EDE7DB}" id="{E33FDE74-8CF7-4739-9D13-C60CEA833E34}">
    <text>Inspection de pales</text>
  </threadedComment>
  <threadedComment ref="Z40" dT="2023-04-28T15:06:32.94" personId="{7D2821EC-6170-489B-BBB7-C5AB24EDE7DB}" id="{60EAE526-4C91-44B3-AAC2-577D3DD61D92}">
    <text>ALEA = 500*NbMW</text>
  </threadedComment>
  <threadedComment ref="Z40" dT="2023-04-28T15:30:04.49" personId="{7D2821EC-6170-489B-BBB7-C5AB24EDE7DB}" id="{DCB55B7B-0E4C-4DE2-A876-89A327B44D82}" parentId="{60EAE526-4C91-44B3-AAC2-577D3DD61D92}">
    <text>et double étude acoustique</text>
  </threadedComment>
  <threadedComment ref="AF40" dT="2023-04-27T07:32:11.74" personId="{1C82A4E8-D9C5-41FB-BD39-26F66317C03C}" id="{E1822715-C7E4-46E4-B32A-C48B2873ADDB}">
    <text>suivi nacelle AP</text>
  </threadedComment>
  <threadedComment ref="AG40" dT="2023-04-27T07:32:34.15" personId="{1C82A4E8-D9C5-41FB-BD39-26F66317C03C}" id="{FAF51A84-E0C5-4497-A140-AC021A000648}">
    <text>suivi morta AP + complément pour évaluer plan chiro</text>
  </threadedComment>
  <threadedComment ref="AK40" dT="2023-04-28T15:14:42.82" personId="{7D2821EC-6170-489B-BBB7-C5AB24EDE7DB}" id="{232F38BA-50EC-4FEB-966F-3D3F060F1102}">
    <text>Bonus Vestas</text>
  </threadedComment>
  <threadedComment ref="Z44" dT="2023-04-28T08:37:57.59" personId="{9B8DDAD3-9F64-4978-A02D-1AAD5FCCD226}" id="{8F46AC9C-FF89-44FD-94BE-9A79CC411C15}">
    <text>5280€ géoréférencement réseaux HTA</text>
  </threadedComment>
  <threadedComment ref="V46" dT="2023-04-25T15:36:44.06" personId="{47608323-9CE7-4C00-B95A-4687EEA986EA}" id="{AB64BF44-E690-4DAA-B3A6-CB94F3200710}">
    <text>Débroussaillage</text>
  </threadedComment>
  <threadedComment ref="Z47" dT="2023-04-28T08:35:24.40" personId="{9B8DDAD3-9F64-4978-A02D-1AAD5FCCD226}" id="{AF11FE93-7B4F-48CD-A678-A0295B34A95A}">
    <text>3750€ géoréférencement réseaux HTA</text>
  </threadedComment>
  <threadedComment ref="Z50" dT="2023-04-28T08:57:50.19" personId="{9B8DDAD3-9F64-4978-A02D-1AAD5FCCD226}" id="{6FE78087-3C3E-4804-96E1-300BB95DE9E9}">
    <text>4260€ géoréférencement réseaux HTA</text>
  </threadedComment>
  <threadedComment ref="AC50" dT="2023-04-24T14:46:31.16" personId="{9EB4FA34-52A4-42AD-94C5-08A28DEC581C}" id="{AC285EBE-E121-480A-B619-A8430429E7C2}">
    <text>6184€/turbine /an + 1500€ de location nacelle et autres frais.</text>
  </threadedComment>
  <threadedComment ref="AE50" dT="2023-04-17T14:56:41.20" personId="{69CA0253-62CF-4B18-83E9-9A2EA13E7DDE}" id="{A7BEB626-C261-4BDE-AF0E-8EE50D890F88}">
    <text>PG : suivi Busard et Aigle royal (Biotope)</text>
  </threadedComment>
  <threadedComment ref="J54" dT="2023-05-03T13:44:17.43" personId="{C2149035-1331-4159-8FC2-DE8044F8706D}" id="{114222A9-A3AE-43E4-A483-72F7900947DE}">
    <text>75.355k€/an (reprise fin Juin)</text>
  </threadedComment>
  <threadedComment ref="V55" dT="2023-04-28T08:16:49.09" personId="{7CAE674B-9D79-4200-9F2E-3FEAE266C294}" id="{339F5741-EC71-4FB1-B202-521CD0607307}">
    <text>Nettoyage Modules</text>
  </threadedComment>
  <threadedComment ref="V55" dT="2023-05-23T14:07:44.35" personId="{692B9717-F9AF-4DDC-90DB-F180C82E0DFD}" id="{B20A4432-E195-4E15-9D14-A8B639180DF2}" parentId="{339F5741-EC71-4FB1-B202-521CD0607307}">
    <text>-200 ke pour travaux hydrau</text>
  </threadedComment>
  <threadedComment ref="V56" dT="2023-04-25T15:36:41.51" personId="{47608323-9CE7-4C00-B95A-4687EEA986EA}" id="{CD18C3D4-D6D0-4B4B-85C8-794F8C31FC7A}">
    <text>Débroussaillage</text>
  </threadedComment>
  <threadedComment ref="W56" dT="2023-04-25T14:13:55.46" personId="{47608323-9CE7-4C00-B95A-4687EEA986EA}" id="{99201B1D-53F0-40B4-BE6C-6CE8ABDB881B}">
    <text>Inspection interne de pale + 2nd inspection pales ICPE</text>
  </threadedComment>
  <threadedComment ref="Y56" dT="2023-04-25T14:39:37.01" personId="{47608323-9CE7-4C00-B95A-4687EEA986EA}" id="{B91BE1C3-FAFF-4F43-881A-0B2071D1BFD3}">
    <text>Configuration DMZ</text>
  </threadedComment>
  <threadedComment ref="AF58" dT="2023-04-27T07:33:39.31" personId="{1C82A4E8-D9C5-41FB-BD39-26F66317C03C}" id="{3671A557-BC39-42A5-955F-C1D475760FEC}">
    <text>aléas en attente APC</text>
  </threadedComment>
  <threadedComment ref="AG58" dT="2023-04-27T07:33:50.73" personId="{1C82A4E8-D9C5-41FB-BD39-26F66317C03C}" id="{975EE81A-C2DD-49D9-B2DA-DB16E31EF1D5}">
    <text>aléas en attente APC</text>
  </threadedComment>
  <threadedComment ref="V60" dT="2023-04-28T14:00:15.34" personId="{8C8A0C17-2755-4ED2-B3F5-4E255DC0BA93}" id="{D6A6AECB-24BB-460A-BF36-915533576274}">
    <text>1190€ Essais à la plaque</text>
  </threadedComment>
  <threadedComment ref="AK60" dT="2023-04-26T12:15:56.73" personId="{8C8A0C17-2755-4ED2-B3F5-4E255DC0BA93}" id="{F286C861-D4A9-4A18-B832-7EB894034205}">
    <text>MaA 25/04/2023
Estimation Malus 2022 : 13580€
Malus réel 2022 : 0€</text>
  </threadedComment>
  <threadedComment ref="AE61" dT="2023-04-27T07:34:30.85" personId="{1C82A4E8-D9C5-41FB-BD39-26F66317C03C}" id="{F1C492DD-B795-47CA-BB2C-CD4D27E1A19B}">
    <text>suivi friche Oedicnème</text>
  </threadedComment>
  <threadedComment ref="Z63" dT="2023-04-28T08:37:06.26" personId="{9B8DDAD3-9F64-4978-A02D-1AAD5FCCD226}" id="{014D4E09-EA90-4E91-957A-2E87FA83EE0D}">
    <text>3750€ géoréférencement réseaux HTA</text>
  </threadedComment>
  <threadedComment ref="P67" dT="2023-05-03T13:39:23.23" personId="{A0A38A8A-C134-4678-9CBB-23A0304771A0}" id="{A6F6684B-BCAD-4F44-ADB8-FBC848032285}">
    <text>NiD : abonnement RDL</text>
  </threadedComment>
  <threadedComment ref="V67" dT="2023-04-24T08:18:34.05" personId="{A0A38A8A-C134-4678-9CBB-23A0304771A0}" id="{A04669E5-E5CE-410B-B46F-25F35AA5B4B5}">
    <text>NiD : débrousaillage + réfection chemins</text>
  </threadedComment>
  <threadedComment ref="V68" dT="2023-04-25T14:48:04.78" personId="{47608323-9CE7-4C00-B95A-4687EEA986EA}" id="{0C1D8AE2-F470-45A2-8310-2532719CA10A}">
    <text>Convention prestation de service + entretien route + Débroussaillage</text>
  </threadedComment>
  <threadedComment ref="W68" dT="2023-04-27T12:31:22.14" personId="{47608323-9CE7-4C00-B95A-4687EEA986EA}" id="{7EA23A47-A94D-4055-8C27-1AE0EDA3EB25}">
    <text>2nd inspection pales ICPE</text>
  </threadedComment>
  <threadedComment ref="AE68" dT="2023-04-27T07:35:16.84" personId="{1C82A4E8-D9C5-41FB-BD39-26F66317C03C}" id="{3AC04F9E-8549-4C3A-8A6F-D0B56C876DCB}">
    <text>Suivi Busard AP</text>
  </threadedComment>
  <threadedComment ref="Z70" dT="2023-04-28T08:38:45.21" personId="{9B8DDAD3-9F64-4978-A02D-1AAD5FCCD226}" id="{88156A7E-BFC6-4C8E-A710-B1BE6CEC84AD}">
    <text>3750€ géoréférencement réseaux HTA</text>
  </threadedComment>
  <threadedComment ref="AH73" dT="2023-04-27T07:35:46.51" personId="{1C82A4E8-D9C5-41FB-BD39-26F66317C03C}" id="{9D1E4D7B-3A30-42A7-A7DE-C84F1B331883}">
    <text>suivi loi sur l'eau et biodiv</text>
  </threadedComment>
  <threadedComment ref="O77" dT="2023-04-28T09:45:21.24" personId="{8C8A0C17-2755-4ED2-B3F5-4E255DC0BA93}" id="{3C79F404-92FB-4EDA-9D74-F9C6D37858E6}">
    <text>Maintenance pylone</text>
  </threadedComment>
  <threadedComment ref="V77" dT="2023-04-28T14:04:26.52" personId="{8C8A0C17-2755-4ED2-B3F5-4E255DC0BA93}" id="{78686FC2-26B6-422D-AB5C-53D3A6EEEBC1}">
    <text>1717€ Entretien plateforme</text>
  </threadedComment>
  <threadedComment ref="V77" dT="2023-05-24T14:31:00.03" personId="{E06499CF-A6A4-4316-97FA-0922CD5D7AE0}" id="{D30B9EC2-BB60-425A-8EB8-D6BA2C9FD720}" parentId="{78686FC2-26B6-422D-AB5C-53D3A6EEEBC1}">
    <text>- 29 910€ : travaux terrassement plateforme pour MCR</text>
  </threadedComment>
  <threadedComment ref="X77" dT="2023-04-28T13:51:21.61" personId="{8C8A0C17-2755-4ED2-B3F5-4E255DC0BA93}" id="{C5B80435-9508-4A94-8631-A426B1890F3A}">
    <text>Budget Préventif + correctif MDM</text>
  </threadedComment>
  <threadedComment ref="AC78" dT="2023-05-16T07:48:54.85" personId="{69CA0253-62CF-4B18-83E9-9A2EA13E7DDE}" id="{6B4C74B1-B0F2-4DEB-9FFB-5D926885B62D}">
    <text>Contrat O&amp;M DT Bird, vu avec Alejandro</text>
  </threadedComment>
  <threadedComment ref="T79" dT="2023-04-24T14:11:04.71" personId="{A0A38A8A-C134-4678-9CBB-23A0304771A0}" id="{FB2253F7-9807-45C9-B80A-2E6C0B414EC5}">
    <text>NiD : Modification fréquence flashlight</text>
  </threadedComment>
  <threadedComment ref="V79" dT="2023-04-24T08:18:29.29" personId="{A0A38A8A-C134-4678-9CBB-23A0304771A0}" id="{55E36E3F-CC24-40FE-AE1E-2331D72ABF98}">
    <text>NiD : débrousaillage</text>
  </threadedComment>
  <threadedComment ref="W79" dT="2023-04-24T09:14:56.53" personId="{A0A38A8A-C134-4678-9CBB-23A0304771A0}" id="{E7709F45-0449-42F7-9A93-5076675F6BFF}">
    <text>NiD : Inspection pâles</text>
  </threadedComment>
  <threadedComment ref="AK79" dT="2023-04-26T09:11:46.27" personId="{A0A38A8A-C134-4678-9CBB-23A0304771A0}" id="{5D356338-DC41-4649-8706-630156CCD489}">
    <text>Bonus plus élevé que prévu</text>
  </threadedComment>
  <threadedComment ref="V80" dT="2023-04-25T15:36:34.68" personId="{47608323-9CE7-4C00-B95A-4687EEA986EA}" id="{51C80D81-57D2-4772-8178-432EC77CE8F8}">
    <text>Débroussaillage</text>
  </threadedComment>
  <threadedComment ref="W80" dT="2023-04-27T12:31:50.14" personId="{47608323-9CE7-4C00-B95A-4687EEA986EA}" id="{7C2E4A35-A4D9-4A9A-AB13-FECCDAEE6C36}">
    <text>2nd inspection pales ICPE</text>
  </threadedComment>
  <threadedComment ref="Z80" dT="2023-04-18T12:02:01.69" personId="{47608323-9CE7-4C00-B95A-4687EEA986EA}" id="{3055A85F-FF7B-42B0-86FF-41EBD81CEA59}">
    <text>Accompagnement géoréférencement + installation batcorder + Géoréférencement</text>
  </threadedComment>
  <threadedComment ref="V81" dT="2023-04-25T16:28:22.15" personId="{9B8DDAD3-9F64-4978-A02D-1AAD5FCCD226}" id="{ED911F6B-0F3D-410A-89C5-08FDF0EE6200}">
    <text>27447.2€ de travaux de terrassement pour la plateforme + 1987.2€ d'essai de plaque</text>
  </threadedComment>
  <threadedComment ref="AE82" dT="2023-04-27T07:37:47.98" personId="{1C82A4E8-D9C5-41FB-BD39-26F66317C03C}" id="{0DE2751F-1C46-46E8-9FC8-C5DC0C3772D8}">
    <text>suivi AP initial</text>
  </threadedComment>
  <threadedComment ref="AF82" dT="2023-04-27T07:37:51.40" personId="{1C82A4E8-D9C5-41FB-BD39-26F66317C03C}" id="{7D7FD625-78AD-410F-BF71-3B4772608E94}">
    <text>suivi AP initial</text>
  </threadedComment>
  <threadedComment ref="AG82" dT="2023-04-27T07:37:55.00" personId="{1C82A4E8-D9C5-41FB-BD39-26F66317C03C}" id="{26913040-36AB-4245-92A7-55B8B1299265}">
    <text>suivi AP initial</text>
  </threadedComment>
  <threadedComment ref="P83" dT="2023-04-27T12:41:04.86" personId="{170DE29A-4F89-4AA5-9A3B-5E0D4C244EE2}" id="{DF55FEC4-F6B8-49C3-9E4D-1C42E4D9D080}">
    <text>RDL  +Wonder</text>
  </threadedComment>
  <threadedComment ref="V83" dT="2023-04-27T12:42:23.89" personId="{170DE29A-4F89-4AA5-9A3B-5E0D4C244EE2}" id="{0918EC02-4DCB-4718-85B1-8184066FD5F7}">
    <text>Débroussaillage  + entretient milieux ouverts</text>
  </threadedComment>
  <threadedComment ref="Y83" dT="2023-05-02T09:19:10.63" personId="{170DE29A-4F89-4AA5-9A3B-5E0D4C244EE2}" id="{D1C75F98-0B7A-4417-A22E-88CF394759CA}">
    <text>Orange + ComIP</text>
  </threadedComment>
  <threadedComment ref="AC83" dT="2023-04-27T12:12:38.67" personId="{170DE29A-4F89-4AA5-9A3B-5E0D4C244EE2}" id="{3FD7BE61-E1A4-43E7-B62F-B461B82B8A47}">
    <text>Maintenance DTBird + Bioseco + 3 locations nacelles</text>
  </threadedComment>
  <threadedComment ref="AK83" dT="2023-05-02T09:47:25.50" personId="{170DE29A-4F89-4AA5-9A3B-5E0D4C244EE2}" id="{F856378C-7954-4221-88C8-B857B9D3F503}">
    <text>Avocat</text>
  </threadedComment>
  <threadedComment ref="P84" dT="2023-05-02T09:17:47.61" personId="{170DE29A-4F89-4AA5-9A3B-5E0D4C244EE2}" id="{222068F6-838D-4824-A8D8-652B2D4C2049}">
    <text>RDL</text>
  </threadedComment>
  <threadedComment ref="V84" dT="2023-04-27T11:42:29.26" personId="{170DE29A-4F89-4AA5-9A3B-5E0D4C244EE2}" id="{B6F2BA35-F863-4DD2-A491-1DAE092E1DF4}">
    <text>Débrouissaillage (15000€), ouverture de milieux (DEP) et rénovation bergerie</text>
  </threadedComment>
  <threadedComment ref="AC84" dT="2023-04-27T11:45:44.33" personId="{170DE29A-4F89-4AA5-9A3B-5E0D4C244EE2}" id="{312BF65B-1CE8-47A7-BA5B-E67B81859839}">
    <text>Contrat O&amp;M SafeWind révisé avec inflation + option maintenance préventive + 5 locations de nacelle sur l'année</text>
  </threadedComment>
  <threadedComment ref="AD84" dT="2023-04-27T11:47:49.23" personId="{170DE29A-4F89-4AA5-9A3B-5E0D4C244EE2}" id="{998EA96B-E776-4E89-BBB8-61F4078098E3}">
    <text>Location conteneur Ortec + inflation</text>
  </threadedComment>
  <threadedComment ref="AE84" dT="2023-05-12T14:54:39.31" personId="{69CA0253-62CF-4B18-83E9-9A2EA13E7DDE}" id="{E5E005BF-4656-4CE8-AE52-62A2818C0BE2}">
    <text>Suivi Aigle royal</text>
  </threadedComment>
  <threadedComment ref="AG84" dT="2023-05-12T14:52:28.32" personId="{69CA0253-62CF-4B18-83E9-9A2EA13E7DDE}" id="{16B791C2-1220-4FF1-BDDF-64EB6A559D65}">
    <text>Suivi mortalité LPO</text>
  </threadedComment>
  <threadedComment ref="AI84" dT="2023-05-12T09:50:11.23" personId="{69CA0253-62CF-4B18-83E9-9A2EA13E7DDE}" id="{23569FB3-5C0C-4B93-BBBA-F950324A499C}">
    <text>aléas enviro lié à la DEP</text>
  </threadedComment>
  <threadedComment ref="AC85" dT="2023-04-24T14:46:37.37" personId="{9EB4FA34-52A4-42AD-94C5-08A28DEC581C}" id="{C59E114E-3BF9-469C-9044-5107EEFEBAD3}">
    <text>6184€/turbine /an + 1500€ de location nacelle et autres frais.</text>
  </threadedComment>
  <threadedComment ref="AE85" dT="2023-04-17T15:06:11.09" personId="{69CA0253-62CF-4B18-83E9-9A2EA13E7DDE}" id="{458669B3-405E-4066-9239-6C23A2DE6104}">
    <text>PG : suivi Busard et Aigle royal (Biotope)</text>
  </threadedComment>
  <threadedComment ref="AI85" dT="2023-04-17T15:22:54.21" personId="{69CA0253-62CF-4B18-83E9-9A2EA13E7DDE}" id="{1CFBA3FD-8C89-4D86-8F2D-3B00545A6E9C}">
    <text>PG : presta Néosolus et ecostudiz + travaux ouverture milieux (SERPE)</text>
  </threadedComment>
  <threadedComment ref="V86" dT="2023-05-04T13:21:12.24" personId="{AA76A9EF-0DB0-4FCB-B270-E50AEF4A6EE6}" id="{DFBA3D28-E625-417D-B943-482EFAA87E0E}">
    <text xml:space="preserve">DP : Végétation 
</text>
  </threadedComment>
  <threadedComment ref="Z86" dT="2023-05-04T13:23:24.73" personId="{AA76A9EF-0DB0-4FCB-B270-E50AEF4A6EE6}" id="{D98E1055-72A7-4165-9063-A0223429426F}">
    <text>DP : Mission siemens installation Onduleurs + Aléa</text>
  </threadedComment>
  <threadedComment ref="AA86" dT="2023-05-04T13:27:02.56" personId="{AA76A9EF-0DB0-4FCB-B270-E50AEF4A6EE6}" id="{8521A620-2287-4C8D-B58C-9B44A31E9F2D}">
    <text>DP : budget Ancrage 0,2%</text>
  </threadedComment>
  <threadedComment ref="AH87" dT="2023-04-27T07:38:19.94" personId="{1C82A4E8-D9C5-41FB-BD39-26F66317C03C}" id="{6E18475A-9FB6-43C3-9856-2B0D91E42A65}">
    <text>suivi DEP</text>
  </threadedComment>
  <threadedComment ref="O88" dT="2023-04-27T12:17:31.16" personId="{7688E19C-59E1-4E90-B778-2CC71EC606D8}" id="{71FD3245-993F-4DCC-AF05-D72D6380DC40}">
    <text>entretien mât</text>
  </threadedComment>
  <threadedComment ref="V88" dT="2023-04-27T12:13:01.93" personId="{7688E19C-59E1-4E90-B778-2CC71EC606D8}" id="{EA16DC66-86DE-401A-969A-86CB91D50C2F}">
    <text>débroussaillage</text>
  </threadedComment>
  <threadedComment ref="X88" dT="2023-04-27T12:18:14.15" personId="{7688E19C-59E1-4E90-B778-2CC71EC606D8}" id="{ABAE1720-2164-4D39-8BA4-9380A531EBE7}">
    <text>entretien mât 2023 ou 2024?</text>
  </threadedComment>
  <threadedComment ref="Z88" dT="2023-04-27T13:48:01.73" personId="{9B8DDAD3-9F64-4978-A02D-1AAD5FCCD226}" id="{522660CE-CA47-434A-898D-0AB939A11801}">
    <text/>
  </threadedComment>
  <threadedComment ref="Z88" dT="2023-04-28T08:59:50.53" personId="{9B8DDAD3-9F64-4978-A02D-1AAD5FCCD226}" id="{A775AD6B-1F9E-452B-B896-4146F1BD6A33}" parentId="{522660CE-CA47-434A-898D-0AB939A11801}">
    <text>3750€ géoréférencement réseaux HTA</text>
  </threadedComment>
  <threadedComment ref="P89" dT="2023-04-28T14:06:45.12" personId="{8C8A0C17-2755-4ED2-B3F5-4E255DC0BA93}" id="{8975C420-E27A-4C9D-94AF-C386A0FC8F3C}">
    <text>750€ reconfiguration routeur SCADA
1400 Installation Vsat
717 abonnement mensuel accès Vsat</text>
  </threadedComment>
  <threadedComment ref="P89" dT="2023-05-24T14:33:56.23" personId="{E06499CF-A6A4-4316-97FA-0922CD5D7AE0}" id="{BDEDC2B1-8877-41E0-ABB9-85F8CDF0A769}" parentId="{8975C420-E27A-4C9D-94AF-C386A0FC8F3C}">
    <text>+ upgrade scada</text>
  </threadedComment>
  <threadedComment ref="S89" dT="2023-04-28T09:28:08.95" personId="{8C8A0C17-2755-4ED2-B3F5-4E255DC0BA93}" id="{2F1BA445-68C9-4AD7-BF25-C7C6240804D8}">
    <text>Contrat maintenance pales Héliopales</text>
  </threadedComment>
  <threadedComment ref="X89" dT="2023-04-28T13:51:28.25" personId="{8C8A0C17-2755-4ED2-B3F5-4E255DC0BA93}" id="{5426A591-3AE8-4F5C-8D95-CAE59C85C4F1}">
    <text>Budget Préventif + correctif MDM</text>
  </threadedComment>
  <threadedComment ref="Z89" dT="2023-04-28T13:15:35.83" personId="{8C8A0C17-2755-4ED2-B3F5-4E255DC0BA93}" id="{C345736E-5726-4AFF-AA1E-2999F2757012}">
    <text>23750€ Installation détecteurs incendie
1400€ Affaire Enedis EDF RE</text>
  </threadedComment>
  <threadedComment ref="AF95" dT="2023-04-27T07:39:29.26" personId="{1C82A4E8-D9C5-41FB-BD39-26F66317C03C}" id="{8484EE91-CF95-48C0-B964-24FD261F0409}">
    <text>Suivi AP 2023</text>
  </threadedComment>
  <threadedComment ref="AG95" dT="2023-04-27T07:39:43.16" personId="{1C82A4E8-D9C5-41FB-BD39-26F66317C03C}" id="{2533CE99-A3F1-4EF1-AAAF-1191AF228D40}">
    <text>suivi AP 2023</text>
  </threadedComment>
  <threadedComment ref="T96" dT="2023-04-28T15:04:39.80" personId="{7D2821EC-6170-489B-BBB7-C5AB24EDE7DB}" id="{0D9CC758-EC00-4542-B931-4E0BCAF4BD9B}">
    <text>Remplacement flashlight endommagé par enviro</text>
  </threadedComment>
  <threadedComment ref="V96" dT="2023-04-28T15:08:08.98" personId="{7D2821EC-6170-489B-BBB7-C5AB24EDE7DB}" id="{0F164340-D33C-466E-940A-94C1336E62B2}">
    <text>Déneigement + Débroussaillage + Réfection chemin</text>
  </threadedComment>
  <threadedComment ref="W96" dT="2023-04-28T15:09:28.79" personId="{7D2821EC-6170-489B-BBB7-C5AB24EDE7DB}" id="{7BEE8C93-6969-486B-97AD-F03701C662DD}">
    <text>Inspection de pales</text>
  </threadedComment>
  <threadedComment ref="Y96" dT="2023-04-28T15:07:00.59" personId="{7D2821EC-6170-489B-BBB7-C5AB24EDE7DB}" id="{6BB5CB11-74E8-4B69-B5EE-B2E1408AC6EE}">
    <text>Abonnement COMIP</text>
  </threadedComment>
  <threadedComment ref="Z96" dT="2023-04-28T08:41:50.36" personId="{9B8DDAD3-9F64-4978-A02D-1AAD5FCCD226}" id="{D3BCDC21-13B1-458E-B66A-02FD8EC29C42}">
    <text>6300€ géoréférencement réseaux HTA</text>
  </threadedComment>
  <threadedComment ref="Z96" dT="2023-04-28T15:06:04.51" personId="{7D2821EC-6170-489B-BBB7-C5AB24EDE7DB}" id="{4BC6EA24-6E51-418A-BEBF-A3772F5E3B69}" parentId="{D3BCDC21-13B1-458E-B66A-02FD8EC29C42}">
    <text>+ ALEA = 500*NbMW</text>
  </threadedComment>
  <threadedComment ref="AC96" dT="2023-04-28T15:14:02.17" personId="{7D2821EC-6170-489B-BBB7-C5AB24EDE7DB}" id="{D6D90990-D6FC-41EE-9B95-E68B0EDE8369}">
    <text>Maintenance SDA + Nacelle élévatrice + Tests de plaque</text>
  </threadedComment>
  <threadedComment ref="P97" dT="2023-05-03T13:39:13.78" personId="{A0A38A8A-C134-4678-9CBB-23A0304771A0}" id="{9090D10F-8126-48E4-88DC-994C0667976C}">
    <text>NiD : abonnement RDL</text>
  </threadedComment>
  <threadedComment ref="V97" dT="2023-04-24T08:18:34.05" personId="{A0A38A8A-C134-4678-9CBB-23A0304771A0}" id="{A2D25797-B82B-4EB2-9DBD-65D3E8CC1644}">
    <text>NiD : débrousaillage + réfection chemins</text>
  </threadedComment>
  <threadedComment ref="Z97" dT="2023-04-28T08:41:26.05" personId="{9B8DDAD3-9F64-4978-A02D-1AAD5FCCD226}" id="{AB7B81E1-69CF-446E-B3C3-7452F201164F}">
    <text>3750€ géoréférencement réseaux HTA</text>
  </threadedComment>
  <threadedComment ref="AE98" dT="2023-04-27T07:40:54.72" personId="{1C82A4E8-D9C5-41FB-BD39-26F66317C03C}" id="{CBAB3A6E-F4D1-4289-8F33-9F40E2CD26DA}">
    <text>Suivi AP initial</text>
  </threadedComment>
  <threadedComment ref="AF98" dT="2023-04-27T07:41:01.16" personId="{1C82A4E8-D9C5-41FB-BD39-26F66317C03C}" id="{EE4C1D4E-7778-4CA0-AA19-2BDDE870AA74}">
    <text>Suivi AP initial</text>
  </threadedComment>
  <threadedComment ref="AG98" dT="2023-04-27T07:41:05.61" personId="{1C82A4E8-D9C5-41FB-BD39-26F66317C03C}" id="{8E5E23C8-7174-4352-90F4-2A20641E61E3}">
    <text>Suivi AP initial</text>
  </threadedComment>
  <threadedComment ref="Z100" dT="2023-04-28T08:42:55.50" personId="{9B8DDAD3-9F64-4978-A02D-1AAD5FCCD226}" id="{EAE6A6E5-5193-4D7F-974B-54B880DDA214}">
    <text>5970€ géoréférencement réseaux HTA</text>
  </threadedComment>
  <threadedComment ref="AH100" dT="2023-04-27T07:41:40.67" personId="{1C82A4E8-D9C5-41FB-BD39-26F66317C03C}" id="{721F29B8-6146-43C0-B68F-F4F8430C49A7}">
    <text>Suivi AP initial</text>
  </threadedComment>
  <threadedComment ref="Z101" dT="2023-04-28T08:43:44.84" personId="{9B8DDAD3-9F64-4978-A02D-1AAD5FCCD226}" id="{CFF8BAB2-A38E-422C-8CB1-117EF2737066}">
    <text>4260€ géoréférencement réseaux HTA</text>
  </threadedComment>
  <threadedComment ref="J102" dT="2023-05-03T10:10:08.17" personId="{C2149035-1331-4159-8FC2-DE8044F8706D}" id="{F568AE70-6CE2-4DCB-8154-329FAD050832}">
    <text>18.753k€ (contrat initiale) + 31.15k€ (contrat cadre 60k€/an à partir du 23/05/23)</text>
  </threadedComment>
  <threadedComment ref="Z102" dT="2023-05-03T10:17:45.87" personId="{C2149035-1331-4159-8FC2-DE8044F8706D}" id="{824336FB-8142-4831-966C-E29D37A79643}">
    <text>Mésures compo : plantation d'une haie à 15k€</text>
  </threadedComment>
  <threadedComment ref="K103" dT="2023-04-27T14:15:23.78" personId="{9B8DDAD3-9F64-4978-A02D-1AAD5FCCD226}" id="{5C481985-E0DD-4B68-93AE-415FC1F57CD5}">
    <text>3221€ d'installation gastop</text>
  </threadedComment>
  <threadedComment ref="V103" dT="2023-04-27T12:13:51.60" personId="{7688E19C-59E1-4E90-B778-2CC71EC606D8}" id="{65BC1579-1E41-4167-92B6-505888637C0F}">
    <text>débroussaillage</text>
  </threadedComment>
  <threadedComment ref="X103" dT="2023-04-27T12:02:23.80" personId="{7688E19C-59E1-4E90-B778-2CC71EC606D8}" id="{9693339E-2335-4ADC-B342-22EC2246EDF5}">
    <text>Boris K: démantèlement mât</text>
  </threadedComment>
  <threadedComment ref="M107" dT="2023-04-28T13:02:51.82" personId="{7CAE674B-9D79-4200-9F2E-3FEAE266C294}" id="{D71E1579-9A60-4A83-BF17-32ABC11AE546}">
    <text>reprise toît Shelters 2,4,6</text>
  </threadedComment>
  <threadedComment ref="U107" dT="2023-04-28T08:42:14.61" personId="{7CAE674B-9D79-4200-9F2E-3FEAE266C294}" id="{D1E302FF-052B-4000-BF34-4B54810EBB45}">
    <text>Remplacement modules Sinistre grêle 108 000€ + Installation Télésurveillance MA24 77 800€</text>
  </threadedComment>
  <threadedComment ref="K108" dT="2023-04-27T14:05:12.35" personId="{9B8DDAD3-9F64-4978-A02D-1AAD5FCCD226}" id="{0379C8AE-C4D7-4A21-86E0-0532495CA45B}">
    <text>16107€ d'installation gastop</text>
  </threadedComment>
  <threadedComment ref="V108" dT="2023-04-26T13:19:44.90" personId="{9B8DDAD3-9F64-4978-A02D-1AAD5FCCD226}" id="{2CE20C05-F2F2-4335-B179-6C40C178CDB7}">
    <text>22548.5€ travaux sur la plateforme</text>
  </threadedComment>
  <threadedComment ref="Z108" dT="2023-04-25T16:24:58.49" personId="{9B8DDAD3-9F64-4978-A02D-1AAD5FCCD226}" id="{9CB32929-D9EF-4105-9317-58CCCEEF8008}">
    <text>9922€ d'installation système Lidar 
11410€ d'installation windfit</text>
  </threadedComment>
  <threadedComment ref="AF108" dT="2023-04-27T07:42:03.60" personId="{1C82A4E8-D9C5-41FB-BD39-26F66317C03C}" id="{976DB1A1-C1E8-4E0F-82A9-FD54FB1A8B42}">
    <text>eval plan chiro</text>
  </threadedComment>
  <threadedComment ref="AG108" dT="2023-04-27T07:42:07.28" personId="{1C82A4E8-D9C5-41FB-BD39-26F66317C03C}" id="{FA55A99B-AD06-46B7-9198-0CF76E6BFF22}">
    <text>eval plan chiro</text>
  </threadedComment>
  <threadedComment ref="T110" dT="2023-04-24T08:20:25.77" personId="{A0A38A8A-C134-4678-9CBB-23A0304771A0}" id="{E24C1413-6E88-4323-B26E-2C84532E6806}">
    <text>NiD : batcoder nacelle + sécurisation portes</text>
  </threadedComment>
  <threadedComment ref="V110" dT="2023-04-24T08:18:39.27" personId="{A0A38A8A-C134-4678-9CBB-23A0304771A0}" id="{A2484A37-3E82-47FC-89A7-CEDE372B9F12}">
    <text>NiD : débrousaillage</text>
  </threadedComment>
  <threadedComment ref="W110" dT="2023-04-24T09:15:11.83" personId="{A0A38A8A-C134-4678-9CBB-23A0304771A0}" id="{2CBC3DC9-0082-4468-9355-A504A888171E}">
    <text>NiD : Inspection pâles</text>
  </threadedComment>
  <threadedComment ref="M112" dT="2023-05-04T12:24:04.62" personId="{AA76A9EF-0DB0-4FCB-B270-E50AEF4A6EE6}" id="{F1F0F5F2-EF5B-4D6D-A6F8-A73FBE9EB5C6}">
    <text xml:space="preserve">DP : Débroussaillage, coupe de pins </text>
  </threadedComment>
  <threadedComment ref="AH112" dT="2023-04-28T08:26:20.92" personId="{1C82A4E8-D9C5-41FB-BD39-26F66317C03C}" id="{151F6FB5-4261-4E83-B2C4-7C5A50350017}">
    <text>Accompagnement BE enviro des travaux automne 2023 - à valider</text>
  </threadedComment>
  <threadedComment ref="K113" dT="2023-04-27T14:10:37.48" personId="{9B8DDAD3-9F64-4978-A02D-1AAD5FCCD226}" id="{6027DA84-B225-4ABF-B30A-99487B8AAA90}">
    <text>14962€ d'installation gastop</text>
  </threadedComment>
  <threadedComment ref="V114" dT="2023-04-18T12:05:50.56" personId="{47608323-9CE7-4C00-B95A-4687EEA986EA}" id="{CC312CBD-21CC-4087-BB59-AA80AFFF462A}">
    <text>Débroussaillage</text>
  </threadedComment>
  <threadedComment ref="W114" dT="2023-04-27T12:31:54.09" personId="{47608323-9CE7-4C00-B95A-4687EEA986EA}" id="{C44D6F06-87A9-48D5-855D-F96DA3EE66B2}">
    <text>2nd inspection pales ICPE</text>
  </threadedComment>
  <threadedComment ref="AA114" dT="2023-04-18T12:12:48.71" personId="{47608323-9CE7-4C00-B95A-4687EEA986EA}" id="{02DF75BD-2F58-4879-9E84-5C25FFC71415}">
    <text>Convention de partenariat Zimming + Repas inauguration</text>
  </threadedComment>
  <threadedComment ref="S115" dT="2023-05-04T09:50:00.52" personId="{A0A38A8A-C134-4678-9CBB-23A0304771A0}" id="{CCFD1785-9FB1-4B0C-97A9-961BD312DBDE}">
    <text>NiD : estimation fixed fee (112 k€) + variable fee (226 k€) suivant le contrat</text>
  </threadedComment>
  <threadedComment ref="V115" dT="2023-04-24T08:19:36.47" personId="{A0A38A8A-C134-4678-9CBB-23A0304771A0}" id="{70ED9108-068C-49DD-8E68-6632F95DEEB9}">
    <text>NiD : débrousaillage + 2 panneaux ICPE à changer</text>
  </threadedComment>
  <threadedComment ref="J119" dT="2023-05-03T08:40:40.16" personId="{C2149035-1331-4159-8FC2-DE8044F8706D}" id="{AA1DDFB4-969E-4692-833C-286B8450E3CC}">
    <text>15.44k€ pour 4.6 mois (contrat provisoire) + 66.93k€ pour 8.4 mois (contrat cadre 95.618k€/an)</text>
  </threadedComment>
  <threadedComment ref="AH119" dT="2023-04-27T07:43:36.99" personId="{1C82A4E8-D9C5-41FB-BD39-26F66317C03C}" id="{55F383AE-5E78-4D40-902B-1ABEB654466C}">
    <text>S</text>
  </threadedComment>
  <threadedComment ref="AH119" dT="2023-04-27T07:43:59.82" personId="{1C82A4E8-D9C5-41FB-BD39-26F66317C03C}" id="{7FDFDF98-5526-4616-B58F-D696DD9E1672}" parentId="{55F383AE-5E78-4D40-902B-1ABEB654466C}">
    <text>suivi enviro</text>
  </threadedComment>
  <threadedComment ref="AI119" dT="2023-04-27T07:44:15.99" personId="{1C82A4E8-D9C5-41FB-BD39-26F66317C03C}" id="{310BC99F-4352-4215-8652-89AE8665E784}">
    <text>Suivi mesures compensatoires</text>
  </threadedComment>
  <threadedComment ref="AC120" dT="2023-04-24T14:46:42.96" personId="{9EB4FA34-52A4-42AD-94C5-08A28DEC581C}" id="{378619A7-A2F5-4893-AB46-7A11A4F74003}">
    <text>6184€/turbine /an + 1500€ de location nacelle et autres frais.</text>
  </threadedComment>
  <threadedComment ref="AE120" dT="2023-04-17T15:03:29.81" personId="{69CA0253-62CF-4B18-83E9-9A2EA13E7DDE}" id="{708A9C08-398D-484D-B17F-0A71A845940B}">
    <text>PG : suivi Busard et Aigle royal (Biotope)</text>
  </threadedComment>
  <threadedComment ref="AI120" dT="2023-04-17T15:23:57.15" personId="{69CA0253-62CF-4B18-83E9-9A2EA13E7DDE}" id="{9D8BB067-9AAD-4FE9-95FB-18046B38562B}">
    <text>PG : étude feuille de route DREAL (NEOSOLUS) + travaux ouverture milieux (SERPE)</text>
  </threadedComment>
  <threadedComment ref="AH121" dT="2023-04-27T07:46:11.49" personId="{1C82A4E8-D9C5-41FB-BD39-26F66317C03C}" id="{668D21A9-7465-40D4-982F-9B34763DC5AF}">
    <text>suivi enviro PC</text>
  </threadedComment>
  <threadedComment ref="S122" dT="2023-04-28T09:27:11.39" personId="{8C8A0C17-2755-4ED2-B3F5-4E255DC0BA93}" id="{B2EB922B-C371-482B-9A5E-B701C0A12C88}">
    <text>Contrat maintenance pale SGRE</text>
  </threadedComment>
  <threadedComment ref="Z122" dT="2023-04-27T13:40:14.61" personId="{9B8DDAD3-9F64-4978-A02D-1AAD5FCCD226}" id="{56C9A543-14FD-4780-85F3-6A6D78166514}">
    <text xml:space="preserve">
3750€ géoréférencement réseaux HTA</text>
  </threadedComment>
  <threadedComment ref="Z123" dT="2023-04-27T13:40:53.14" personId="{9B8DDAD3-9F64-4978-A02D-1AAD5FCCD226}" id="{2E38F58E-4B8D-4D39-A67D-3C4DF3560398}">
    <text/>
  </threadedComment>
  <threadedComment ref="Z123" dT="2023-04-28T09:01:06.52" personId="{9B8DDAD3-9F64-4978-A02D-1AAD5FCCD226}" id="{E6CF2609-7677-4BBB-8071-C06C58BB59EC}" parentId="{2E38F58E-4B8D-4D39-A67D-3C4DF3560398}">
    <text>3240€ géoréférencement réseaux HTA</text>
  </threadedComment>
  <threadedComment ref="J124" dT="2023-05-03T08:31:58.31" personId="{C2149035-1331-4159-8FC2-DE8044F8706D}" id="{1773B0E2-88ED-432D-973B-13100FA64890}">
    <text>99.344k€/an (reprise en debut juin). thermo inclus</text>
  </threadedComment>
  <threadedComment ref="Q124" dT="2023-05-03T10:26:17.59" personId="{C2149035-1331-4159-8FC2-DE8044F8706D}" id="{AF87E63C-FB99-448E-9C2B-0711ADF7F09E}">
    <text>Site particulier (12%)</text>
  </threadedComment>
  <threadedComment ref="K127" dT="2023-04-27T14:14:20.37" personId="{9B8DDAD3-9F64-4978-A02D-1AAD5FCCD226}" id="{4B497606-D544-4E12-94F9-80D0F0BE0196}">
    <text>9647€ d'installation gastop</text>
  </threadedComment>
  <threadedComment ref="Z127" dT="2023-04-26T13:22:49.57" personId="{9B8DDAD3-9F64-4978-A02D-1AAD5FCCD226}" id="{609A1671-73DD-49EE-84CB-8398B48EE7F1}">
    <text>420€ Dédommagement dégâts cultures PAMP</text>
  </threadedComment>
  <threadedComment ref="Z127" dT="2023-04-28T09:01:45.02" personId="{9B8DDAD3-9F64-4978-A02D-1AAD5FCCD226}" id="{0FF2BDBF-908A-49E6-9F6D-BC8A619A3637}" parentId="{609A1671-73DD-49EE-84CB-8398B48EE7F1}">
    <text>3750€ géoréférencement réseaux HTA</text>
  </threadedComment>
  <threadedComment ref="AI128" dT="2023-04-27T07:46:49.32" personId="{1C82A4E8-D9C5-41FB-BD39-26F66317C03C}" id="{E6B8EC64-248C-4419-ADB5-30E95160A1E8}">
    <text>convention CEN</text>
  </threadedComment>
  <threadedComment ref="T129" dT="2023-05-03T20:15:28.83" personId="{FDDF2605-3A0A-4CB8-A69E-5BEE09943F94}" id="{A9A2C79F-C553-4357-B415-9AFA99EEE563}">
    <text>djacob le 03/05/2023
- Aléas= 40000€</text>
  </threadedComment>
  <threadedComment ref="V129" dT="2023-05-04T18:34:05.06" personId="{FDDF2605-3A0A-4CB8-A69E-5BEE09943F94}" id="{3597747E-56F3-422F-9BB5-E0770A41E75E}">
    <text>djacob le 4/5/2023
- espaces verts et divers 30k€</text>
  </threadedComment>
  <threadedComment ref="W129" dT="2023-05-04T19:35:45.31" personId="{FDDF2605-3A0A-4CB8-A69E-5BEE09943F94}" id="{FAAAE81A-DDD6-4EF1-A7BB-382113FB0A5D}">
    <text>djacob le 4/5/2023:
- Inspection éoliennes 7k€</text>
  </threadedComment>
  <threadedComment ref="Y129" dT="2023-05-04T19:24:00.21" personId="{FDDF2605-3A0A-4CB8-A69E-5BEE09943F94}" id="{242E4C73-2FD6-433B-B05F-C1514A17B074}">
    <text>djacob le 4/05/2023
- mise à jour EMS suite demande EDF SEI: 2k€</text>
  </threadedComment>
  <threadedComment ref="Z129" dT="2023-05-03T20:39:06.39" personId="{FDDF2605-3A0A-4CB8-A69E-5BEE09943F94}" id="{2446A8EE-6235-4DB0-B18C-B41E0B532C54}">
    <text>djacob le 3/05/2023
-PDP 3,7k€</text>
  </threadedComment>
  <threadedComment ref="AA129" dT="2023-05-03T20:25:27.05" personId="{FDDF2605-3A0A-4CB8-A69E-5BEE09943F94}" id="{B88CFB6F-56BF-4B99-8057-307C7F9F2B19}">
    <text>djacob le 03/05/2023
- Ancrage= 0,2% du CA</text>
  </threadedComment>
  <threadedComment ref="AC130" dT="2023-04-24T14:46:47.16" personId="{9EB4FA34-52A4-42AD-94C5-08A28DEC581C}" id="{7F047A05-7702-40C0-A821-E9ABDBFBD686}">
    <text>6184€/turbine /an + 1500€ de location nacelle et autres frais.</text>
  </threadedComment>
  <threadedComment ref="AE130" dT="2023-04-17T15:00:15.50" personId="{69CA0253-62CF-4B18-83E9-9A2EA13E7DDE}" id="{79E18D4A-EF74-4A42-ABA3-1825CAD108C2}">
    <text>PG : suivi Busard et Aigle royal (Biotope)</text>
  </threadedComment>
  <threadedComment ref="AI130" dT="2023-04-17T15:28:05.86" personId="{69CA0253-62CF-4B18-83E9-9A2EA13E7DDE}" id="{046A0235-895D-4D05-B30B-66D02DFCFD82}">
    <text>PG : travaux ouverture milieux (SERPE)</text>
  </threadedComment>
  <threadedComment ref="V131" dT="2023-05-04T13:39:25.51" personId="{AA76A9EF-0DB0-4FCB-B270-E50AEF4A6EE6}" id="{976CB3FA-43F4-4F93-8ECA-E4EB26DCE0EA}">
    <text>DP : Cloture</text>
  </threadedComment>
  <threadedComment ref="Z131" dT="2023-05-04T13:38:44.46" personId="{AA76A9EF-0DB0-4FCB-B270-E50AEF4A6EE6}" id="{D7724943-45BF-423C-95C4-1A2E3BA86744}">
    <text xml:space="preserve">DP : Aléa + connecteurs modules
</text>
  </threadedComment>
  <threadedComment ref="AA131" dT="2023-05-04T13:40:26.88" personId="{AA76A9EF-0DB0-4FCB-B270-E50AEF4A6EE6}" id="{419E6E65-86B9-4FCA-8295-EC363C913FDA}">
    <text xml:space="preserve">DP : ancrage 0,2%
</text>
  </threadedComment>
  <threadedComment ref="Z132" dT="2023-04-28T08:46:00.75" personId="{9B8DDAD3-9F64-4978-A02D-1AAD5FCCD226}" id="{E7BCCAFD-3ABC-4CC3-90C0-6958BB24AF3F}">
    <text>3750€ géoréférencement réseaux HTA</text>
  </threadedComment>
  <threadedComment ref="V135" dT="2023-04-27T12:13:58.88" personId="{7688E19C-59E1-4E90-B778-2CC71EC606D8}" id="{13EF4356-DA94-4877-AB41-4A4A61F5D467}">
    <text>débroussaillage + installation barrière PE04</text>
  </threadedComment>
  <threadedComment ref="Z135" dT="2023-04-28T09:02:30.05" personId="{9B8DDAD3-9F64-4978-A02D-1AAD5FCCD226}" id="{E1948279-5E53-40E8-9EA7-7EF0D3D46E4E}">
    <text>4770€ géoréférencement réseaux HTA</text>
  </threadedComment>
  <threadedComment ref="AF136" dT="2023-05-15T15:39:12.88" personId="{69CA0253-62CF-4B18-83E9-9A2EA13E7DDE}" id="{F28106CB-2D42-4541-ABDD-EC4105FFB71A}">
    <text>Suivi activité suite aux mortalités 2022</text>
  </threadedComment>
  <threadedComment ref="AG136" dT="2023-05-15T15:38:49.88" personId="{69CA0253-62CF-4B18-83E9-9A2EA13E7DDE}" id="{E16F77C3-A4CE-4E8A-B615-DA865C738E32}">
    <text>Suivi mortalité 2023 suite aux résultats 2022</text>
  </threadedComment>
  <threadedComment ref="AI136" dT="2023-05-15T15:39:50.85" personId="{69CA0253-62CF-4B18-83E9-9A2EA13E7DDE}" id="{02F66C42-B9F2-46B2-AA23-64A2A85FDE21}">
    <text>Suivis mesures compensatoires + travaux d'ouverture</text>
  </threadedComment>
  <threadedComment ref="K137" dT="2023-04-27T14:07:31.86" personId="{9B8DDAD3-9F64-4978-A02D-1AAD5FCCD226}" id="{6DC31B30-DFAA-4429-8346-EFB8C4C20B23}">
    <text>16107€ d'installation gastop</text>
  </threadedComment>
  <threadedComment ref="V137" dT="2023-04-28T14:18:07.63" personId="{8C8A0C17-2755-4ED2-B3F5-4E255DC0BA93}" id="{61416FCA-D669-4869-94B2-18CE429B0482}">
    <text>1541 Entretien plateforme</text>
  </threadedComment>
  <threadedComment ref="AK137" dT="2023-04-26T12:22:36.92" personId="{8C8A0C17-2755-4ED2-B3F5-4E255DC0BA93}" id="{83E08C33-E437-458B-AAA7-0451A124627F}">
    <text>MaA 26/04/2023
Estimation Malus 2022 : 7298€
Malus réel 2022 : 3523€</text>
  </threadedComment>
  <threadedComment ref="AK137" dT="2023-04-28T09:10:58.39" personId="{9B8DDAD3-9F64-4978-A02D-1AAD5FCCD226}" id="{79930C50-1DD6-49DC-8A0E-86A4726AE2CC}" parentId="{83E08C33-E437-458B-AAA7-0451A124627F}">
    <text xml:space="preserve">14084€ de paiement final Energy trust </text>
  </threadedComment>
  <threadedComment ref="AE138" dT="2023-05-12T12:53:48.03" personId="{69CA0253-62CF-4B18-83E9-9A2EA13E7DDE}" id="{875360F9-9E9F-48C8-B494-431B3B6AC3ED}">
    <text>Biomonitoring + suivi drones</text>
  </threadedComment>
  <threadedComment ref="Z139" dT="2023-04-28T08:46:44.46" personId="{9B8DDAD3-9F64-4978-A02D-1AAD5FCCD226}" id="{BEF7DCA6-86C4-44A8-B248-9746FED51EDB}">
    <text>3240€ géoréférencement réseaux HTA</text>
  </threadedComment>
  <threadedComment ref="T141" dT="2023-05-03T19:51:26.07" personId="{FDDF2605-3A0A-4CB8-A69E-5BEE09943F94}" id="{06A919FA-3814-40DA-8A1C-F7FE2A080192}">
    <text>djacob le 03/05/2023
- suppression 25k€
- aléas 26k€</text>
  </threadedComment>
  <threadedComment ref="V141" dT="2023-05-03T19:50:58.90" personId="{FDDF2605-3A0A-4CB8-A69E-5BEE09943F94}" id="{39154D3E-7171-4F78-8D20-56D4EE9C9445}">
    <text>djacob le 03/05/2023
- Espace vert 9k€</text>
  </threadedComment>
  <threadedComment ref="X141" dT="2023-05-03T20:21:30.79" personId="{FDDF2605-3A0A-4CB8-A69E-5BEE09943F94}" id="{C6FF803C-4798-4F25-8FCD-F3196457CBAB}">
    <text>djacob le 03/05/2023
- suppression 6400€
- transport modules FS to Potiche2: 9k€</text>
  </threadedComment>
  <threadedComment ref="Z141" dT="2023-05-03T20:35:01.29" personId="{FDDF2605-3A0A-4CB8-A69E-5BEE09943F94}" id="{B8E154F8-EB15-4B94-AF36-D14738BADCFC}">
    <text>djacob le 3/05/2023
-PDP 1,6k€</text>
  </threadedComment>
  <threadedComment ref="AA141" dT="2023-05-03T20:25:27.05" personId="{FDDF2605-3A0A-4CB8-A69E-5BEE09943F94}" id="{E6266D23-E0BB-4465-9174-37440B7D5C6C}">
    <text>djacob le 03/05/2023
- Ancrage= 0,2% du CA</text>
  </threadedComment>
  <threadedComment ref="AG142" dT="2023-04-18T06:47:32.95" personId="{6C753DA6-191D-48D2-9DEA-254F9A496679}" id="{B57E8938-74EB-46DB-8390-CF984F9E90F1}">
    <text>en fonction du bureau d'étude choisi, cf JPA avec mutualisation OUPIA</text>
  </threadedComment>
  <threadedComment ref="AG142" dT="2023-04-27T06:35:19.00" personId="{6C753DA6-191D-48D2-9DEA-254F9A496679}" id="{7FA038D3-33E5-4205-80B9-754F4E1782AA}" parentId="{B57E8938-74EB-46DB-8390-CF984F9E90F1}">
    <text>prorata sur 2023 selon devis EXEN</text>
  </threadedComment>
  <threadedComment ref="T143" dT="2023-05-03T20:15:28.83" personId="{FDDF2605-3A0A-4CB8-A69E-5BEE09943F94}" id="{4F2D2BFE-80BF-4557-9648-5A0F206ACBC5}">
    <text>djacob le 03/05/2023
- Aléas= 3500€</text>
  </threadedComment>
  <threadedComment ref="V143" dT="2023-05-03T19:46:59.67" personId="{FDDF2605-3A0A-4CB8-A69E-5BEE09943F94}" id="{D2C7288F-5FE4-40B7-AB0F-A062073A8B4C}">
    <text>djacob le 03/05/2023
- lavage module 7,2k€</text>
  </threadedComment>
  <threadedComment ref="W143" dT="2023-05-03T19:55:11.17" personId="{FDDF2605-3A0A-4CB8-A69E-5BEE09943F94}" id="{D9AC9EE2-4B83-4535-92F6-D4518A4CF944}">
    <text>djacob le 03/05/2023
- drone1,9k€
- inspection électrique apave 1,2k€ suite vol</text>
  </threadedComment>
  <threadedComment ref="Z143" dT="2023-05-03T20:34:40.85" personId="{FDDF2605-3A0A-4CB8-A69E-5BEE09943F94}" id="{B1FE0ECF-A4B7-42F8-B732-246D5E21BC61}">
    <text>djacob le 3/05/2023
-PDP 1,6k€</text>
  </threadedComment>
  <threadedComment ref="AA143" dT="2023-05-03T20:25:27.05" personId="{FDDF2605-3A0A-4CB8-A69E-5BEE09943F94}" id="{D89E8357-DC7C-40A4-A96B-426863D94419}">
    <text>djacob le 03/05/2023
- Ancrage= 0,2% du CA</text>
  </threadedComment>
  <threadedComment ref="K144" dT="2023-04-27T14:05:46.40" personId="{9B8DDAD3-9F64-4978-A02D-1AAD5FCCD226}" id="{2B963523-533F-4706-A2FC-1EB1C83B4323}">
    <text>16276€ d'installation gastop</text>
  </threadedComment>
  <threadedComment ref="K145" dT="2023-04-27T14:06:21.48" personId="{9B8DDAD3-9F64-4978-A02D-1AAD5FCCD226}" id="{61AF0D17-7946-4899-889C-7668F7DEC8F4}">
    <text>42285€ d'installation gastop</text>
  </threadedComment>
  <threadedComment ref="Z145" dT="2023-04-27T14:17:40.43" personId="{9B8DDAD3-9F64-4978-A02D-1AAD5FCCD226}" id="{682D7907-92B4-4912-9AFB-6911A53DEB58}">
    <text>13680€ d'instalation windfit 
9922 € installatio système Lidar</text>
  </threadedComment>
  <threadedComment ref="AK145" dT="2023-04-28T09:11:54.43" personId="{9B8DDAD3-9F64-4978-A02D-1AAD5FCCD226}" id="{956AEE52-9933-469A-9F3E-937A7B8EDA75}">
    <text>86910€ de paiement final à SGRE pour energy trust</text>
  </threadedComment>
  <threadedComment ref="K146" dT="2023-04-27T14:12:27.34" personId="{9B8DDAD3-9F64-4978-A02D-1AAD5FCCD226}" id="{69929152-8FD9-46A5-8EE0-A3337050E466}">
    <text>13089€ d'installation gastop</text>
  </threadedComment>
  <threadedComment ref="Z147" dT="2023-04-28T09:03:15.66" personId="{9B8DDAD3-9F64-4978-A02D-1AAD5FCCD226}" id="{B9F843A6-08B5-4490-8526-71A5713BA7FB}">
    <text>3240€ géoréférencement réseaux HTA</text>
  </threadedComment>
  <threadedComment ref="AA148" dT="2023-05-03T20:25:27.05" personId="{FDDF2605-3A0A-4CB8-A69E-5BEE09943F94}" id="{BF839287-1052-4C94-85A0-6DA7E15695A9}">
    <text>djacob le 03/05/2023
- Ancrage= 0,2% du CA</text>
  </threadedComment>
  <threadedComment ref="AF149" dT="2023-04-27T07:36:51.31" personId="{1C82A4E8-D9C5-41FB-BD39-26F66317C03C}" id="{8F405491-FBCB-4DCF-B905-D2F003935CA2}">
    <text>eval plan chiro</text>
  </threadedComment>
  <threadedComment ref="AG149" dT="2023-04-27T07:36:37.87" personId="{1C82A4E8-D9C5-41FB-BD39-26F66317C03C}" id="{AC158D6A-F3C1-4F12-B86A-2841C5410DB5}">
    <text>Eval plan chiro</text>
  </threadedComment>
  <threadedComment ref="AI149" dT="2023-05-16T07:53:02.13" personId="{69CA0253-62CF-4B18-83E9-9A2EA13E7DDE}" id="{2D21AA23-D9BF-4505-8B4B-E4E13074BC8D}">
    <text>Convention apiculteur, vu avec Olivier</text>
  </threadedComment>
  <threadedComment ref="J150" dT="2023-05-04T12:28:34.22" personId="{AA76A9EF-0DB0-4FCB-B270-E50AEF4A6EE6}" id="{84F56D22-2789-4CC1-B6ED-545E7EA17170}">
    <text xml:space="preserve">DP : calcul de l'O&amp;M non fait, estimation
</text>
  </threadedComment>
  <threadedComment ref="P152" dT="2023-05-02T09:17:50.20" personId="{170DE29A-4F89-4AA5-9A3B-5E0D4C244EE2}" id="{F8DF0905-EB41-4A20-9D95-221C58021098}">
    <text>RDL + retrofit PDL reboot distant</text>
  </threadedComment>
  <threadedComment ref="V152" dT="2023-05-02T09:40:50.89" personId="{170DE29A-4F89-4AA5-9A3B-5E0D4C244EE2}" id="{D513D9E7-94D7-42EB-B41E-1895C8C35D04}">
    <text>Débrouissaillage  + reprises diverse suite inspection ICPE (anticipation)</text>
  </threadedComment>
  <threadedComment ref="W152" dT="2023-05-02T09:35:09.53" personId="{170DE29A-4F89-4AA5-9A3B-5E0D4C244EE2}" id="{A70224E4-2558-4FD4-8DA0-E9D608012F07}">
    <text>Inspection pâles light</text>
  </threadedComment>
  <threadedComment ref="AC152" dT="2023-05-02T09:48:01.39" personId="{170DE29A-4F89-4AA5-9A3B-5E0D4C244EE2}" id="{BD58062E-919A-49B3-B9A3-5C285228F486}">
    <text>Audiobat</text>
  </threadedComment>
  <threadedComment ref="AF152" dT="2023-04-27T07:48:07.44" personId="{1C82A4E8-D9C5-41FB-BD39-26F66317C03C}" id="{A58B0C2C-D331-405D-AB5C-4A3266390214}">
    <text>Suivi AP (3/3)</text>
  </threadedComment>
  <threadedComment ref="AG152" dT="2023-04-27T07:48:14.83" personId="{1C82A4E8-D9C5-41FB-BD39-26F66317C03C}" id="{1EC3D6C9-3E29-4C06-8949-900E47E87A5D}">
    <text>Suivi AP (3/3)</text>
  </threadedComment>
  <threadedComment ref="AI152" dT="2023-04-27T07:47:49.33" personId="{1C82A4E8-D9C5-41FB-BD39-26F66317C03C}" id="{CBC1C619-3C4F-4525-9B25-F9506A286E03}">
    <text>suivi Zones Humides</text>
  </threadedComment>
  <threadedComment ref="AK152" dT="2023-05-02T09:51:15.12" personId="{170DE29A-4F89-4AA5-9A3B-5E0D4C244EE2}" id="{54B237E6-9B87-4E10-85B4-5AAD5AFD02D9}">
    <text>Bonus</text>
  </threadedComment>
  <threadedComment ref="K154" dT="2023-04-27T14:10:00.63" personId="{9B8DDAD3-9F64-4978-A02D-1AAD5FCCD226}" id="{E96F0C8B-2610-4640-919D-337673BB2076}">
    <text>3221€ d'installation gastop</text>
  </threadedComment>
  <threadedComment ref="J158" dT="2023-05-04T12:28:39.86" personId="{AA76A9EF-0DB0-4FCB-B270-E50AEF4A6EE6}" id="{057937D5-E729-4AE6-B198-4BA11865E32C}">
    <text>DP : calcul de l'O&amp;M non fait, estimation</text>
  </threadedComment>
  <threadedComment ref="J161" dT="2023-05-02T15:26:16.14" personId="{C2149035-1331-4159-8FC2-DE8044F8706D}" id="{B17F62D5-280D-4C32-87DD-E1CC4D052478}">
    <text>79.1k€/an</text>
  </threadedComment>
  <threadedComment ref="Q161" dT="2023-05-03T13:53:57.88" personId="{C2149035-1331-4159-8FC2-DE8044F8706D}" id="{9B3D8CDD-45C3-465A-AB15-719BE13FA7D9}">
    <text>Contrat O&amp;M Luxel : scope de maintenance n'est pas le meme que le contrat cadre (15%)</text>
  </threadedComment>
  <threadedComment ref="AF162" dT="2023-04-27T07:48:53.32" personId="{1C82A4E8-D9C5-41FB-BD39-26F66317C03C}" id="{1BEA46C9-1EA1-47E8-AA08-787ED4B52A8A}">
    <text>aléas enviros</text>
  </threadedComment>
  <threadedComment ref="AG162" dT="2023-04-27T07:48:56.74" personId="{1C82A4E8-D9C5-41FB-BD39-26F66317C03C}" id="{2DBF52F0-D2B4-4D4D-B6FF-318F945137AC}">
    <text>aléas enviros</text>
  </threadedComment>
  <threadedComment ref="AG163" dT="2023-04-27T07:48:32.16" personId="{1C82A4E8-D9C5-41FB-BD39-26F66317C03C}" id="{7D6E79E8-8FD0-4E14-91E0-FBC5FFE46487}">
    <text>aléas enviros</text>
  </threadedComment>
  <threadedComment ref="K166" dT="2023-04-27T14:12:57.86" personId="{9B8DDAD3-9F64-4978-A02D-1AAD5FCCD226}" id="{AB1D61D2-51F3-46A3-8CC2-DF8583471C1A}">
    <text>13089€ d'installation gastop</text>
  </threadedComment>
  <threadedComment ref="Z166" dT="2023-04-27T13:42:22.38" personId="{9B8DDAD3-9F64-4978-A02D-1AAD5FCCD226}" id="{9110745F-9542-474A-B528-FD6D887953BC}">
    <text/>
  </threadedComment>
  <threadedComment ref="Z166" dT="2023-04-28T09:03:40.08" personId="{9B8DDAD3-9F64-4978-A02D-1AAD5FCCD226}" id="{93544B42-5B56-4564-8FDE-FADA3542DF54}" parentId="{9110745F-9542-474A-B528-FD6D887953BC}">
    <text>3240€ géoréférencement réseaux HTA</text>
  </threadedComment>
  <threadedComment ref="T167" dT="2023-05-03T20:15:28.83" personId="{FDDF2605-3A0A-4CB8-A69E-5BEE09943F94}" id="{52A1C5C0-B478-4A3D-8F84-11112421B69C}">
    <text>djacob le 03/05/2023
- Aléas= 7300€</text>
  </threadedComment>
  <threadedComment ref="T167" dT="2023-05-05T12:29:04.27" personId="{AA76A9EF-0DB0-4FCB-B270-E50AEF4A6EE6}" id="{B1DF7606-608E-40DB-B012-6CA30C45FE0E}" parentId="{52A1C5C0-B478-4A3D-8F84-11112421B69C}">
    <text>DP : + 50k€ pour le remplacement des 900 modules</text>
  </threadedComment>
  <threadedComment ref="V167" dT="2023-05-03T19:46:59.67" personId="{FDDF2605-3A0A-4CB8-A69E-5BEE09943F94}" id="{F1B19D97-494C-4518-AA09-1611C0650340}">
    <text>djacob le 03/05/2023
- lavage module 12,5k€</text>
  </threadedComment>
  <threadedComment ref="W167" dT="2023-05-03T19:55:11.17" personId="{FDDF2605-3A0A-4CB8-A69E-5BEE09943F94}" id="{E771BE62-C8C7-46C2-90F3-D5B33F116814}">
    <text>djacob le 03/05/2023
- drone 2,4k€
- inspection électrique Apave 1,7k€</text>
  </threadedComment>
  <threadedComment ref="Z167" dT="2023-05-03T20:34:40.85" personId="{FDDF2605-3A0A-4CB8-A69E-5BEE09943F94}" id="{B507401F-76AF-4FC8-A4C9-A2DB9B339568}">
    <text>djacob le 3/05/2023
-PDP 1,6k€</text>
  </threadedComment>
  <threadedComment ref="AA167" dT="2023-05-03T20:25:27.05" personId="{FDDF2605-3A0A-4CB8-A69E-5BEE09943F94}" id="{A7698568-A89A-4BAB-8329-54FE9ED8F897}">
    <text>djacob le 03/05/2023
- Ancrage= 0,2% du CA</text>
  </threadedComment>
  <threadedComment ref="S170" dT="2023-05-03T20:02:03.68" personId="{FDDF2605-3A0A-4CB8-A69E-5BEE09943F94}" id="{148D8844-0064-4780-8815-D38F2E9B2472}">
    <text>djacob le 03/05/2023
- Siemens 27000€
- Espaces verts 42000€
- TotalEnergies 49000€
- dératisation 2200€
- Vidéo alarme 9000€</text>
  </threadedComment>
  <threadedComment ref="W170" dT="2023-05-03T19:55:11.17" personId="{FDDF2605-3A0A-4CB8-A69E-5BEE09943F94}" id="{DF186188-4DF6-4DF9-964F-35E20BB11434}">
    <text>djacob le 03/05/2023
-drone1,9k€</text>
  </threadedComment>
  <threadedComment ref="Y170" dT="2023-05-04T18:25:47.04" personId="{FDDF2605-3A0A-4CB8-A69E-5BEE09943F94}" id="{74E2D240-43F1-455E-A170-18E2D98A9372}">
    <text>djacob le 4/05/20223
- Digicel: 3,5k€</text>
  </threadedComment>
  <threadedComment ref="Z170" dT="2023-05-03T20:34:40.85" personId="{FDDF2605-3A0A-4CB8-A69E-5BEE09943F94}" id="{E2A6F3B4-1DDE-4612-BD4A-D9AF1733F3B4}">
    <text>djacob le 3/05/2023
-PDP 1,6k€</text>
  </threadedComment>
  <threadedComment ref="AA170" dT="2023-05-03T20:25:27.05" personId="{FDDF2605-3A0A-4CB8-A69E-5BEE09943F94}" id="{9F7CDAB7-0365-4844-B388-49C4F5CE8FD3}">
    <text>djacob le 03/05/2023
- Ancrage= 0,2% du CA</text>
  </threadedComment>
  <threadedComment ref="Z172" dT="2023-04-28T08:47:47.02" personId="{9B8DDAD3-9F64-4978-A02D-1AAD5FCCD226}" id="{9A200B59-EAE7-453C-89A8-528B455F4055}">
    <text>2220€ géoréférencement réseaux HTA</text>
  </threadedComment>
  <threadedComment ref="J176" dT="2023-04-14T08:54:03.57" personId="{6AF6DFCA-5D65-417C-96C2-7A5ADA8F121C}" id="{375E9102-1864-4C41-96B0-89D8C3A12E9C}">
    <text>Fin au 31.08.23 ?</text>
  </threadedComment>
  <threadedComment ref="J176" dT="2023-04-26T14:01:47.76" personId="{EFDD1484-E03D-4397-9050-3CD92997A87B}" id="{14AC6501-2434-4888-B48D-17339143515F}" parentId="{375E9102-1864-4C41-96B0-89D8C3A12E9C}">
    <text>Oui finde contrat au 31/08/2023 (sans préventif à partir du 27/04/2023)</text>
  </threadedComment>
  <threadedComment ref="K181" dT="2023-04-27T14:06:54.68" personId="{9B8DDAD3-9F64-4978-A02D-1AAD5FCCD226}" id="{B957815A-973A-4C45-9E51-0561B751A607}">
    <text>16276€ d'installation gastop</text>
  </threadedComment>
  <threadedComment ref="V181" dT="2023-04-28T14:24:30.14" personId="{8C8A0C17-2755-4ED2-B3F5-4E255DC0BA93}" id="{0BC9BB3E-00AE-43FF-BD36-F1277A23A411}">
    <text>1390 * 2 Essais à la plaque
15925 Travaux élargissement chemin d'accès</text>
  </threadedComment>
  <threadedComment ref="AK181" dT="2023-04-26T12:24:25.04" personId="{8C8A0C17-2755-4ED2-B3F5-4E255DC0BA93}" id="{28C76539-455D-4311-B551-71CB2DA85B35}">
    <text>MaA 26/04/2023
Estimation Malus 2022 : 20132€
Malus réel 2022 : 7046€</text>
  </threadedComment>
  <threadedComment ref="Q183" dT="2023-04-18T12:17:20.68" personId="{47608323-9CE7-4C00-B95A-4687EEA986EA}" id="{4174CA54-99F3-4502-B07A-BBB9E9AF07CD}">
    <text>Configuration et remise des clés SCADA</text>
  </threadedComment>
  <threadedComment ref="V183" dT="2023-04-25T15:36:38.93" personId="{47608323-9CE7-4C00-B95A-4687EEA986EA}" id="{88EBBFBE-D6E2-48CF-BD9F-ED3BA155B31C}">
    <text>Débroussaillage</text>
  </threadedComment>
  <threadedComment ref="W183" dT="2023-04-27T12:31:58.36" personId="{47608323-9CE7-4C00-B95A-4687EEA986EA}" id="{2556C8AD-9F62-40FA-A136-8307C5D8B71F}">
    <text>2nd inspection pales ICPE</text>
  </threadedComment>
  <threadedComment ref="V184" dT="2023-04-28T15:07:48.27" personId="{7D2821EC-6170-489B-BBB7-C5AB24EDE7DB}" id="{24551466-6ACE-44BC-8E66-6CFA8D509A0D}">
    <text>Chiffrage réparation panneau ICPE</text>
  </threadedComment>
  <threadedComment ref="W184" dT="2023-04-28T15:09:42.76" personId="{7D2821EC-6170-489B-BBB7-C5AB24EDE7DB}" id="{58891E64-D7FE-40DC-95A5-CA77DBF1F327}">
    <text>Inspection de pales</text>
  </threadedComment>
  <threadedComment ref="Z184" dT="2023-04-28T15:06:36.73" personId="{7D2821EC-6170-489B-BBB7-C5AB24EDE7DB}" id="{08F0BE7A-2B31-4A2F-AD5B-09A50903D78C}">
    <text>ALEA = 500*NbMW</text>
  </threadedComment>
  <threadedComment ref="AE184" dT="2023-04-27T07:49:40.52" personId="{1C82A4E8-D9C5-41FB-BD39-26F66317C03C}" id="{523A09E9-0360-4313-A231-0845B051C1BC}">
    <text>suivi avifaune</text>
  </threadedComment>
  <threadedComment ref="AG184" dT="2023-04-27T07:50:06.23" personId="{1C82A4E8-D9C5-41FB-BD39-26F66317C03C}" id="{9BA08A7A-D3DD-4C9F-A67D-D9C4A0EC1A9C}">
    <text>eval plan chiro</text>
  </threadedComment>
  <threadedComment ref="AK184" dT="2023-04-28T15:14:49.63" personId="{7D2821EC-6170-489B-BBB7-C5AB24EDE7DB}" id="{D2EEA6F3-20F4-4559-A7D5-69F74F765DC2}">
    <text>Bonus Vestas</text>
  </threadedComment>
  <threadedComment ref="T186" dT="2023-05-03T20:15:28.83" personId="{FDDF2605-3A0A-4CB8-A69E-5BEE09943F94}" id="{D41130BF-8839-430B-8FB4-843F5522FD74}">
    <text>djacob le 03/05/2023
- Aléas= 52000€</text>
  </threadedComment>
  <threadedComment ref="V186" dT="2023-05-03T19:44:07.83" personId="{FDDF2605-3A0A-4CB8-A69E-5BEE09943F94}" id="{EA2A3516-06DD-4977-B1FE-CD7BA0790ADC}">
    <text>djacob le 03/05/2023
- reprise piste: 13k€
- lavage modules 35k€</text>
  </threadedComment>
  <threadedComment ref="W186" dT="2023-05-03T19:55:11.17" personId="{FDDF2605-3A0A-4CB8-A69E-5BEE09943F94}" id="{EAB58536-EB9A-4F73-AAE0-5EC0401D4CB2}">
    <text>djacob le 03/05/2023
- drone 3,9k€
- inspection électrique apave 2,7k€ suite vol</text>
  </threadedComment>
  <threadedComment ref="Y186" dT="2023-05-04T19:24:00.21" personId="{FDDF2605-3A0A-4CB8-A69E-5BEE09943F94}" id="{454E79AB-A218-4042-8D51-9AFFE1192509}">
    <text>djacob le 4/05/2023
- mise à jour EMS suite demande EDF SEI: 1k€</text>
  </threadedComment>
  <threadedComment ref="Z186" dT="2023-05-03T20:34:40.85" personId="{FDDF2605-3A0A-4CB8-A69E-5BEE09943F94}" id="{24752CB7-FD9E-4CE2-8BCD-5E39F3041070}">
    <text>djacob le 3/05/2023
-PDP 1,6k€
- gardiannage 5k€/mois jusquà juin</text>
  </threadedComment>
  <threadedComment ref="AA186" dT="2023-05-03T20:25:27.05" personId="{FDDF2605-3A0A-4CB8-A69E-5BEE09943F94}" id="{AC09CCC3-EC69-4AD3-BCD8-F5CEF7BC9D81}">
    <text>djacob le 03/05/2023
- Ancrage= 0,2% du CA</text>
  </threadedComment>
  <threadedComment ref="T187" dT="2023-05-03T20:15:28.83" personId="{FDDF2605-3A0A-4CB8-A69E-5BEE09943F94}" id="{0591C0E8-889C-427A-B3F3-CF3C12EB5B58}">
    <text>djacob le 03/05/2023
- Aléas= 12600€</text>
  </threadedComment>
  <threadedComment ref="V187" dT="2023-05-03T19:44:41.21" personId="{FDDF2605-3A0A-4CB8-A69E-5BEE09943F94}" id="{840D5819-19F9-4A47-BE24-ABA36B8574FE}">
    <text>djacob le 03/05/2023
- reprise piste= 10k€
- lavage module 80k€</text>
  </threadedComment>
  <threadedComment ref="W187" dT="2023-05-04T18:38:14.60" personId="{FDDF2605-3A0A-4CB8-A69E-5BEE09943F94}" id="{21F1CE09-D635-4685-9B24-436173F646D3}">
    <text>djacob le 4/5/2023
-drone 5k€</text>
  </threadedComment>
  <threadedComment ref="Y187" dT="2023-05-04T19:24:00.21" personId="{FDDF2605-3A0A-4CB8-A69E-5BEE09943F94}" id="{F0402137-A6CE-4490-96DD-FD6D009D6604}">
    <text>djacob le 4/05/2023
- mise à jour EMS suite demande EDF SEI: 1k€</text>
  </threadedComment>
  <threadedComment ref="Z187" dT="2023-05-03T20:36:23.54" personId="{FDDF2605-3A0A-4CB8-A69E-5BEE09943F94}" id="{7F423A01-22C7-4984-BF85-41205FD54DF2}">
    <text>djacob le 3/05/2023
- PDP 3,3k€
- gardiannage 5k€/mois jusquà juin
- rondier+maintenance= 16k:€/an</text>
  </threadedComment>
  <threadedComment ref="AA187" dT="2023-05-03T20:25:27.05" personId="{FDDF2605-3A0A-4CB8-A69E-5BEE09943F94}" id="{09303039-BD9A-4351-86B7-FE4AECBF7A05}">
    <text>djacob le 03/05/2023
- Ancrage= 0,2% du CA</text>
  </threadedComment>
  <threadedComment ref="AH187" dT="2023-04-17T15:41:52.05" personId="{69CA0253-62CF-4B18-83E9-9A2EA13E7DDE}" id="{4CDA0D05-354B-45BA-9655-4D7F0D178F61}">
    <text>PG : étude oiseaux et flore (BIOTOPE)</text>
  </threadedComment>
  <threadedComment ref="T188" dT="2023-04-28T07:53:16.01" personId="{7CAE674B-9D79-4200-9F2E-3FEAE266C294}" id="{E122A857-95FC-4517-BF22-B76699C31346}">
    <text>Remplacement rislans sur 2 tranches</text>
  </threadedComment>
  <threadedComment ref="V188" dT="2023-04-28T07:53:56.36" personId="{7CAE674B-9D79-4200-9F2E-3FEAE266C294}" id="{5F2C5A7D-AFD7-493F-AF56-62D9A65F1DF3}">
    <text>Elagage arbres pistes 4200</text>
  </threadedComment>
  <threadedComment ref="V188" dT="2023-04-28T07:56:46.85" personId="{7CAE674B-9D79-4200-9F2E-3FEAE266C294}" id="{CDCCC7EA-CECA-4B8F-8B17-3894FCA56B47}" parentId="{5F2C5A7D-AFD7-493F-AF56-62D9A65F1DF3}">
    <text>Nettoyage modules 2 tranches 30 000</text>
  </threadedComment>
  <threadedComment ref="K189" dT="2023-04-27T14:14:53.67" personId="{9B8DDAD3-9F64-4978-A02D-1AAD5FCCD226}" id="{1EC9108C-60A9-4FD3-A665-BFA34CC49821}">
    <text>16107€ d'installation gastop</text>
  </threadedComment>
  <threadedComment ref="U189" dT="2023-04-27T12:57:24.87" personId="{7688E19C-59E1-4E90-B778-2CC71EC606D8}" id="{B39BABF1-C3A8-4198-8819-3A98EE5FFCFB}">
    <text>réparation pale definitive E04</text>
  </threadedComment>
  <threadedComment ref="V189" dT="2023-04-27T12:14:50.89" personId="{7688E19C-59E1-4E90-B778-2CC71EC606D8}" id="{0D2F422D-1520-40FF-B2E0-1EA8F3D649F9}">
    <text>40k à corriger??! (valeur pas saisie par BK) 2k débroussaillage</text>
  </threadedComment>
  <threadedComment ref="V189" dT="2023-05-11T12:51:04.40" personId="{8EB10B61-537E-4BDE-ADF3-A7864FFF3CCF}" id="{E5212EEF-5D97-4285-B695-97274AEC1AEA}" parentId="{0D2F422D-1520-40FF-B2E0-1EA8F3D649F9}">
    <text>OK. 40k supprimé dans la partie groupe (M189)</text>
  </threadedComment>
  <threadedComment ref="Z189" dT="2023-04-27T13:38:19.62" personId="{9B8DDAD3-9F64-4978-A02D-1AAD5FCCD226}" id="{A9B2319F-10DD-417D-90D1-71F1C7A436EF}">
    <text/>
  </threadedComment>
  <threadedComment ref="Z189" dT="2023-04-28T09:04:54.02" personId="{9B8DDAD3-9F64-4978-A02D-1AAD5FCCD226}" id="{A0D6C377-7E00-4661-B988-33FB115C91C5}" parentId="{A9B2319F-10DD-417D-90D1-71F1C7A436EF}">
    <text>3750€ géoréférencement réseaux HTA</text>
  </threadedComment>
  <threadedComment ref="AG189" dT="2023-05-12T14:23:34.62" personId="{69CA0253-62CF-4B18-83E9-9A2EA13E7DDE}" id="{9172E688-801A-4F6C-942F-1FE4A9FF4235}">
    <text>probable suivi à cheval entre 2023 et 2024 suite aux résultats du suivi 2022</text>
  </threadedComment>
  <threadedComment ref="AC190" dT="2023-04-24T14:46:51.21" personId="{9EB4FA34-52A4-42AD-94C5-08A28DEC581C}" id="{53CDB842-C07E-440D-9E97-9EB6251D9C0D}">
    <text>6184€/turbine /an + 1500€ de location nacelle et autres frais.</text>
  </threadedComment>
  <threadedComment ref="AE190" dT="2023-04-17T14:59:12.03" personId="{69CA0253-62CF-4B18-83E9-9A2EA13E7DDE}" id="{BC6B3D80-AB22-445A-87E5-CC3DD883D330}">
    <text>PG : Suivi Busard et Aigle royal (Biotope)</text>
  </threadedComment>
  <threadedComment ref="AI190" dT="2023-04-17T15:25:49.01" personId="{69CA0253-62CF-4B18-83E9-9A2EA13E7DDE}" id="{79B70DDF-4799-4620-9FE8-E14F5F1F1BE9}">
    <text>PG : travaux ouverture (SERPE)</text>
  </threadedComment>
  <threadedComment ref="T191" dT="2023-05-03T20:15:28.83" personId="{FDDF2605-3A0A-4CB8-A69E-5BEE09943F94}" id="{5EF256C3-5068-4396-969E-358FCDC388B8}">
    <text>djacob le 03/05/2023
- Aléas= 3500€</text>
  </threadedComment>
  <threadedComment ref="V191" dT="2023-05-03T19:46:59.67" personId="{FDDF2605-3A0A-4CB8-A69E-5BEE09943F94}" id="{F29DEEC6-6B17-4B41-B568-05F9BA95D6E0}">
    <text>djacob le 03/05/2023
- lavage module 7,2k€</text>
  </threadedComment>
  <threadedComment ref="W191" dT="2023-05-03T19:55:11.17" personId="{FDDF2605-3A0A-4CB8-A69E-5BEE09943F94}" id="{3F4BC992-E757-472A-A0C9-DDB92A1E2CC0}">
    <text>djacob le 03/05/2023
- drone1,9k€
- inspection électrique apave 1,2k€ suite vol</text>
  </threadedComment>
  <threadedComment ref="Z191" dT="2023-05-03T20:34:40.85" personId="{FDDF2605-3A0A-4CB8-A69E-5BEE09943F94}" id="{7539CA08-A0F6-4977-941A-C522ED48AEBB}">
    <text>djacob le 3/05/2023
-PDP 1,6k€</text>
  </threadedComment>
  <threadedComment ref="AA191" dT="2023-05-03T20:25:27.05" personId="{FDDF2605-3A0A-4CB8-A69E-5BEE09943F94}" id="{258B1421-FF23-4768-9C0D-6504E3A308C7}">
    <text>djacob le 03/05/2023
- Ancrage= 0,2% du CA</text>
  </threadedComment>
  <threadedComment ref="T192" dT="2023-04-28T15:04:56.11" personId="{7D2821EC-6170-489B-BBB7-C5AB24EDE7DB}" id="{E1FB409A-461C-45BA-831A-45AC325EE3D5}">
    <text>3 réparation de pales</text>
  </threadedComment>
  <threadedComment ref="V192" dT="2023-04-28T15:07:29.49" personId="{7D2821EC-6170-489B-BBB7-C5AB24EDE7DB}" id="{9C0F8D3A-B5B5-4AC7-90DB-0ECB7978F6CA}">
    <text>Réfection Chemin + Débroussaillage</text>
  </threadedComment>
  <threadedComment ref="W192" dT="2023-04-28T15:09:51.87" personId="{7D2821EC-6170-489B-BBB7-C5AB24EDE7DB}" id="{DAB7A7AD-4897-448F-8B9E-7B66E7E57E1D}">
    <text>Inspection de pales</text>
  </threadedComment>
  <threadedComment ref="Y192" dT="2023-04-28T15:07:06.02" personId="{7D2821EC-6170-489B-BBB7-C5AB24EDE7DB}" id="{84E8BFC8-016E-47EC-A727-9A5D96DF7AD6}">
    <text>Abonnement COMIP</text>
  </threadedComment>
  <threadedComment ref="Z192" dT="2023-04-28T15:06:40.80" personId="{7D2821EC-6170-489B-BBB7-C5AB24EDE7DB}" id="{5AFABF48-3690-48C9-BD68-A76D68042F95}">
    <text>ALEA = 500*NbMW</text>
  </threadedComment>
  <threadedComment ref="AK192" dT="2023-04-28T15:14:57.19" personId="{7D2821EC-6170-489B-BBB7-C5AB24EDE7DB}" id="{1A8E37BD-055C-43C7-A95B-48C851782D69}">
    <text>Bonus Vestas</text>
  </threadedComment>
  <threadedComment ref="Z196" dT="2023-04-28T09:08:20.07" personId="{9B8DDAD3-9F64-4978-A02D-1AAD5FCCD226}" id="{22983945-096A-41C8-93A6-D174661E79C4}">
    <text>5280€ géoréférencement réseaux HTA</text>
  </threadedComment>
  <threadedComment ref="K197" dT="2023-04-27T14:13:40.94" personId="{9B8DDAD3-9F64-4978-A02D-1AAD5FCCD226}" id="{B713178D-6ACE-459C-9225-01FA14700625}">
    <text>9732€ d'installation gastop</text>
  </threadedComment>
  <threadedComment ref="Z197" dT="2023-04-28T09:07:42.19" personId="{9B8DDAD3-9F64-4978-A02D-1AAD5FCCD226}" id="{2E0B7E63-A993-479E-B609-49FE91AEBF7B}">
    <text>2730€ géoréférencement réseaux HTA</text>
  </threadedComment>
  <threadedComment ref="AG198" dT="2023-04-27T07:51:03.12" personId="{1C82A4E8-D9C5-41FB-BD39-26F66317C03C}" id="{3421726F-A1B7-4CA3-BB1A-D0874FFFCACC}">
    <text>éval plan chiro</text>
  </threadedComment>
  <threadedComment ref="AH198" dT="2023-04-27T07:51:39.38" personId="{1C82A4E8-D9C5-41FB-BD39-26F66317C03C}" id="{23814F94-76F1-497C-A555-0CBC0160403C}">
    <text>Suivi LPO et suivi éclairages turbines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I9" dT="2023-04-26T06:28:47.62" personId="{6C753DA6-191D-48D2-9DEA-254F9A496679}" id="{9E55C0F6-E1CC-4A92-8AFC-91AA1DA96D16}">
    <text>mesures en fonction de la mortalité sur le f crécerelle (en fonction des résultats suivi de 2023)</text>
  </threadedComment>
  <threadedComment ref="P13" dT="2023-04-27T11:33:48.48" personId="{170DE29A-4F89-4AA5-9A3B-5E0D4C244EE2}" id="{80580391-CD4E-4BEF-B92B-A4B435F2A79D}">
    <text>RDL</text>
  </threadedComment>
  <threadedComment ref="V13" dT="2023-04-27T12:28:05.76" personId="{170DE29A-4F89-4AA5-9A3B-5E0D4C244EE2}" id="{632041D3-B3A0-4072-A2ED-6DFEFB24F7DB}">
    <text>Débroussaillage</text>
  </threadedComment>
  <threadedComment ref="Y13" dT="2023-04-27T12:32:16.38" personId="{170DE29A-4F89-4AA5-9A3B-5E0D4C244EE2}" id="{10D5EBEE-B60E-407E-86BF-37EE38DB093D}">
    <text>Orange</text>
  </threadedComment>
  <threadedComment ref="J19" dT="2023-05-04T09:25:56.16" personId="{A0A38A8A-C134-4678-9CBB-23A0304771A0}" id="{7CC9C70C-2B43-4EAA-95A2-8947BE19BC20}">
    <text>NiD : WTG chez SGRE et PDL chez INEO</text>
  </threadedComment>
  <threadedComment ref="P19" dT="2023-05-03T14:08:32.62" personId="{A0A38A8A-C134-4678-9CBB-23A0304771A0}" id="{DDA26EF0-514B-477B-9F00-132126B4FD46}">
    <text>NiD : abonnement RDL</text>
  </threadedComment>
  <threadedComment ref="W19" dT="2023-04-24T14:18:36.74" personId="{A0A38A8A-C134-4678-9CBB-23A0304771A0}" id="{ACFCFDF7-B2C7-4063-9E78-055564C961F3}">
    <text>NiD : inspection pâles</text>
  </threadedComment>
  <threadedComment ref="AF20" dT="2023-04-27T12:35:11.37" personId="{1C82A4E8-D9C5-41FB-BD39-26F66317C03C}" id="{995D4026-3C98-4872-93DC-98D97D882506}">
    <text>aléas enviros</text>
  </threadedComment>
  <threadedComment ref="AG20" dT="2023-04-27T12:35:07.40" personId="{1C82A4E8-D9C5-41FB-BD39-26F66317C03C}" id="{29BDAD91-1DBB-4C9E-AB3B-93CA06FA5C39}">
    <text>aléas enviros</text>
  </threadedComment>
  <threadedComment ref="P23" dT="2023-04-27T12:35:53.60" personId="{170DE29A-4F89-4AA5-9A3B-5E0D4C244EE2}" id="{BC9818CB-2817-4968-9658-500FBA22B3BB}">
    <text>RDL</text>
  </threadedComment>
  <threadedComment ref="W23" dT="2023-05-02T09:14:56.89" personId="{170DE29A-4F89-4AA5-9A3B-5E0D4C244EE2}" id="{3187DDF0-3119-4AB1-B8CF-16E0588E1C47}">
    <text>Inspection pâles light</text>
  </threadedComment>
  <threadedComment ref="AA23" dT="2023-04-27T12:40:24.14" personId="{170DE29A-4F89-4AA5-9A3B-5E0D4C244EE2}" id="{9CBDE59A-CCA5-4410-87E0-9291540D45E2}">
    <text>Budget ancrage + chèques énergie (esitmation)</text>
  </threadedComment>
  <threadedComment ref="AM28" dT="2023-05-04T12:05:05.28" personId="{AA76A9EF-0DB0-4FCB-B270-E50AEF4A6EE6}" id="{976F2504-5CAE-49EC-9F54-0585DB5C8B3D}">
    <text>DP : si décalage des travaux</text>
  </threadedComment>
  <threadedComment ref="AH29" dT="2023-05-12T13:40:44.86" personId="{69CA0253-62CF-4B18-83E9-9A2EA13E7DDE}" id="{4737146C-5447-433A-A7EF-3F0A99CADE80}">
    <text>Suivi orthoptère</text>
  </threadedComment>
  <threadedComment ref="V30" dT="2023-05-09T13:19:18.58" personId="{406BADBF-FB89-4BB3-AFA2-11851406DD50}" id="{5F9DD53E-7CDD-479B-8720-23C27A43A119}">
    <text xml:space="preserve">4passages par an préconisés par BE
</text>
  </threadedComment>
  <threadedComment ref="T33" dT="2023-05-03T20:15:28.83" personId="{FDDF2605-3A0A-4CB8-A69E-5BEE09943F94}" id="{F43DD2DF-3A6E-41A5-8F65-3483BEE111F3}">
    <text>djacob le 03/05/2023
- Aléas= 3500€</text>
  </threadedComment>
  <threadedComment ref="V33" dT="2023-05-04T18:32:20.65" personId="{FDDF2605-3A0A-4CB8-A69E-5BEE09943F94}" id="{9DA87695-ACD9-4701-B172-FC32D35AF6CC}">
    <text>djacob le 4/5/2023
- suppression 4k€</text>
  </threadedComment>
  <threadedComment ref="W33" dT="2023-05-04T19:36:55.83" personId="{FDDF2605-3A0A-4CB8-A69E-5BEE09943F94}" id="{70C25666-AB8C-40BF-9573-A4AA1807FAA6}">
    <text>djacob le 4/05/2023
- inspection électrique 1,2k€</text>
  </threadedComment>
  <threadedComment ref="Z33" dT="2023-05-03T20:34:40.85" personId="{FDDF2605-3A0A-4CB8-A69E-5BEE09943F94}" id="{80D78F76-BF15-4D9C-A406-7E8CEA536B23}">
    <text>djacob le 3/05/2023
-PDP 1,6k€</text>
  </threadedComment>
  <threadedComment ref="AA33" dT="2023-05-03T20:25:27.05" personId="{FDDF2605-3A0A-4CB8-A69E-5BEE09943F94}" id="{C7BFE545-F1C9-4B3C-BBBD-5B1698983DAA}">
    <text>djacob le 03/05/2023
- Ancrage= 0,2% du CA</text>
  </threadedComment>
  <threadedComment ref="P35" dT="2023-04-18T09:34:03.55" personId="{47608323-9CE7-4C00-B95A-4687EEA986EA}" id="{34AD73F9-C70C-4AE3-AF99-F24816336CB0}">
    <text>18/04/2023 : forfait annuel RDL pour 2024 : 350€/MW soumis à validation avec le partenaire</text>
  </threadedComment>
  <threadedComment ref="V35" dT="2023-04-18T09:35:01.15" personId="{47608323-9CE7-4C00-B95A-4687EEA986EA}" id="{B3B4F594-96D7-40B3-A9F9-AD294A087ED4}">
    <text>Débroussaillage</text>
  </threadedComment>
  <threadedComment ref="AE36" dT="2023-04-26T06:44:08.95" personId="{6C753DA6-191D-48D2-9DEA-254F9A496679}" id="{79FAF7AE-D2B7-4C2E-9B7F-9627735EFD90}">
    <text>suivi biomonitoring suite mise en place SDA (APC)</text>
  </threadedComment>
  <threadedComment ref="T37" dT="2023-05-03T20:15:28.83" personId="{FDDF2605-3A0A-4CB8-A69E-5BEE09943F94}" id="{BF94BEEB-4924-4DDC-A662-D84BE441CA65}">
    <text>djacob le 03/05/2023
- Aléas= 3500€</text>
  </threadedComment>
  <threadedComment ref="W37" dT="2023-05-04T19:36:55.83" personId="{FDDF2605-3A0A-4CB8-A69E-5BEE09943F94}" id="{6BDAE274-6368-4648-AD9C-AC9F812197C3}">
    <text>djacob le 4/05/2023
- inspection électrique 1,2k€</text>
  </threadedComment>
  <threadedComment ref="Z37" dT="2023-05-03T20:34:40.85" personId="{FDDF2605-3A0A-4CB8-A69E-5BEE09943F94}" id="{DA79979F-4441-4702-AEB3-412E3615660A}">
    <text>djacob le 3/05/2023
-PDP 1,6k€</text>
  </threadedComment>
  <threadedComment ref="AA37" dT="2023-05-03T20:25:27.05" personId="{FDDF2605-3A0A-4CB8-A69E-5BEE09943F94}" id="{584FCE0B-0424-49B0-9CFA-33181DF5337F}">
    <text>djacob le 03/05/2023
- Ancrage= 0,2% du CA</text>
  </threadedComment>
  <threadedComment ref="AH39" dT="2023-04-27T12:36:07.36" personId="{1C82A4E8-D9C5-41FB-BD39-26F66317C03C}" id="{AA637726-F2EC-45D9-A899-CA4124AA4D2B}">
    <text>suivi enviro année 2/3</text>
  </threadedComment>
  <threadedComment ref="AC40" dT="2023-04-28T14:47:10.19" personId="{7D2821EC-6170-489B-BBB7-C5AB24EDE7DB}" id="{0BC3FF77-9270-4946-A4BD-1D218A06597A}">
    <text>OM + Nacelle</text>
  </threadedComment>
  <threadedComment ref="AF40" dT="2023-04-27T12:36:39.28" personId="{1C82A4E8-D9C5-41FB-BD39-26F66317C03C}" id="{7DEA9764-E79F-4515-BB2A-5D6A40816281}">
    <text>aléas enviros</text>
  </threadedComment>
  <threadedComment ref="AG40" dT="2023-04-27T12:36:47.15" personId="{1C82A4E8-D9C5-41FB-BD39-26F66317C03C}" id="{53E65FC3-142C-4ED6-9814-D6B373B79A61}">
    <text>aléas enviros</text>
  </threadedComment>
  <threadedComment ref="AH40" dT="2023-04-27T12:37:06.37" personId="{1C82A4E8-D9C5-41FB-BD39-26F66317C03C}" id="{F00B41A6-5233-4B02-B8F6-1582386B2F3D}">
    <text>biomonitoring ? dépend APc et installation SDA</text>
  </threadedComment>
  <threadedComment ref="AM40" dT="2023-04-28T14:47:42.02" personId="{7D2821EC-6170-489B-BBB7-C5AB24EDE7DB}" id="{71FCC02B-F971-46DE-966A-AE85D132BA20}">
    <text>Installation SDA</text>
  </threadedComment>
  <threadedComment ref="P46" dT="2023-04-18T09:42:35.99" personId="{47608323-9CE7-4C00-B95A-4687EEA986EA}" id="{61B499CB-2FCF-41A2-BCAD-A1596CE0D1AC}">
    <text>18/04/2023 : forfait annuel RDL pour 2024 : 350€/MW soumis à validation avec le partenaire</text>
  </threadedComment>
  <threadedComment ref="V46" dT="2023-04-18T09:42:59.04" personId="{47608323-9CE7-4C00-B95A-4687EEA986EA}" id="{54BA4309-9597-4C74-AE04-5BBF6372E046}">
    <text>Débroussaillage</text>
  </threadedComment>
  <threadedComment ref="AF47" dT="2023-04-27T12:37:57.48" personId="{1C82A4E8-D9C5-41FB-BD39-26F66317C03C}" id="{40C8F5A3-C76A-4EA4-B1BF-3214C9FC61B9}">
    <text>Suivi ICPE décennal</text>
  </threadedComment>
  <threadedComment ref="AG47" dT="2023-04-27T12:38:01.78" personId="{1C82A4E8-D9C5-41FB-BD39-26F66317C03C}" id="{E57547D7-8B68-4922-B383-5E3D2AF60266}">
    <text>Suivi ICPE décennal</text>
  </threadedComment>
  <threadedComment ref="AE49" dT="2023-04-26T06:58:09.03" personId="{6C753DA6-191D-48D2-9DEA-254F9A496679}" id="{22844CB6-7C79-49CF-98BB-D000C94E938A}">
    <text>prévoir biomonitoring suite mise en place de SDA (APC)</text>
  </threadedComment>
  <threadedComment ref="AE49" dT="2023-04-26T06:59:06.29" personId="{6C753DA6-191D-48D2-9DEA-254F9A496679}" id="{E291F53E-5B4A-4667-AC28-60C407FFF220}" parentId="{22844CB6-7C79-49CF-98BB-D000C94E938A}">
    <text>35K biomonitoring + 10K avifaune nicheuse et migratrice</text>
  </threadedComment>
  <threadedComment ref="P56" dT="2023-04-25T15:25:32.01" personId="{47608323-9CE7-4C00-B95A-4687EEA986EA}" id="{468CF554-3FF3-42D8-960A-BA3C7FB1CED3}">
    <text>18/04/2023 : forfait annuel RDL pour 2024 : 350€/MW soumis à validation avec le partenaire</text>
  </threadedComment>
  <threadedComment ref="V56" dT="2023-04-18T09:47:32.92" personId="{47608323-9CE7-4C00-B95A-4687EEA986EA}" id="{5CD7A3BE-73C7-4B3A-84C4-8419B086E258}">
    <text>Débroussaillage</text>
  </threadedComment>
  <threadedComment ref="AE65" dT="2023-04-26T07:10:13.05" personId="{6C753DA6-191D-48D2-9DEA-254F9A496679}" id="{39134D65-445A-4FA4-8ADB-BE2140065A97}">
    <text>prévoir biomonitoring suite mise en place de SDA (APC)</text>
  </threadedComment>
  <threadedComment ref="P66" dT="2023-05-03T14:06:25.67" personId="{A0A38A8A-C134-4678-9CBB-23A0304771A0}" id="{7BB36C95-FB6F-4CFC-B918-EC7AEF5AD3E7}">
    <text>NiD : abonnement RDL</text>
  </threadedComment>
  <threadedComment ref="V66" dT="2023-04-24T14:17:58.27" personId="{A0A38A8A-C134-4678-9CBB-23A0304771A0}" id="{30D2C63D-9E9B-4451-AE9F-60C4F65C9A48}">
    <text>NiD : débrousaillage</text>
  </threadedComment>
  <threadedComment ref="P67" dT="2023-04-18T11:37:11.45" personId="{47608323-9CE7-4C00-B95A-4687EEA986EA}" id="{E79FF6C4-3A61-44F1-ACB9-661F0621CFD2}">
    <text>18/04/2023 : forfait annuel RDL pour 2024 : 350€/MW soumis à validation avec le partenaire</text>
  </threadedComment>
  <threadedComment ref="V67" dT="2023-04-18T11:38:38.72" personId="{47608323-9CE7-4C00-B95A-4687EEA986EA}" id="{310C4E73-898A-411A-915D-A1D7364D7AB9}">
    <text>entretien BOP + débroussaillage</text>
  </threadedComment>
  <threadedComment ref="P69" dT="2023-05-04T07:22:54.20" personId="{E97F4A3F-2F7C-4FF0-A6B3-5D5F676AD6E1}" id="{9564D811-BB53-4CC5-81B0-B59608465CA9}">
    <text xml:space="preserve">RDL + ligne bvpn
</text>
  </threadedComment>
  <threadedComment ref="AH70" dT="2023-04-27T12:44:50.96" personId="{1C82A4E8-D9C5-41FB-BD39-26F66317C03C}" id="{D4148E48-0196-47E6-8BAD-AE1BA646575A}">
    <text>loi sur l'eau</text>
  </threadedComment>
  <threadedComment ref="P78" dT="2023-05-03T14:08:36.38" personId="{A0A38A8A-C134-4678-9CBB-23A0304771A0}" id="{AE617204-2530-4E71-BBF8-77CAC1C50F99}">
    <text>NiD : abonnement RDL</text>
  </threadedComment>
  <threadedComment ref="V78" dT="2023-04-24T14:18:01.95" personId="{A0A38A8A-C134-4678-9CBB-23A0304771A0}" id="{C68BEE9F-1992-4CEB-ACE2-E4526B3BC062}">
    <text>NiD : débrousaillage</text>
  </threadedComment>
  <threadedComment ref="P79" dT="2023-04-18T11:50:46.05" personId="{47608323-9CE7-4C00-B95A-4687EEA986EA}" id="{B93708D4-3084-4023-8399-06021459DD4E}">
    <text>18/04/2023 : forfait annuel RDL pour 2024 : 350€/MW soumis à validation avec le partenaire</text>
  </threadedComment>
  <threadedComment ref="V79" dT="2023-04-18T11:56:58.49" personId="{47608323-9CE7-4C00-B95A-4687EEA986EA}" id="{9A7C6BC8-1321-419E-96DB-3D74AA106AE3}">
    <text>Débroussaillage</text>
  </threadedComment>
  <threadedComment ref="AG79" dT="2023-04-26T07:23:22.90" personId="{6C753DA6-191D-48D2-9DEA-254F9A496679}" id="{B2D6417F-97CC-462E-8A64-E53B72980339}">
    <text>suivi suite mise en place bridage lors de la msi de SARA + suite suivi 2023</text>
  </threadedComment>
  <threadedComment ref="AI79" dT="2023-04-26T07:20:11.92" personId="{6C753DA6-191D-48D2-9DEA-254F9A496679}" id="{F476E40D-70ED-4F9C-B977-E7580D061C5C}">
    <text>chasseurs jusqu'en 2026</text>
  </threadedComment>
  <threadedComment ref="AF81" dT="2023-04-27T12:46:46.35" personId="{1C82A4E8-D9C5-41FB-BD39-26F66317C03C}" id="{47A21DD0-7725-4602-8FF5-39A59916665A}">
    <text>Suivi AP année 3/3</text>
  </threadedComment>
  <threadedComment ref="AG81" dT="2023-04-27T12:46:49.60" personId="{1C82A4E8-D9C5-41FB-BD39-26F66317C03C}" id="{D3A2A686-B441-4D89-8D2D-0A92AB2830B1}">
    <text>Suivi AP année 3/3</text>
  </threadedComment>
  <threadedComment ref="AH81" dT="2023-04-27T12:47:15.43" personId="{1C82A4E8-D9C5-41FB-BD39-26F66317C03C}" id="{9689A65E-E682-4417-961F-BBA30E44EEA2}">
    <text xml:space="preserve">complément pour analyse suivis </text>
  </threadedComment>
  <threadedComment ref="P82" dT="2023-04-27T12:41:30.06" personId="{170DE29A-4F89-4AA5-9A3B-5E0D4C244EE2}" id="{3F1CB7BB-3D99-4275-BAA1-DC7E0C300817}">
    <text>RDL</text>
  </threadedComment>
  <threadedComment ref="V82" dT="2023-04-27T12:42:23.89" personId="{170DE29A-4F89-4AA5-9A3B-5E0D4C244EE2}" id="{C5581155-6839-41D1-BB5A-92AD2A7E117E}">
    <text>Débroussaillage</text>
  </threadedComment>
  <threadedComment ref="Y82" dT="2023-04-27T12:43:17.59" personId="{170DE29A-4F89-4AA5-9A3B-5E0D4C244EE2}" id="{6A02E2A5-9CB4-4DC3-8D7C-E9312FD828DF}">
    <text>Abonnement Orange + ComIP</text>
  </threadedComment>
  <threadedComment ref="AC82" dT="2023-04-27T12:45:48.52" personId="{170DE29A-4F89-4AA5-9A3B-5E0D4C244EE2}" id="{55440405-338B-496A-A842-3C21673D5C9A}">
    <text>Contrat O&amp;M DTBird + 3 locations nacelles</text>
  </threadedComment>
  <threadedComment ref="V83" dT="2023-04-27T12:50:27.62" personId="{170DE29A-4F89-4AA5-9A3B-5E0D4C244EE2}" id="{49B5F52F-CE63-4600-AAA9-6E2E5ED88F0F}">
    <text>Débrouissaillage</text>
  </threadedComment>
  <threadedComment ref="AC83" dT="2023-04-27T12:51:20.31" personId="{170DE29A-4F89-4AA5-9A3B-5E0D4C244EE2}" id="{9FD806B3-8445-41CF-AD29-299537985BFB}">
    <text>Contrat O&amp;M + préventif SafeWind</text>
  </threadedComment>
  <threadedComment ref="AD83" dT="2023-04-27T12:51:05.58" personId="{170DE29A-4F89-4AA5-9A3B-5E0D4C244EE2}" id="{894BB9A4-3F98-4236-A6DA-80BFA1760A98}">
    <text>Location conteneur déchet  +une rotation</text>
  </threadedComment>
  <threadedComment ref="AE83" dT="2023-05-12T14:56:34.86" personId="{69CA0253-62CF-4B18-83E9-9A2EA13E7DDE}" id="{86BBC861-AD5C-40B5-B5C0-2EC52C5BA14D}">
    <text>suivi Aigle ou autre</text>
  </threadedComment>
  <threadedComment ref="AI83" dT="2023-05-12T14:55:46.74" personId="{69CA0253-62CF-4B18-83E9-9A2EA13E7DDE}" id="{0A0F91F3-B71E-4E33-9919-8935EE3C1776}">
    <text>Aléa enviro</text>
  </threadedComment>
  <threadedComment ref="AI84" dT="2023-04-17T15:22:25.06" personId="{69CA0253-62CF-4B18-83E9-9A2EA13E7DDE}" id="{82DEB2EF-1D8B-463A-9EB8-D8684936EDB3}">
    <text>PG : presta Néosolus et Ecostudiz</text>
  </threadedComment>
  <threadedComment ref="V85" dT="2023-05-04T13:29:15.31" personId="{AA76A9EF-0DB0-4FCB-B270-E50AEF4A6EE6}" id="{34BF566A-4C8B-4BD0-AB1B-2E4BB2E9A47C}">
    <text>DP : Nettoyage + végétation + Drone</text>
  </threadedComment>
  <threadedComment ref="Z85" dT="2023-05-04T13:29:50.13" personId="{AA76A9EF-0DB0-4FCB-B270-E50AEF4A6EE6}" id="{5E1BFB8F-360B-432C-A6EB-38954873C2D2}">
    <text xml:space="preserve">DP/ Aléa
</text>
  </threadedComment>
  <threadedComment ref="AA85" dT="2023-05-04T13:30:40.28" personId="{AA76A9EF-0DB0-4FCB-B270-E50AEF4A6EE6}" id="{B917E494-95B5-48F6-9067-5E87A1481B64}">
    <text xml:space="preserve">DP : Ancrage : 10 Ans
</text>
  </threadedComment>
  <threadedComment ref="AH86" dT="2023-04-27T12:47:49.10" personId="{1C82A4E8-D9C5-41FB-BD39-26F66317C03C}" id="{94BE51C0-EDB6-4760-8ED4-D81F25E55F41}">
    <text>suivi annuel AP</text>
  </threadedComment>
  <threadedComment ref="S88" dT="2023-05-24T14:37:29.62" personId="{E06499CF-A6A4-4316-97FA-0922CD5D7AE0}" id="{9FB1F915-2F90-4129-BDBC-53CCFDA58B1A}">
    <text>Montant 2024 contrat pales</text>
  </threadedComment>
  <threadedComment ref="AF88" dT="2023-04-27T12:48:04.76" personId="{1C82A4E8-D9C5-41FB-BD39-26F66317C03C}" id="{ED45DC91-1BFE-40FC-A20E-72684D15DCD2}">
    <text>aléas enviros : suivi en cours en 2023</text>
  </threadedComment>
  <threadedComment ref="AG88" dT="2023-04-27T12:48:11.90" personId="{1C82A4E8-D9C5-41FB-BD39-26F66317C03C}" id="{44C23B92-2998-4886-B69E-51A05F3A7A45}">
    <text>aléas enviros : suivi en cours en 2023</text>
  </threadedComment>
  <threadedComment ref="AH89" dT="2023-04-27T12:48:59.41" personId="{1C82A4E8-D9C5-41FB-BD39-26F66317C03C}" id="{CA50C760-5C65-4B9F-A83F-CF2A013EA1B1}">
    <text>Suivi PC</text>
  </threadedComment>
  <threadedComment ref="AH90" dT="2023-04-27T12:49:36.15" personId="{1C82A4E8-D9C5-41FB-BD39-26F66317C03C}" id="{8DAFF8D2-0E8F-48E2-B091-3455876CC280}">
    <text>suivi enviro prévu</text>
  </threadedComment>
  <threadedComment ref="AF94" dT="2023-04-27T12:50:58.63" personId="{1C82A4E8-D9C5-41FB-BD39-26F66317C03C}" id="{696A7211-8DEB-4836-B89E-05553A21A7AF}">
    <text>aléas enviros</text>
  </threadedComment>
  <threadedComment ref="AG94" dT="2023-04-27T12:50:55.78" personId="{1C82A4E8-D9C5-41FB-BD39-26F66317C03C}" id="{C901F12F-8C56-4A9E-BA7F-47A9BFBA58F3}">
    <text>aléas enviros</text>
  </threadedComment>
  <threadedComment ref="V95" dT="2023-04-28T14:44:16.69" personId="{7D2821EC-6170-489B-BBB7-C5AB24EDE7DB}" id="{A7516C0E-A1B4-4041-8142-BF03D2CFB657}">
    <text>Déneigement et débroussaillage</text>
  </threadedComment>
  <threadedComment ref="Y95" dT="2023-04-28T14:45:47.35" personId="{7D2821EC-6170-489B-BBB7-C5AB24EDE7DB}" id="{F7C2BC44-BADA-41EB-BAEA-02B55895E9EF}">
    <text>Abonnement satellite</text>
  </threadedComment>
  <threadedComment ref="AC95" dT="2023-04-28T14:46:59.77" personId="{7D2821EC-6170-489B-BBB7-C5AB24EDE7DB}" id="{213FE229-D074-4800-B981-072B6D1D2B2D}">
    <text>OM + Nacelle + Tests de plaques</text>
  </threadedComment>
  <threadedComment ref="J96" dT="2023-05-04T09:28:07.29" personId="{A0A38A8A-C134-4678-9CBB-23A0304771A0}" id="{BDC04518-7809-4DF6-922E-98A3606945DA}">
    <text>NiD : Nouveau contrat le 01/01/2023 : montant similaire à celui de CEFF (correctif inclus dans le contrat)</text>
  </threadedComment>
  <threadedComment ref="P96" dT="2023-05-03T14:06:32.93" personId="{A0A38A8A-C134-4678-9CBB-23A0304771A0}" id="{0640C23C-22C0-4630-A50A-B5366770E5D3}">
    <text>NiD : abonnement RDL</text>
  </threadedComment>
  <threadedComment ref="V96" dT="2023-04-24T14:18:06.03" personId="{A0A38A8A-C134-4678-9CBB-23A0304771A0}" id="{A59F3A82-A010-4FE3-9C3D-7C34C4FE9BFE}">
    <text>NiD : débrousaillage</text>
  </threadedComment>
  <threadedComment ref="AF97" dT="2023-04-27T12:52:28.12" personId="{1C82A4E8-D9C5-41FB-BD39-26F66317C03C}" id="{021EDD10-A1CB-492B-8237-BC34F6C47AA1}">
    <text>aléas enviros</text>
  </threadedComment>
  <threadedComment ref="AG97" dT="2023-04-27T12:52:33.93" personId="{1C82A4E8-D9C5-41FB-BD39-26F66317C03C}" id="{BC92F833-122A-4CA8-8BB5-59142D17B3BE}">
    <text>aléas enviros</text>
  </threadedComment>
  <threadedComment ref="AH99" dT="2023-04-27T12:52:46.20" personId="{1C82A4E8-D9C5-41FB-BD39-26F66317C03C}" id="{7C5FDCD6-90C4-416F-99C2-BA5704B67A46}">
    <text>suivi enviro PC</text>
  </threadedComment>
  <threadedComment ref="AG100" dT="2023-04-26T07:29:01.97" personId="{6C753DA6-191D-48D2-9DEA-254F9A496679}" id="{76548EC9-FB9D-4A99-9493-821EF22C9AB6}">
    <text>mutualisation avec plaine de l'orbieu (suivi au sol) ?</text>
  </threadedComment>
  <threadedComment ref="V105" dT="2023-04-28T12:58:39.65" personId="{7CAE674B-9D79-4200-9F2E-3FEAE266C294}" id="{6A50D4F4-BBF1-4BDD-8E76-807EA85DBA51}">
    <text>nettoyage module</text>
  </threadedComment>
  <threadedComment ref="AF106" dT="2023-04-27T12:53:31.17" personId="{1C82A4E8-D9C5-41FB-BD39-26F66317C03C}" id="{A6E94C7D-ADF8-43A7-8796-DC10F942CA0B}">
    <text>aléas enviros</text>
  </threadedComment>
  <threadedComment ref="AG106" dT="2023-04-27T12:53:35.98" personId="{1C82A4E8-D9C5-41FB-BD39-26F66317C03C}" id="{DFB81133-D6D6-431B-8654-23AAFBBBE591}">
    <text>aléas enviros</text>
  </threadedComment>
  <threadedComment ref="P108" dT="2023-05-03T14:08:22.84" personId="{A0A38A8A-C134-4678-9CBB-23A0304771A0}" id="{97AF35B5-C29C-491A-8746-E72237740CBF}">
    <text>NiD : abonnement RDL</text>
  </threadedComment>
  <threadedComment ref="V108" dT="2023-04-24T14:18:11.99" personId="{A0A38A8A-C134-4678-9CBB-23A0304771A0}" id="{2E6A3266-190D-491D-B894-0080EC97D862}">
    <text>NiD : débrousaillage</text>
  </threadedComment>
  <threadedComment ref="AH110" dT="2023-04-28T08:27:22.52" personId="{1C82A4E8-D9C5-41FB-BD39-26F66317C03C}" id="{5A1BF6F3-157D-4851-838F-030B8DD51B0D}">
    <text>Evaluation des travaux réalisés automne 2023 - à valider</text>
  </threadedComment>
  <threadedComment ref="AE111" dT="2023-05-12T14:58:37.88" personId="{69CA0253-62CF-4B18-83E9-9A2EA13E7DDE}" id="{A1074BD1-B0F1-46EA-AC8E-C9A24A816C46}">
    <text>Suivi drone si changement de caméra</text>
  </threadedComment>
  <threadedComment ref="P112" dT="2023-04-25T15:25:39.57" personId="{47608323-9CE7-4C00-B95A-4687EEA986EA}" id="{C502CA3D-3C7F-4926-AE50-83E7FA638197}">
    <text>18/04/2023 : forfait annuel RDL pour 2024 : 350€/MW soumis à validation avec le partenaire</text>
  </threadedComment>
  <threadedComment ref="V112" dT="2023-04-27T12:51:20.82" personId="{47608323-9CE7-4C00-B95A-4687EEA986EA}" id="{D0EB64A7-DAB6-4FC9-859D-EE9E3F657ACD}">
    <text>Débroussaillage</text>
  </threadedComment>
  <threadedComment ref="V113" dT="2023-04-24T14:18:16.25" personId="{A0A38A8A-C134-4678-9CBB-23A0304771A0}" id="{4D74F990-7E60-4787-8E45-B9876FF65674}">
    <text>NiD : débrousaillage</text>
  </threadedComment>
  <threadedComment ref="AI117" dT="2023-04-27T13:02:54.21" personId="{1C82A4E8-D9C5-41FB-BD39-26F66317C03C}" id="{34364444-834C-4548-BC0B-4D879DFA6043}">
    <text>mesures compensatoires CEN</text>
  </threadedComment>
  <threadedComment ref="AH119" dT="2023-04-27T12:54:46.20" personId="{1C82A4E8-D9C5-41FB-BD39-26F66317C03C}" id="{4FDF4380-0218-42EA-A5AF-7526567DDB9C}">
    <text>suivi enviro PC</text>
  </threadedComment>
  <threadedComment ref="V121" dT="2023-05-09T13:19:53.94" personId="{406BADBF-FB89-4BB3-AFA2-11851406DD50}" id="{532ADCFA-7771-44AB-8518-BE2BBEF60FAA}">
    <text>4passages par an préconisés par BE</text>
  </threadedComment>
  <threadedComment ref="AI126" dT="2023-04-27T12:55:24.72" personId="{1C82A4E8-D9C5-41FB-BD39-26F66317C03C}" id="{5940E505-5074-482D-A71E-7FD96C4463AC}">
    <text>convention CEN</text>
  </threadedComment>
  <threadedComment ref="T127" dT="2023-05-03T20:15:28.83" personId="{FDDF2605-3A0A-4CB8-A69E-5BEE09943F94}" id="{55707F43-FB91-46A4-A81D-BC03A96295F5}">
    <text>djacob le 03/05/2023
- Aléas= 40000€</text>
  </threadedComment>
  <threadedComment ref="V127" dT="2023-05-04T18:33:34.90" personId="{FDDF2605-3A0A-4CB8-A69E-5BEE09943F94}" id="{D952B2C0-BF0B-47AC-B0B9-9A813F362D99}">
    <text>djacob le 4/5/2023
- espaces verts et divers 30k€</text>
  </threadedComment>
  <threadedComment ref="W127" dT="2023-05-04T19:36:55.83" personId="{FDDF2605-3A0A-4CB8-A69E-5BEE09943F94}" id="{4CA152B9-88C7-4F3E-9499-78D4A40C9B9A}">
    <text>djacob le 4/05/2023
- inspection électrique 7k€</text>
  </threadedComment>
  <threadedComment ref="Z127" dT="2023-05-03T20:39:06.39" personId="{FDDF2605-3A0A-4CB8-A69E-5BEE09943F94}" id="{A8587F05-C584-424D-B1B7-3FB6CC7ED6B0}">
    <text>djacob le 3/05/2023
-PDP 3,7k€</text>
  </threadedComment>
  <threadedComment ref="AA127" dT="2023-05-03T20:25:27.05" personId="{FDDF2605-3A0A-4CB8-A69E-5BEE09943F94}" id="{925BA3FE-49BF-4147-A20D-BE0779DCB034}">
    <text>djacob le 03/05/2023
- Ancrage= 0,2% du CA</text>
  </threadedComment>
  <threadedComment ref="AI127" dT="2023-05-12T12:57:10.31" personId="{69CA0253-62CF-4B18-83E9-9A2EA13E7DDE}" id="{33325F96-AC54-49C0-A72F-9AD371E5690C}">
    <text>Aléa enviro</text>
  </threadedComment>
  <threadedComment ref="V129" dT="2023-05-04T13:41:45.04" personId="{AA76A9EF-0DB0-4FCB-B270-E50AEF4A6EE6}" id="{7FACEF36-8C30-4606-9BA4-2B585E9DB272}">
    <text xml:space="preserve">DP : Thermo
</text>
  </threadedComment>
  <threadedComment ref="Z129" dT="2023-05-04T13:41:10.68" personId="{AA76A9EF-0DB0-4FCB-B270-E50AEF4A6EE6}" id="{52468DF3-C16E-4E15-AD9F-4EA6790FC16D}">
    <text xml:space="preserve">DP : Aléa
</text>
  </threadedComment>
  <threadedComment ref="AA129" dT="2023-05-04T13:42:37.70" personId="{AA76A9EF-0DB0-4FCB-B270-E50AEF4A6EE6}" id="{572275D9-462D-417E-B6DB-473DD4F4254B}">
    <text>DP : Ancrage</text>
  </threadedComment>
  <threadedComment ref="AE130" dT="2023-04-26T07:25:58.63" personId="{6C753DA6-191D-48D2-9DEA-254F9A496679}" id="{1017FDC9-C9C8-4D6E-91B0-A5B67A97E9B0}">
    <text>prévoir biomonitoring suite mise en place de SDA (APC)</text>
  </threadedComment>
  <threadedComment ref="AE130" dT="2023-04-26T07:30:13.44" personId="{6C753DA6-191D-48D2-9DEA-254F9A496679}" id="{DAD89C8C-E975-456D-810E-B7D14B0F953D}" parentId="{1017FDC9-C9C8-4D6E-91B0-A5B67A97E9B0}">
    <text>mutualisation avec Luc sur orbieu</text>
  </threadedComment>
  <threadedComment ref="AG130" dT="2023-04-26T07:29:19.96" personId="{6C753DA6-191D-48D2-9DEA-254F9A496679}" id="{CAEE14E0-6B9B-496F-953F-BC1CC9DA4841}">
    <text>mutualisation avec Luc2</text>
  </threadedComment>
  <threadedComment ref="T139" dT="2023-05-03T19:51:26.07" personId="{FDDF2605-3A0A-4CB8-A69E-5BEE09943F94}" id="{B6B41FA3-9928-4626-AD8D-334B15CC2DED}">
    <text>djacob le 03/05/2023
- suppression 25k€
- aléas 26k€</text>
  </threadedComment>
  <threadedComment ref="V139" dT="2023-05-03T19:50:58.90" personId="{FDDF2605-3A0A-4CB8-A69E-5BEE09943F94}" id="{5C262CC4-A49F-42D8-BF0A-B4735EC2DC0B}">
    <text>djacob le 03/05/2023
- Espace vert 9k€</text>
  </threadedComment>
  <threadedComment ref="W139" dT="2023-05-04T19:38:35.81" personId="{FDDF2605-3A0A-4CB8-A69E-5BEE09943F94}" id="{884B5CF8-AD10-433D-8C76-E8C18ABD1841}">
    <text>djacob le 4/5/2023
- inspection élec 3k€</text>
  </threadedComment>
  <threadedComment ref="X139" dT="2023-05-03T20:21:30.79" personId="{FDDF2605-3A0A-4CB8-A69E-5BEE09943F94}" id="{BB977307-5C9A-493A-B24A-B7B472AFAC4B}">
    <text>djacob le 03/05/2023
- suppression 6400€</text>
  </threadedComment>
  <threadedComment ref="Z139" dT="2023-05-03T20:35:01.29" personId="{FDDF2605-3A0A-4CB8-A69E-5BEE09943F94}" id="{67F497B7-C5DA-4C99-A598-DC54F4BD6655}">
    <text>djacob le 3/05/2023
-PDP 1,6k€</text>
  </threadedComment>
  <threadedComment ref="AA139" dT="2023-05-03T20:25:27.05" personId="{FDDF2605-3A0A-4CB8-A69E-5BEE09943F94}" id="{B30B53B4-2E58-491D-BF30-4DDF60190778}">
    <text>djacob le 03/05/2023
- Ancrage= 0,2% du CA</text>
  </threadedComment>
  <threadedComment ref="AG140" dT="2023-04-27T07:01:47.39" personId="{6C753DA6-191D-48D2-9DEA-254F9A496679}" id="{6487CE38-F02E-4F0E-89BF-74E94DF5E666}">
    <text>prorata suivi 2024 selon devis EXEN</text>
  </threadedComment>
  <threadedComment ref="T141" dT="2023-05-03T20:15:28.83" personId="{FDDF2605-3A0A-4CB8-A69E-5BEE09943F94}" id="{01CA9E59-BB33-40D4-8486-3D65A13BEEB0}">
    <text>djacob le 03/05/2023
- Aléas= 3500€</text>
  </threadedComment>
  <threadedComment ref="W141" dT="2023-05-04T19:36:55.83" personId="{FDDF2605-3A0A-4CB8-A69E-5BEE09943F94}" id="{8A4D903D-B745-438A-9E79-FAFE1599883C}">
    <text>djacob le 4/05/2023
- inspection électrique 1,2k€</text>
  </threadedComment>
  <threadedComment ref="Z141" dT="2023-05-03T20:34:40.85" personId="{FDDF2605-3A0A-4CB8-A69E-5BEE09943F94}" id="{69D2D7C7-2BB0-481D-8CF4-FBB50B260C9F}">
    <text>djacob le 3/05/2023
-PDP 1,6k€</text>
  </threadedComment>
  <threadedComment ref="AA141" dT="2023-05-03T20:25:27.05" personId="{FDDF2605-3A0A-4CB8-A69E-5BEE09943F94}" id="{BD10E35D-F669-4C86-BC6E-46AFDD725B25}">
    <text>djacob le 03/05/2023
- Ancrage= 0,2% du CA</text>
  </threadedComment>
  <threadedComment ref="V144" dT="2023-05-09T13:20:27.35" personId="{406BADBF-FB89-4BB3-AFA2-11851406DD50}" id="{73093662-9579-4F00-AA6D-EA70BFE53F92}">
    <text>4passages par an préconisés par BE</text>
  </threadedComment>
  <threadedComment ref="AF146" dT="2023-04-27T12:56:03.76" personId="{1C82A4E8-D9C5-41FB-BD39-26F66317C03C}" id="{7B70AEC4-4852-42EF-B6B3-A03AF6D36EAD}">
    <text>aléas enviros</text>
  </threadedComment>
  <threadedComment ref="AG146" dT="2023-04-27T12:56:07.92" personId="{1C82A4E8-D9C5-41FB-BD39-26F66317C03C}" id="{DC7042AE-CBD5-40E8-8445-425F2506E22C}">
    <text>aléas enviros</text>
  </threadedComment>
  <threadedComment ref="P149" dT="2023-04-27T12:56:17.91" personId="{170DE29A-4F89-4AA5-9A3B-5E0D4C244EE2}" id="{E7039396-D239-44AE-A424-B82DF8F30C04}">
    <text>RDL + retrofit PDL reboot à distance</text>
  </threadedComment>
  <threadedComment ref="V149" dT="2023-04-27T12:55:11.79" personId="{170DE29A-4F89-4AA5-9A3B-5E0D4C244EE2}" id="{9BF5F47D-7658-4BE7-9A54-FE95F3EAE674}">
    <text>Débroussaillage</text>
  </threadedComment>
  <threadedComment ref="AF149" dT="2023-04-27T12:56:54.83" personId="{1C82A4E8-D9C5-41FB-BD39-26F66317C03C}" id="{FD9ECA25-86C2-4DB0-A5DB-35E1A2C602DE}">
    <text>aléas enviros</text>
  </threadedComment>
  <threadedComment ref="AG149" dT="2023-04-27T12:57:02.11" personId="{1C82A4E8-D9C5-41FB-BD39-26F66317C03C}" id="{F60BE5A0-471E-4F08-B480-AF6E69CB170A}">
    <text>aléas enviros</text>
  </threadedComment>
  <threadedComment ref="AI149" dT="2023-04-27T12:56:51.75" personId="{1C82A4E8-D9C5-41FB-BD39-26F66317C03C}" id="{6933AF68-8D9D-48FC-948C-0FC1C2D4B5C0}">
    <text>suivi zone humide</text>
  </threadedComment>
  <threadedComment ref="AH157" dT="2023-04-27T12:58:24.59" personId="{1C82A4E8-D9C5-41FB-BD39-26F66317C03C}" id="{D86DACA5-61AD-4C89-96A5-63ECFF7A99A1}">
    <text>suivi enviro</text>
  </threadedComment>
  <threadedComment ref="AF159" dT="2023-04-27T12:57:52.48" personId="{1C82A4E8-D9C5-41FB-BD39-26F66317C03C}" id="{70A3DA25-D6EC-4663-8A3D-33CE946127CB}">
    <text>aléas enviros</text>
  </threadedComment>
  <threadedComment ref="AG159" dT="2023-04-27T12:57:56.19" personId="{1C82A4E8-D9C5-41FB-BD39-26F66317C03C}" id="{C05F173E-41F9-4226-92B4-F2ECB97CF69E}">
    <text>aléas enviros</text>
  </threadedComment>
  <threadedComment ref="AE160" dT="2023-04-27T12:58:02.73" personId="{1C82A4E8-D9C5-41FB-BD39-26F66317C03C}" id="{FF8B0E20-8157-4851-8A90-37AE80797280}">
    <text>aléas enviros</text>
  </threadedComment>
  <threadedComment ref="AF160" dT="2023-04-27T12:57:52.48" personId="{1C82A4E8-D9C5-41FB-BD39-26F66317C03C}" id="{08A101A8-3D05-4AC2-B645-156649C8FD57}">
    <text>aléas enviros</text>
  </threadedComment>
  <threadedComment ref="AG160" dT="2023-04-27T12:57:56.19" personId="{1C82A4E8-D9C5-41FB-BD39-26F66317C03C}" id="{43A9F0D9-BDF4-4A42-A59C-E932C21DC6E6}">
    <text>aléas enviros</text>
  </threadedComment>
  <threadedComment ref="O163" dT="2023-05-09T13:16:51.30" personId="{406BADBF-FB89-4BB3-AFA2-11851406DD50}" id="{F81A1856-17D3-4334-8D70-47F5BF1F2ACF}">
    <text>fichier THEO</text>
  </threadedComment>
  <threadedComment ref="V163" dT="2023-05-09T13:20:54.16" personId="{406BADBF-FB89-4BB3-AFA2-11851406DD50}" id="{6A3C1DD8-7A8A-4BF6-9AB5-567B2BA5B486}">
    <text>4passages par an préconisés par BE</text>
  </threadedComment>
  <threadedComment ref="X163" dT="2023-05-09T13:14:50.09" personId="{406BADBF-FB89-4BB3-AFA2-11851406DD50}" id="{59508A00-49AF-4B54-913C-BB49D82C71EF}">
    <text>Selon fichier Theo</text>
  </threadedComment>
  <threadedComment ref="T164" dT="2023-05-03T20:15:28.83" personId="{FDDF2605-3A0A-4CB8-A69E-5BEE09943F94}" id="{A78FF69A-603E-4BAC-AB64-A50AC28A3D96}">
    <text>djacob le 03/05/2023
- Aléas= 7300€</text>
  </threadedComment>
  <threadedComment ref="W164" dT="2023-05-04T19:36:55.83" personId="{FDDF2605-3A0A-4CB8-A69E-5BEE09943F94}" id="{5192F723-2E82-4F4E-A3C8-6B403A8F6B0A}">
    <text>djacob le 4/05/2023
- inspection électrique 1,7k€</text>
  </threadedComment>
  <threadedComment ref="Z164" dT="2023-05-03T20:34:40.85" personId="{FDDF2605-3A0A-4CB8-A69E-5BEE09943F94}" id="{B888C1F7-1B97-4BF1-868F-CDD1965E8BA2}">
    <text>djacob le 3/05/2023
-PDP 1,6k€</text>
  </threadedComment>
  <threadedComment ref="AA164" dT="2023-05-03T20:25:27.05" personId="{FDDF2605-3A0A-4CB8-A69E-5BEE09943F94}" id="{E2C55C84-6F48-4854-9EB0-EA5C2DF0FC97}">
    <text>djacob le 03/05/2023
- Ancrage= 0,2% du CA</text>
  </threadedComment>
  <threadedComment ref="AA165" dT="2023-05-03T20:25:27.05" personId="{FDDF2605-3A0A-4CB8-A69E-5BEE09943F94}" id="{8D6EEC32-CF0B-4212-A72C-4AD1FFF812A2}">
    <text>djacob le 03/05/2023
- Ancrage= 0,2% du CA</text>
  </threadedComment>
  <threadedComment ref="AA166" dT="2023-05-03T20:25:27.05" personId="{FDDF2605-3A0A-4CB8-A69E-5BEE09943F94}" id="{78EB5A8A-F990-4912-B56F-C6728FDFAE24}">
    <text>djacob le 03/05/2023
- Ancrage= 0,2% du CA</text>
  </threadedComment>
  <threadedComment ref="W167" dT="2023-05-04T19:36:55.83" personId="{FDDF2605-3A0A-4CB8-A69E-5BEE09943F94}" id="{DAB3F337-082A-4460-8B16-C3802562F3F9}">
    <text>djacob le 4/05/2023
- inspection électrique 1,4k€</text>
  </threadedComment>
  <threadedComment ref="Y167" dT="2023-05-04T18:25:47.04" personId="{FDDF2605-3A0A-4CB8-A69E-5BEE09943F94}" id="{BBC38578-5AA5-4EB8-96C5-92F96A39914E}">
    <text>djacob le 4/05/20223
- Digicel: 3,5k€</text>
  </threadedComment>
  <threadedComment ref="Z167" dT="2023-05-03T20:34:40.85" personId="{FDDF2605-3A0A-4CB8-A69E-5BEE09943F94}" id="{F83F9E93-E00B-487B-B3D3-E08E3017BCE6}">
    <text>djacob le 3/05/2023
-PDP 1,6k€</text>
  </threadedComment>
  <threadedComment ref="AA167" dT="2023-05-03T20:25:27.05" personId="{FDDF2605-3A0A-4CB8-A69E-5BEE09943F94}" id="{D5FA1CE5-0330-48DE-B862-607C73367315}">
    <text>djacob le 03/05/2023
- Ancrage= 0,2% du CA</text>
  </threadedComment>
  <threadedComment ref="P179" dT="2023-05-02T13:22:51.26" personId="{47608323-9CE7-4C00-B95A-4687EEA986EA}" id="{A2D2195A-36E6-4EEF-9CBA-009DC0B2E8A2}">
    <text>18/04/2023 : forfait annuel RDL pour 2024 : 350€/MW soumis à validation avec le partenaire</text>
  </threadedComment>
  <threadedComment ref="V179" dT="2023-05-02T13:17:16.52" personId="{47608323-9CE7-4C00-B95A-4687EEA986EA}" id="{C2DF0EFA-186F-4462-8D7D-4AD20255948D}">
    <text>Debroussaillage</text>
  </threadedComment>
  <threadedComment ref="AG180" dT="2023-04-27T12:59:00.63" personId="{1C82A4E8-D9C5-41FB-BD39-26F66317C03C}" id="{002FC952-F86B-4DC7-9D21-F013D0B8227C}">
    <text>aléas enviros</text>
  </threadedComment>
  <threadedComment ref="T182" dT="2023-05-03T20:15:28.83" personId="{FDDF2605-3A0A-4CB8-A69E-5BEE09943F94}" id="{177F5D31-F5B5-4F63-901C-80D8438664E0}">
    <text>djacob le 03/05/2023
- Aléas= 52000€</text>
  </threadedComment>
  <threadedComment ref="W182" dT="2023-05-04T19:36:55.83" personId="{FDDF2605-3A0A-4CB8-A69E-5BEE09943F94}" id="{AF05ACB2-5352-4DEF-9AA7-2CC13354ADF8}">
    <text>djacob le 4/05/2023
- inspection électrique 4,6k€</text>
  </threadedComment>
  <threadedComment ref="Z182" dT="2023-05-03T20:34:40.85" personId="{FDDF2605-3A0A-4CB8-A69E-5BEE09943F94}" id="{7375E02E-68FD-4D7B-A7FD-35E9D64F5741}">
    <text>djacob le 3/05/2023
-PDP 1,6k€</text>
  </threadedComment>
  <threadedComment ref="AA182" dT="2023-05-03T20:25:27.05" personId="{FDDF2605-3A0A-4CB8-A69E-5BEE09943F94}" id="{F947E955-2479-4F9A-9B96-FA5E8667D839}">
    <text>djacob le 03/05/2023
- Ancrage= 0,2% du CA</text>
  </threadedComment>
  <threadedComment ref="T183" dT="2023-05-03T20:15:28.83" personId="{FDDF2605-3A0A-4CB8-A69E-5BEE09943F94}" id="{F4FEE22B-93E4-4988-BB58-AE050803C599}">
    <text>djacob le 03/05/2023
- Aléas= 12600€</text>
  </threadedComment>
  <threadedComment ref="V183" dT="2023-05-04T18:36:02.53" personId="{FDDF2605-3A0A-4CB8-A69E-5BEE09943F94}" id="{7010822B-4363-498F-8FE9-3EA6F2C0FFBF}">
    <text>djacob le 4/5/2023
- suppression 1k€</text>
  </threadedComment>
  <threadedComment ref="W183" dT="2023-05-04T19:36:55.83" personId="{FDDF2605-3A0A-4CB8-A69E-5BEE09943F94}" id="{AD5C7FD3-4016-44E5-ABC8-BFE7B22FA01B}">
    <text>djacob le 4/05/2023
- inspection électrique 1,6k€</text>
  </threadedComment>
  <threadedComment ref="Z183" dT="2023-05-03T20:36:23.54" personId="{FDDF2605-3A0A-4CB8-A69E-5BEE09943F94}" id="{61746582-2C4F-410A-9973-1891ED783CB0}">
    <text>djacob le 3/05/2023
-PDP 3,3k€</text>
  </threadedComment>
  <threadedComment ref="AA183" dT="2023-05-03T20:25:27.05" personId="{FDDF2605-3A0A-4CB8-A69E-5BEE09943F94}" id="{53FDF2FF-41E7-4B58-802A-2D911BA76D1F}">
    <text>djacob le 03/05/2023
- Ancrage= 0,2% du CA</text>
  </threadedComment>
  <threadedComment ref="T184" dT="2023-05-03T12:52:06.13" personId="{AA76A9EF-0DB0-4FCB-B270-E50AEF4A6EE6}" id="{C5A4F108-B51B-4E46-9964-0DAEF3958B2C}">
    <text>DP : Rislans 1 tranche</text>
  </threadedComment>
  <threadedComment ref="U184" dT="2023-04-28T08:01:26.57" personId="{7CAE674B-9D79-4200-9F2E-3FEAE266C294}" id="{5690232E-8538-400B-8AF6-8603F852859B}">
    <text>Remplacement fusile 1 tranche 27000e et étanchéité Shelter 37000e (pour 1Shelter)</text>
  </threadedComment>
  <threadedComment ref="AI184" dT="2023-04-27T12:59:23.88" personId="{1C82A4E8-D9C5-41FB-BD39-26F66317C03C}" id="{6F6D32C2-105A-47A8-A4B4-5628892C07DC}">
    <text>Évaluation impact pâturage</text>
  </threadedComment>
  <threadedComment ref="T187" dT="2023-05-03T20:15:28.83" personId="{FDDF2605-3A0A-4CB8-A69E-5BEE09943F94}" id="{2708C8E1-5AD4-4FC0-9CB6-F95D42A6AC7F}">
    <text>djacob le 03/05/2023
- Aléas= 3500€</text>
  </threadedComment>
  <threadedComment ref="V187" dT="2023-05-04T18:36:12.73" personId="{FDDF2605-3A0A-4CB8-A69E-5BEE09943F94}" id="{746D7FF5-7EAB-4215-A425-BC24A8A9EF06}">
    <text>djacob le 4/5/2023
- suppression 7,5k€</text>
  </threadedComment>
  <threadedComment ref="W187" dT="2023-05-04T19:36:55.83" personId="{FDDF2605-3A0A-4CB8-A69E-5BEE09943F94}" id="{74734966-725B-4602-B76E-1675CEB85932}">
    <text>djacob le 4/05/2023
- inspection électrique 1,2k€</text>
  </threadedComment>
  <threadedComment ref="Z187" dT="2023-05-03T20:34:40.85" personId="{FDDF2605-3A0A-4CB8-A69E-5BEE09943F94}" id="{A2E4424D-36FD-420D-BA05-BB5CAF58B668}">
    <text>djacob le 3/05/2023
-PDP 1,6k€</text>
  </threadedComment>
  <threadedComment ref="AA187" dT="2023-05-03T20:25:27.05" personId="{FDDF2605-3A0A-4CB8-A69E-5BEE09943F94}" id="{4CDC33F5-E922-4BE1-B422-80ACB9C0656E}">
    <text>djacob le 03/05/2023
- Ancrage= 0,2% du CA</text>
  </threadedComment>
  <threadedComment ref="V188" dT="2023-04-28T14:44:29.91" personId="{7D2821EC-6170-489B-BBB7-C5AB24EDE7DB}" id="{33704B15-EE5A-4F0D-ADA7-45BEBA4D35F3}">
    <text>Débroussaillage</text>
  </threadedComment>
  <threadedComment ref="W188" dT="2023-04-28T14:45:31.74" personId="{7D2821EC-6170-489B-BBB7-C5AB24EDE7DB}" id="{3BC16A21-0C95-46DE-9DE0-80DFF8C7150D}">
    <text>Inspection de pales</text>
  </threadedComment>
  <threadedComment ref="Y188" dT="2023-04-28T14:46:03.72" personId="{7D2821EC-6170-489B-BBB7-C5AB24EDE7DB}" id="{7A913D8B-39AA-4CE2-B4E0-D53D15B551D7}">
    <text>Abonnement satellite + 4G</text>
  </threadedComment>
  <threadedComment ref="AE193" dT="2023-04-27T13:00:49.92" personId="{1C82A4E8-D9C5-41FB-BD39-26F66317C03C}" id="{43354A73-ACA9-48DB-9FB2-E110A00F9308}">
    <text xml:space="preserve">Suivi LPO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4"/>
  </sheetPr>
  <dimension ref="A1:AE212"/>
  <sheetViews>
    <sheetView showGridLines="0" topLeftCell="P1" zoomScale="85" zoomScaleNormal="85" workbookViewId="0">
      <pane ySplit="1" topLeftCell="A13" activePane="bottomLeft" state="frozen"/>
      <selection pane="bottomLeft" activeCell="S13" sqref="S13"/>
    </sheetView>
  </sheetViews>
  <sheetFormatPr baseColWidth="10" defaultColWidth="13.33203125" defaultRowHeight="18" customHeight="1" outlineLevelCol="1"/>
  <cols>
    <col min="1" max="1" width="11.1640625" style="47" hidden="1" customWidth="1"/>
    <col min="2" max="2" width="63.6640625" style="47" hidden="1" customWidth="1"/>
    <col min="3" max="3" width="0" style="15" hidden="1" customWidth="1"/>
    <col min="4" max="11" width="13.6640625" style="14" hidden="1" customWidth="1" outlineLevel="1"/>
    <col min="12" max="12" width="14" style="14" hidden="1" customWidth="1" outlineLevel="1"/>
    <col min="13" max="13" width="13.6640625" style="14" hidden="1" customWidth="1" outlineLevel="1"/>
    <col min="14" max="14" width="14.5" style="14" hidden="1" customWidth="1" outlineLevel="1"/>
    <col min="15" max="15" width="13.6640625" style="14" hidden="1" customWidth="1" outlineLevel="1"/>
    <col min="16" max="16" width="11.1640625" style="14" customWidth="1" collapsed="1"/>
    <col min="17" max="17" width="26.33203125" style="14" bestFit="1" customWidth="1"/>
    <col min="18" max="18" width="61" style="14" bestFit="1" customWidth="1"/>
    <col min="19" max="19" width="13.6640625" style="14" bestFit="1" customWidth="1"/>
    <col min="20" max="20" width="13.5" style="14" customWidth="1"/>
    <col min="21" max="21" width="23.33203125" style="14" bestFit="1" customWidth="1"/>
    <col min="22" max="22" width="26" style="14" customWidth="1"/>
    <col min="23" max="23" width="5" style="14" customWidth="1"/>
    <col min="24" max="24" width="19.6640625" style="14" customWidth="1"/>
    <col min="25" max="25" width="13.5" style="14" bestFit="1" customWidth="1"/>
    <col min="26" max="26" width="31.6640625" style="52" bestFit="1" customWidth="1"/>
    <col min="27" max="27" width="13.5" style="14" bestFit="1" customWidth="1"/>
    <col min="28" max="31" width="13.6640625" style="14" bestFit="1" customWidth="1"/>
    <col min="32" max="32" width="14.6640625" style="14" bestFit="1" customWidth="1"/>
    <col min="33" max="16384" width="13.33203125" style="14"/>
  </cols>
  <sheetData>
    <row r="1" spans="1:26" ht="18" customHeight="1">
      <c r="A1" s="47" t="s">
        <v>0</v>
      </c>
      <c r="B1" s="47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48" t="s">
        <v>14</v>
      </c>
      <c r="Q1" s="49" t="s">
        <v>15</v>
      </c>
      <c r="R1" s="50" t="s">
        <v>16</v>
      </c>
      <c r="S1" s="50" t="s">
        <v>17</v>
      </c>
      <c r="T1" s="49" t="s">
        <v>18</v>
      </c>
      <c r="U1" s="51" t="s">
        <v>19</v>
      </c>
      <c r="Y1" s="52"/>
      <c r="Z1" s="14"/>
    </row>
    <row r="2" spans="1:26" ht="18" customHeight="1">
      <c r="A2" s="53" t="s">
        <v>20</v>
      </c>
      <c r="B2" s="54" t="s">
        <v>21</v>
      </c>
      <c r="C2" s="55">
        <v>9.8480304328209797E-2</v>
      </c>
      <c r="D2" s="55">
        <v>9.3119615330718525E-2</v>
      </c>
      <c r="E2" s="55">
        <v>9.4329788844093362E-2</v>
      </c>
      <c r="F2" s="55">
        <v>8.6943613865202149E-2</v>
      </c>
      <c r="G2" s="55">
        <v>8.2470019867366393E-2</v>
      </c>
      <c r="H2" s="55">
        <v>6.5299714462993014E-2</v>
      </c>
      <c r="I2" s="55">
        <v>7.0850236839891695E-2</v>
      </c>
      <c r="J2" s="55">
        <v>6.4217873645425888E-2</v>
      </c>
      <c r="K2" s="55">
        <v>6.6110571463537104E-2</v>
      </c>
      <c r="L2" s="55">
        <v>8.5813829171070652E-2</v>
      </c>
      <c r="M2" s="55">
        <v>9.9307459961931105E-2</v>
      </c>
      <c r="N2" s="55">
        <v>9.305697221956015E-2</v>
      </c>
      <c r="O2" s="56">
        <f>SUM(Tableau1362[[#This Row],[JANVIER]:[DECEMBRE]])</f>
        <v>0.99999999999999978</v>
      </c>
      <c r="Q2" s="57" t="s">
        <v>22</v>
      </c>
      <c r="R2" s="53" t="s">
        <v>21</v>
      </c>
      <c r="S2" s="58">
        <v>10</v>
      </c>
      <c r="T2" s="57" t="s">
        <v>22</v>
      </c>
      <c r="U2" s="59">
        <v>18171034</v>
      </c>
      <c r="Y2" s="52"/>
      <c r="Z2" s="14"/>
    </row>
    <row r="3" spans="1:26" ht="18" customHeight="1">
      <c r="A3" s="60" t="e" vm="1">
        <v>#REF!</v>
      </c>
      <c r="B3" s="61" t="s">
        <v>23</v>
      </c>
      <c r="C3" s="62">
        <v>0.12052246986690716</v>
      </c>
      <c r="D3" s="62">
        <v>0.10675402498251049</v>
      </c>
      <c r="E3" s="62">
        <v>0.10280489324685882</v>
      </c>
      <c r="F3" s="62">
        <v>7.4060445368492128E-2</v>
      </c>
      <c r="G3" s="62">
        <v>6.5725983158548565E-2</v>
      </c>
      <c r="H3" s="62">
        <v>5.1902437059281381E-2</v>
      </c>
      <c r="I3" s="62">
        <v>5.4882167819088466E-2</v>
      </c>
      <c r="J3" s="62">
        <v>4.9070257669838593E-2</v>
      </c>
      <c r="K3" s="62">
        <v>6.080347347652322E-2</v>
      </c>
      <c r="L3" s="62">
        <v>8.6994648637788566E-2</v>
      </c>
      <c r="M3" s="62">
        <v>0.10234218137135621</v>
      </c>
      <c r="N3" s="62">
        <v>0.12413701734280638</v>
      </c>
      <c r="O3" s="63">
        <f>SUM(Tableau1362[[#This Row],[JANVIER]:[DECEMBRE]])</f>
        <v>1.0000000000000002</v>
      </c>
      <c r="Q3" s="57" t="s">
        <v>24</v>
      </c>
      <c r="R3" s="54" t="s">
        <v>23</v>
      </c>
      <c r="S3" s="64">
        <v>16</v>
      </c>
      <c r="T3" s="57" t="s">
        <v>24</v>
      </c>
      <c r="U3" s="59">
        <v>37801710</v>
      </c>
      <c r="Y3" s="52"/>
      <c r="Z3" s="14"/>
    </row>
    <row r="4" spans="1:26" ht="18" customHeight="1">
      <c r="A4" s="60" t="e" vm="1">
        <v>#REF!</v>
      </c>
      <c r="B4" s="61" t="s">
        <v>25</v>
      </c>
      <c r="C4" s="62">
        <v>0.11692684065552186</v>
      </c>
      <c r="D4" s="62">
        <v>0.10484840435895715</v>
      </c>
      <c r="E4" s="62">
        <v>9.8583900211593453E-2</v>
      </c>
      <c r="F4" s="62">
        <v>7.4411212311373515E-2</v>
      </c>
      <c r="G4" s="62">
        <v>6.9229141570700481E-2</v>
      </c>
      <c r="H4" s="62">
        <v>5.5043843563319567E-2</v>
      </c>
      <c r="I4" s="62">
        <v>5.9225138565961656E-2</v>
      </c>
      <c r="J4" s="62">
        <v>5.4754521995912263E-2</v>
      </c>
      <c r="K4" s="62">
        <v>6.2449161657496831E-2</v>
      </c>
      <c r="L4" s="62">
        <v>8.4601620063191302E-2</v>
      </c>
      <c r="M4" s="62">
        <v>9.9712840945664849E-2</v>
      </c>
      <c r="N4" s="62">
        <v>0.12021337410030707</v>
      </c>
      <c r="O4" s="63">
        <f>SUM(Tableau1362[[#This Row],[JANVIER]:[DECEMBRE]])</f>
        <v>1</v>
      </c>
      <c r="Q4" s="57" t="s">
        <v>26</v>
      </c>
      <c r="R4" s="54" t="s">
        <v>25</v>
      </c>
      <c r="S4" s="64">
        <v>16.95</v>
      </c>
      <c r="T4" s="57" t="s">
        <v>26</v>
      </c>
      <c r="U4" s="59">
        <v>40201958</v>
      </c>
      <c r="Y4" s="52"/>
      <c r="Z4" s="14"/>
    </row>
    <row r="5" spans="1:26" ht="18" customHeight="1">
      <c r="A5" s="60" t="e" vm="1">
        <v>#REF!</v>
      </c>
      <c r="B5" s="61" t="s">
        <v>27</v>
      </c>
      <c r="C5" s="62">
        <v>0.10283416970025594</v>
      </c>
      <c r="D5" s="62">
        <v>0.10063907152618222</v>
      </c>
      <c r="E5" s="62">
        <v>0.10511895156195097</v>
      </c>
      <c r="F5" s="62">
        <v>8.7849977195027087E-2</v>
      </c>
      <c r="G5" s="62">
        <v>7.7289708236709262E-2</v>
      </c>
      <c r="H5" s="62">
        <v>5.9392122565557363E-2</v>
      </c>
      <c r="I5" s="62">
        <v>5.667649342874799E-2</v>
      </c>
      <c r="J5" s="62">
        <v>5.0031055999640729E-2</v>
      </c>
      <c r="K5" s="62">
        <v>6.0913089509799109E-2</v>
      </c>
      <c r="L5" s="62">
        <v>9.0797215486982094E-2</v>
      </c>
      <c r="M5" s="62">
        <v>0.10343612944182461</v>
      </c>
      <c r="N5" s="62">
        <v>0.10502201534732281</v>
      </c>
      <c r="O5" s="63">
        <f>SUM(Tableau1362[[#This Row],[JANVIER]:[DECEMBRE]])</f>
        <v>1</v>
      </c>
      <c r="Q5" s="65" t="s">
        <v>28</v>
      </c>
      <c r="R5" s="54" t="s">
        <v>27</v>
      </c>
      <c r="S5" s="64">
        <v>12</v>
      </c>
      <c r="T5" s="65" t="s">
        <v>28</v>
      </c>
      <c r="U5" s="59">
        <v>24775044</v>
      </c>
      <c r="Y5" s="52"/>
      <c r="Z5" s="14"/>
    </row>
    <row r="6" spans="1:26" ht="18" customHeight="1">
      <c r="A6" s="60" t="e" vm="1">
        <v>#REF!</v>
      </c>
      <c r="B6" s="61" t="s">
        <v>29</v>
      </c>
      <c r="C6" s="62">
        <v>2.9899999999999999E-2</v>
      </c>
      <c r="D6" s="62">
        <v>5.2900000000000003E-2</v>
      </c>
      <c r="E6" s="62">
        <v>8.5599999999999996E-2</v>
      </c>
      <c r="F6" s="62">
        <v>0.108</v>
      </c>
      <c r="G6" s="62">
        <v>0.1178</v>
      </c>
      <c r="H6" s="66">
        <f>12.66%+0.01%</f>
        <v>0.12669999999999998</v>
      </c>
      <c r="I6" s="62">
        <v>0.12959999999999999</v>
      </c>
      <c r="J6" s="62">
        <v>0.1172</v>
      </c>
      <c r="K6" s="62">
        <v>0.10050000000000001</v>
      </c>
      <c r="L6" s="62">
        <v>6.8500000000000005E-2</v>
      </c>
      <c r="M6" s="62">
        <v>3.3399999999999999E-2</v>
      </c>
      <c r="N6" s="62">
        <v>2.9899999999999999E-2</v>
      </c>
      <c r="O6" s="63">
        <f>SUM(Tableau1362[[#This Row],[JANVIER]:[DECEMBRE]])</f>
        <v>0.99999999999999989</v>
      </c>
      <c r="Q6" s="65" t="s">
        <v>30</v>
      </c>
      <c r="R6" s="54" t="s">
        <v>29</v>
      </c>
      <c r="S6" s="64">
        <v>9.6999999999999993</v>
      </c>
      <c r="T6" s="65" t="s">
        <v>30</v>
      </c>
      <c r="U6" s="59">
        <v>10747000</v>
      </c>
      <c r="Y6" s="52"/>
      <c r="Z6" s="14"/>
    </row>
    <row r="7" spans="1:26" ht="18" customHeight="1">
      <c r="A7" s="60" t="e" vm="1">
        <v>#REF!</v>
      </c>
      <c r="B7" s="61" t="s">
        <v>31</v>
      </c>
      <c r="C7" s="62">
        <v>0.12126748654061842</v>
      </c>
      <c r="D7" s="62">
        <v>0.10693436569532461</v>
      </c>
      <c r="E7" s="62">
        <v>0.10384928317542269</v>
      </c>
      <c r="F7" s="62">
        <v>7.0982291515305496E-2</v>
      </c>
      <c r="G7" s="62">
        <v>6.440699868247747E-2</v>
      </c>
      <c r="H7" s="62">
        <v>5.1152979384183804E-2</v>
      </c>
      <c r="I7" s="62">
        <v>5.5872221630366106E-2</v>
      </c>
      <c r="J7" s="62">
        <v>5.1089014518308468E-2</v>
      </c>
      <c r="K7" s="62">
        <v>6.2523600060023568E-2</v>
      </c>
      <c r="L7" s="62">
        <v>8.7315078330819113E-2</v>
      </c>
      <c r="M7" s="62">
        <v>9.9068775217737173E-2</v>
      </c>
      <c r="N7" s="62">
        <v>0.12553790524941305</v>
      </c>
      <c r="O7" s="63">
        <f>SUM(Tableau1362[[#This Row],[JANVIER]:[DECEMBRE]])</f>
        <v>1</v>
      </c>
      <c r="Q7" s="65" t="s">
        <v>32</v>
      </c>
      <c r="R7" s="54" t="s">
        <v>31</v>
      </c>
      <c r="S7" s="64">
        <v>11.5</v>
      </c>
      <c r="T7" s="65" t="s">
        <v>32</v>
      </c>
      <c r="U7" s="67">
        <v>21514000</v>
      </c>
      <c r="Y7" s="52"/>
      <c r="Z7" s="14"/>
    </row>
    <row r="8" spans="1:26" ht="18" customHeight="1">
      <c r="A8" s="60" t="e" vm="1">
        <v>#REF!</v>
      </c>
      <c r="B8" s="61" t="s">
        <v>33</v>
      </c>
      <c r="C8" s="62">
        <v>0.10100000000000001</v>
      </c>
      <c r="D8" s="62">
        <v>0.09</v>
      </c>
      <c r="E8" s="62">
        <v>0.10100000000000001</v>
      </c>
      <c r="F8" s="62">
        <v>8.6999999999999994E-2</v>
      </c>
      <c r="G8" s="62">
        <v>7.5999999999999998E-2</v>
      </c>
      <c r="H8" s="62">
        <v>6.4000000000000001E-2</v>
      </c>
      <c r="I8" s="62">
        <v>7.0000000000000007E-2</v>
      </c>
      <c r="J8" s="62">
        <v>6.3E-2</v>
      </c>
      <c r="K8" s="62">
        <v>6.6000000000000003E-2</v>
      </c>
      <c r="L8" s="62">
        <v>7.9000000000000001E-2</v>
      </c>
      <c r="M8" s="62">
        <v>9.4E-2</v>
      </c>
      <c r="N8" s="62">
        <v>0.109</v>
      </c>
      <c r="O8" s="56">
        <f>SUM(Tableau1362[[#This Row],[JANVIER]:[DECEMBRE]])</f>
        <v>0.99999999999999989</v>
      </c>
      <c r="Q8" s="65" t="s">
        <v>34</v>
      </c>
      <c r="R8" s="54" t="s">
        <v>33</v>
      </c>
      <c r="S8" s="64">
        <v>12</v>
      </c>
      <c r="T8" s="65" t="s">
        <v>34</v>
      </c>
      <c r="U8" s="59">
        <v>23928000</v>
      </c>
      <c r="Y8" s="52"/>
      <c r="Z8" s="14"/>
    </row>
    <row r="9" spans="1:26" ht="18" customHeight="1">
      <c r="A9" s="60" t="e" vm="1">
        <v>#REF!</v>
      </c>
      <c r="B9" s="61" t="s">
        <v>35</v>
      </c>
      <c r="C9" s="62">
        <v>3.6999999999999998E-2</v>
      </c>
      <c r="D9" s="62">
        <v>5.6000000000000001E-2</v>
      </c>
      <c r="E9" s="62">
        <v>9.2999999999999999E-2</v>
      </c>
      <c r="F9" s="62">
        <v>0.10199999999999999</v>
      </c>
      <c r="G9" s="62">
        <v>0.104</v>
      </c>
      <c r="H9" s="62">
        <v>0.124</v>
      </c>
      <c r="I9" s="62">
        <v>0.13700000000000001</v>
      </c>
      <c r="J9" s="62">
        <v>0.11700000000000001</v>
      </c>
      <c r="K9" s="62">
        <v>9.6000000000000002E-2</v>
      </c>
      <c r="L9" s="62">
        <v>6.0999999999999999E-2</v>
      </c>
      <c r="M9" s="62">
        <v>4.1000000000000002E-2</v>
      </c>
      <c r="N9" s="62">
        <v>3.2000000000000001E-2</v>
      </c>
      <c r="O9" s="63">
        <f>SUM(Tableau1362[[#This Row],[JANVIER]:[DECEMBRE]])</f>
        <v>1</v>
      </c>
      <c r="Q9" s="57" t="s">
        <v>36</v>
      </c>
      <c r="R9" s="54" t="s">
        <v>35</v>
      </c>
      <c r="S9" s="64">
        <v>5</v>
      </c>
      <c r="T9" s="57" t="s">
        <v>36</v>
      </c>
      <c r="U9" s="59">
        <v>6956000</v>
      </c>
      <c r="Y9" s="52"/>
      <c r="Z9" s="14"/>
    </row>
    <row r="10" spans="1:26" ht="18" customHeight="1">
      <c r="A10" s="60" t="e" vm="1">
        <v>#REF!</v>
      </c>
      <c r="B10" s="61" t="s">
        <v>37</v>
      </c>
      <c r="C10" s="62">
        <v>3.4700000000000002E-2</v>
      </c>
      <c r="D10" s="62">
        <v>5.28E-2</v>
      </c>
      <c r="E10" s="62">
        <v>8.8900000000000007E-2</v>
      </c>
      <c r="F10" s="62">
        <v>0.10290000000000001</v>
      </c>
      <c r="G10" s="62">
        <v>0.1111</v>
      </c>
      <c r="H10" s="62">
        <v>0.12180000000000001</v>
      </c>
      <c r="I10" s="62">
        <v>0.12520000000000001</v>
      </c>
      <c r="J10" s="62">
        <v>0.1168</v>
      </c>
      <c r="K10" s="62">
        <v>9.9000000000000005E-2</v>
      </c>
      <c r="L10" s="62">
        <v>7.3899999999999993E-2</v>
      </c>
      <c r="M10" s="62">
        <v>3.7600000000000001E-2</v>
      </c>
      <c r="N10" s="62">
        <v>3.5299999999999998E-2</v>
      </c>
      <c r="O10" s="63">
        <f>SUM(Tableau1362[[#This Row],[JANVIER]:[DECEMBRE]])</f>
        <v>0.99999999999999989</v>
      </c>
      <c r="Q10" s="57" t="s">
        <v>38</v>
      </c>
      <c r="R10" s="54" t="s">
        <v>37</v>
      </c>
      <c r="S10" s="68">
        <v>4.2</v>
      </c>
      <c r="T10" s="57" t="s">
        <v>38</v>
      </c>
      <c r="U10" s="59">
        <v>4520000</v>
      </c>
      <c r="Y10" s="52"/>
      <c r="Z10" s="14"/>
    </row>
    <row r="11" spans="1:26" ht="18" customHeight="1">
      <c r="A11" s="60" t="e" vm="1">
        <v>#REF!</v>
      </c>
      <c r="B11" s="61" t="s">
        <v>39</v>
      </c>
      <c r="C11" s="69">
        <v>0.12322621704391686</v>
      </c>
      <c r="D11" s="69">
        <v>0.10713664882118901</v>
      </c>
      <c r="E11" s="69">
        <v>0.10522701848378276</v>
      </c>
      <c r="F11" s="69">
        <v>7.0861165564629083E-2</v>
      </c>
      <c r="G11" s="69">
        <v>6.4234434116580016E-2</v>
      </c>
      <c r="H11" s="69">
        <v>5.0613057351277801E-2</v>
      </c>
      <c r="I11" s="69">
        <v>5.5860031506017212E-2</v>
      </c>
      <c r="J11" s="69">
        <v>5.0773624940397978E-2</v>
      </c>
      <c r="K11" s="69">
        <v>6.1992054211987044E-2</v>
      </c>
      <c r="L11" s="69">
        <v>8.7190086540205408E-2</v>
      </c>
      <c r="M11" s="69">
        <v>9.8064794126017887E-2</v>
      </c>
      <c r="N11" s="69">
        <v>0.12482086729399902</v>
      </c>
      <c r="O11" s="56">
        <f>SUM(C11:N11)</f>
        <v>1.0000000000000002</v>
      </c>
      <c r="Q11" s="57" t="s">
        <v>40</v>
      </c>
      <c r="R11" s="54" t="s">
        <v>39</v>
      </c>
      <c r="S11" s="64">
        <v>12</v>
      </c>
      <c r="T11" s="57" t="s">
        <v>40</v>
      </c>
      <c r="U11" s="59">
        <v>17487764</v>
      </c>
      <c r="Y11" s="52"/>
      <c r="Z11" s="14"/>
    </row>
    <row r="12" spans="1:26" ht="18" customHeight="1">
      <c r="A12" s="60" t="e" vm="1">
        <v>#REF!</v>
      </c>
      <c r="B12" s="60" t="s">
        <v>41</v>
      </c>
      <c r="C12" s="62">
        <v>0.1187</v>
      </c>
      <c r="D12" s="62">
        <v>0.10290000000000001</v>
      </c>
      <c r="E12" s="62">
        <v>0.1002</v>
      </c>
      <c r="F12" s="62">
        <v>7.4700000000000003E-2</v>
      </c>
      <c r="G12" s="62">
        <v>7.2400000000000006E-2</v>
      </c>
      <c r="H12" s="62">
        <v>5.5E-2</v>
      </c>
      <c r="I12" s="62">
        <v>5.8700000000000002E-2</v>
      </c>
      <c r="J12" s="62">
        <v>5.8299999999999998E-2</v>
      </c>
      <c r="K12" s="62">
        <v>6.25E-2</v>
      </c>
      <c r="L12" s="62">
        <v>8.6599999999999996E-2</v>
      </c>
      <c r="M12" s="62">
        <v>9.6600000000000005E-2</v>
      </c>
      <c r="N12" s="62">
        <v>0.1134</v>
      </c>
      <c r="O12" s="63">
        <f>SUM(Tableau1362[[#This Row],[JANVIER]:[DECEMBRE]])</f>
        <v>1</v>
      </c>
      <c r="Q12" s="57" t="s">
        <v>42</v>
      </c>
      <c r="R12" s="54" t="s">
        <v>41</v>
      </c>
      <c r="S12" s="64">
        <v>24</v>
      </c>
      <c r="T12" s="57" t="s">
        <v>42</v>
      </c>
      <c r="U12" s="59">
        <v>53500000</v>
      </c>
      <c r="Y12" s="52"/>
      <c r="Z12" s="14"/>
    </row>
    <row r="13" spans="1:26" ht="18" customHeight="1">
      <c r="A13" s="60" t="e" vm="1">
        <v>#REF!</v>
      </c>
      <c r="B13" s="61" t="s">
        <v>43</v>
      </c>
      <c r="C13" s="62">
        <v>4.1399999999999999E-2</v>
      </c>
      <c r="D13" s="62">
        <v>5.62E-2</v>
      </c>
      <c r="E13" s="62">
        <v>7.9600000000000004E-2</v>
      </c>
      <c r="F13" s="62">
        <v>9.8900000000000002E-2</v>
      </c>
      <c r="G13" s="62">
        <v>0.1105</v>
      </c>
      <c r="H13" s="62">
        <v>0.1186</v>
      </c>
      <c r="I13" s="62">
        <v>0.1225</v>
      </c>
      <c r="J13" s="62">
        <v>0.1114</v>
      </c>
      <c r="K13" s="62">
        <v>9.64E-2</v>
      </c>
      <c r="L13" s="62">
        <v>7.1800000000000003E-2</v>
      </c>
      <c r="M13" s="62">
        <v>5.2999999999999999E-2</v>
      </c>
      <c r="N13" s="62">
        <v>3.9699999999999999E-2</v>
      </c>
      <c r="O13" s="63">
        <f>SUM(Tableau1362[[#This Row],[JANVIER]:[DECEMBRE]])</f>
        <v>0.99999999999999989</v>
      </c>
      <c r="Q13" s="65" t="s">
        <v>44</v>
      </c>
      <c r="R13" s="53" t="s">
        <v>43</v>
      </c>
      <c r="S13" s="64">
        <v>2.61</v>
      </c>
      <c r="T13" s="65" t="s">
        <v>44</v>
      </c>
      <c r="U13" s="59">
        <v>3911000</v>
      </c>
      <c r="Y13" s="52"/>
      <c r="Z13" s="14"/>
    </row>
    <row r="14" spans="1:26" ht="18" customHeight="1">
      <c r="A14" s="60" t="e" vm="1">
        <v>#REF!</v>
      </c>
      <c r="B14" s="61" t="s">
        <v>45</v>
      </c>
      <c r="C14" s="62">
        <v>0.1221454025569482</v>
      </c>
      <c r="D14" s="62">
        <v>0.10683945234554756</v>
      </c>
      <c r="E14" s="62">
        <v>0.10409854433191607</v>
      </c>
      <c r="F14" s="62">
        <v>7.0053367391258253E-2</v>
      </c>
      <c r="G14" s="62">
        <v>6.6313149168279545E-2</v>
      </c>
      <c r="H14" s="62">
        <v>5.4006843545116631E-2</v>
      </c>
      <c r="I14" s="62">
        <v>5.8169910031480219E-2</v>
      </c>
      <c r="J14" s="62">
        <v>5.248249019569079E-2</v>
      </c>
      <c r="K14" s="62">
        <v>6.3296579223105123E-2</v>
      </c>
      <c r="L14" s="62">
        <v>8.1249955202440452E-2</v>
      </c>
      <c r="M14" s="62">
        <v>9.5040193280404014E-2</v>
      </c>
      <c r="N14" s="62">
        <v>0.12630411272781331</v>
      </c>
      <c r="O14" s="63">
        <f>SUM(Tableau1362[[#This Row],[JANVIER]:[DECEMBRE]])</f>
        <v>1.0000000000000004</v>
      </c>
      <c r="Q14" s="57" t="s">
        <v>46</v>
      </c>
      <c r="R14" s="54" t="s">
        <v>45</v>
      </c>
      <c r="S14" s="64">
        <v>20</v>
      </c>
      <c r="T14" s="57" t="s">
        <v>46</v>
      </c>
      <c r="U14" s="59">
        <v>36183244.313699998</v>
      </c>
      <c r="Y14" s="52"/>
      <c r="Z14" s="14"/>
    </row>
    <row r="15" spans="1:26" ht="18" customHeight="1">
      <c r="A15" s="60" t="e" vm="1">
        <v>#REF!</v>
      </c>
      <c r="B15" s="61" t="s">
        <v>47</v>
      </c>
      <c r="C15" s="62">
        <v>9.8338849154695734E-2</v>
      </c>
      <c r="D15" s="62">
        <v>9.4566367632268597E-2</v>
      </c>
      <c r="E15" s="62">
        <v>0.10016371656857141</v>
      </c>
      <c r="F15" s="62">
        <v>9.2522195005215024E-2</v>
      </c>
      <c r="G15" s="62">
        <v>8.2295795257647741E-2</v>
      </c>
      <c r="H15" s="62">
        <v>6.376647024144029E-2</v>
      </c>
      <c r="I15" s="62">
        <v>5.9036320889589156E-2</v>
      </c>
      <c r="J15" s="62">
        <v>5.3824873830553045E-2</v>
      </c>
      <c r="K15" s="62">
        <v>6.4599453561881806E-2</v>
      </c>
      <c r="L15" s="62">
        <v>9.2314184481127368E-2</v>
      </c>
      <c r="M15" s="62">
        <v>0.10087256904126085</v>
      </c>
      <c r="N15" s="62">
        <v>9.7699204335748996E-2</v>
      </c>
      <c r="O15" s="63">
        <f>SUM(Tableau1362[[#This Row],[JANVIER]:[DECEMBRE]])</f>
        <v>0.99999999999999989</v>
      </c>
      <c r="Q15" s="57" t="s">
        <v>48</v>
      </c>
      <c r="R15" s="54" t="s">
        <v>49</v>
      </c>
      <c r="S15" s="64">
        <v>12</v>
      </c>
      <c r="T15" s="57" t="s">
        <v>48</v>
      </c>
      <c r="U15" s="59">
        <v>20262826</v>
      </c>
      <c r="Y15" s="52"/>
      <c r="Z15" s="14"/>
    </row>
    <row r="16" spans="1:26" ht="18" customHeight="1">
      <c r="A16" s="60" t="e" vm="1">
        <v>#REF!</v>
      </c>
      <c r="B16" s="61" t="s">
        <v>50</v>
      </c>
      <c r="C16" s="62">
        <v>0.12703634901476907</v>
      </c>
      <c r="D16" s="62">
        <v>0.1088601746101979</v>
      </c>
      <c r="E16" s="62">
        <v>0.10701466270696737</v>
      </c>
      <c r="F16" s="62">
        <v>7.0423309358146363E-2</v>
      </c>
      <c r="G16" s="62">
        <v>6.3494212871243488E-2</v>
      </c>
      <c r="H16" s="62">
        <v>4.8727064899815341E-2</v>
      </c>
      <c r="I16" s="62">
        <v>5.3571390548346219E-2</v>
      </c>
      <c r="J16" s="62">
        <v>4.8277230118247021E-2</v>
      </c>
      <c r="K16" s="62">
        <v>6.037767762436206E-2</v>
      </c>
      <c r="L16" s="62">
        <v>8.6990750438843412E-2</v>
      </c>
      <c r="M16" s="62">
        <v>9.9021429988591925E-2</v>
      </c>
      <c r="N16" s="62">
        <v>0.12620574782046995</v>
      </c>
      <c r="O16" s="63">
        <f>SUM(Tableau1362[[#This Row],[JANVIER]:[DECEMBRE]])</f>
        <v>1.0000000000000002</v>
      </c>
      <c r="Q16" s="57" t="s">
        <v>51</v>
      </c>
      <c r="R16" s="54" t="s">
        <v>50</v>
      </c>
      <c r="S16" s="64">
        <v>10</v>
      </c>
      <c r="T16" s="57" t="s">
        <v>51</v>
      </c>
      <c r="U16" s="59">
        <v>13838000</v>
      </c>
      <c r="Y16" s="52"/>
      <c r="Z16" s="14"/>
    </row>
    <row r="17" spans="1:26" ht="18" customHeight="1">
      <c r="A17" s="60" t="e" vm="1">
        <v>#REF!</v>
      </c>
      <c r="B17" s="61" t="s">
        <v>52</v>
      </c>
      <c r="C17" s="62">
        <v>3.4500000000000003E-2</v>
      </c>
      <c r="D17" s="62">
        <v>5.4600000000000003E-2</v>
      </c>
      <c r="E17" s="66">
        <v>8.1199999999999994E-2</v>
      </c>
      <c r="F17" s="62">
        <v>9.4100000000000003E-2</v>
      </c>
      <c r="G17" s="62">
        <v>0.1096</v>
      </c>
      <c r="H17" s="62">
        <v>0.1258</v>
      </c>
      <c r="I17" s="62">
        <v>0.1273</v>
      </c>
      <c r="J17" s="62">
        <v>0.1144</v>
      </c>
      <c r="K17" s="62">
        <v>0.1024</v>
      </c>
      <c r="L17" s="62">
        <v>7.5399999999999995E-2</v>
      </c>
      <c r="M17" s="62">
        <v>4.6300000000000001E-2</v>
      </c>
      <c r="N17" s="62">
        <v>3.44E-2</v>
      </c>
      <c r="O17" s="63">
        <f>SUM(Tableau1362[[#This Row],[JANVIER]:[DECEMBRE]])</f>
        <v>1.0000000000000002</v>
      </c>
      <c r="Q17" s="57" t="s">
        <v>53</v>
      </c>
      <c r="R17" s="54" t="s">
        <v>52</v>
      </c>
      <c r="S17" s="64">
        <v>10.15</v>
      </c>
      <c r="T17" s="57" t="s">
        <v>53</v>
      </c>
      <c r="U17" s="67">
        <v>12464000</v>
      </c>
      <c r="Y17" s="52"/>
      <c r="Z17" s="14"/>
    </row>
    <row r="18" spans="1:26" ht="18" customHeight="1">
      <c r="A18" s="60" t="e" vm="1">
        <v>#REF!</v>
      </c>
      <c r="B18" s="61" t="s">
        <v>54</v>
      </c>
      <c r="C18" s="62">
        <v>0.04</v>
      </c>
      <c r="D18" s="62">
        <v>5.8000000000000003E-2</v>
      </c>
      <c r="E18" s="62">
        <v>8.3000000000000004E-2</v>
      </c>
      <c r="F18" s="62">
        <v>0.10100000000000001</v>
      </c>
      <c r="G18" s="62">
        <v>0.11600000000000001</v>
      </c>
      <c r="H18" s="62">
        <v>0.124</v>
      </c>
      <c r="I18" s="62">
        <v>0.126</v>
      </c>
      <c r="J18" s="62">
        <v>0.115</v>
      </c>
      <c r="K18" s="62">
        <v>9.4E-2</v>
      </c>
      <c r="L18" s="62">
        <v>6.6000000000000003E-2</v>
      </c>
      <c r="M18" s="62">
        <v>4.2999999999999997E-2</v>
      </c>
      <c r="N18" s="62">
        <v>3.4000000000000002E-2</v>
      </c>
      <c r="O18" s="56">
        <f>SUM(Tableau1362[[#This Row],[JANVIER]:[DECEMBRE]])</f>
        <v>1</v>
      </c>
      <c r="Q18" s="57" t="s">
        <v>55</v>
      </c>
      <c r="R18" s="54" t="s">
        <v>56</v>
      </c>
      <c r="S18" s="68">
        <v>15.5</v>
      </c>
      <c r="T18" s="57" t="s">
        <v>55</v>
      </c>
      <c r="U18" s="59">
        <v>16031000</v>
      </c>
      <c r="Y18" s="52"/>
      <c r="Z18" s="14"/>
    </row>
    <row r="19" spans="1:26" ht="18" customHeight="1">
      <c r="A19" s="60" t="e" vm="1">
        <v>#REF!</v>
      </c>
      <c r="B19" s="61" t="s">
        <v>57</v>
      </c>
      <c r="C19" s="62">
        <v>0.12176612060804391</v>
      </c>
      <c r="D19" s="62">
        <v>0.10625501038037422</v>
      </c>
      <c r="E19" s="62">
        <v>9.8977038095501069E-2</v>
      </c>
      <c r="F19" s="62">
        <v>7.0932776200440778E-2</v>
      </c>
      <c r="G19" s="62">
        <v>6.66176564496265E-2</v>
      </c>
      <c r="H19" s="62">
        <v>5.1844013328098126E-2</v>
      </c>
      <c r="I19" s="62">
        <v>5.4006650647101015E-2</v>
      </c>
      <c r="J19" s="62">
        <v>5.099989464553259E-2</v>
      </c>
      <c r="K19" s="62">
        <v>6.1352271658090707E-2</v>
      </c>
      <c r="L19" s="62">
        <v>9.1751608510524274E-2</v>
      </c>
      <c r="M19" s="62">
        <v>0.10346140596617377</v>
      </c>
      <c r="N19" s="62">
        <v>0.12203555351049315</v>
      </c>
      <c r="O19" s="63">
        <f>SUM(Tableau1362[[#This Row],[JANVIER]:[DECEMBRE]])</f>
        <v>1</v>
      </c>
      <c r="Q19" s="57" t="s">
        <v>58</v>
      </c>
      <c r="R19" s="54" t="s">
        <v>57</v>
      </c>
      <c r="S19" s="64">
        <v>6</v>
      </c>
      <c r="T19" s="57" t="s">
        <v>58</v>
      </c>
      <c r="U19" s="59">
        <v>11857000</v>
      </c>
      <c r="Y19" s="52"/>
      <c r="Z19" s="14"/>
    </row>
    <row r="20" spans="1:26" ht="18" customHeight="1">
      <c r="A20" s="53" t="e" vm="1">
        <v>#REF!</v>
      </c>
      <c r="B20" s="53" t="s">
        <v>59</v>
      </c>
      <c r="C20" s="62">
        <v>9.9175024616694113E-2</v>
      </c>
      <c r="D20" s="62">
        <v>9.6687924137426856E-2</v>
      </c>
      <c r="E20" s="62">
        <v>9.4883821262127924E-2</v>
      </c>
      <c r="F20" s="62">
        <v>8.5725756464182387E-2</v>
      </c>
      <c r="G20" s="62">
        <v>8.5676428492591522E-2</v>
      </c>
      <c r="H20" s="62">
        <v>7.0073931647108942E-2</v>
      </c>
      <c r="I20" s="62">
        <v>7.4170860714633205E-2</v>
      </c>
      <c r="J20" s="62">
        <v>6.6660132253088727E-2</v>
      </c>
      <c r="K20" s="62">
        <v>6.7555134479269238E-2</v>
      </c>
      <c r="L20" s="62">
        <v>7.7382890875459437E-2</v>
      </c>
      <c r="M20" s="62">
        <v>9.2479198207916863E-2</v>
      </c>
      <c r="N20" s="62">
        <v>8.95288968495008E-2</v>
      </c>
      <c r="O20" s="63">
        <f>SUM(Tableau1362[[#This Row],[JANVIER]:[DECEMBRE]])</f>
        <v>1</v>
      </c>
      <c r="Q20" s="57" t="s">
        <v>60</v>
      </c>
      <c r="R20" s="54" t="s">
        <v>59</v>
      </c>
      <c r="S20" s="64">
        <v>11.5</v>
      </c>
      <c r="T20" s="57" t="s">
        <v>60</v>
      </c>
      <c r="U20" s="67">
        <v>32618423.380199999</v>
      </c>
      <c r="Y20" s="52"/>
      <c r="Z20" s="14"/>
    </row>
    <row r="21" spans="1:26" ht="18" customHeight="1">
      <c r="A21" s="60" t="e" vm="1">
        <v>#REF!</v>
      </c>
      <c r="B21" s="60" t="s">
        <v>61</v>
      </c>
      <c r="C21" s="62">
        <v>7.0999999999999994E-2</v>
      </c>
      <c r="D21" s="62">
        <v>6.7199999999999996E-2</v>
      </c>
      <c r="E21" s="62">
        <v>7.8700000000000006E-2</v>
      </c>
      <c r="F21" s="62">
        <v>7.0999999999999994E-2</v>
      </c>
      <c r="G21" s="62">
        <v>6.8000000000000005E-2</v>
      </c>
      <c r="H21" s="62">
        <v>6.9500000000000006E-2</v>
      </c>
      <c r="I21" s="62">
        <v>8.1699999999999995E-2</v>
      </c>
      <c r="J21" s="62">
        <v>9.4700000000000006E-2</v>
      </c>
      <c r="K21" s="62">
        <v>0.1047</v>
      </c>
      <c r="L21" s="62">
        <v>0.1115</v>
      </c>
      <c r="M21" s="66">
        <v>0.10100000000000001</v>
      </c>
      <c r="N21" s="62">
        <v>8.1000000000000003E-2</v>
      </c>
      <c r="O21" s="63">
        <f>SUM(Tableau1362[[#This Row],[JANVIER]:[DECEMBRE]])</f>
        <v>1</v>
      </c>
      <c r="Q21" s="57" t="s">
        <v>62</v>
      </c>
      <c r="R21" s="54" t="s">
        <v>61</v>
      </c>
      <c r="S21" s="64">
        <v>0.54400000000000004</v>
      </c>
      <c r="T21" s="57" t="s">
        <v>62</v>
      </c>
      <c r="U21" s="59">
        <v>465000</v>
      </c>
      <c r="Y21" s="52"/>
      <c r="Z21" s="14"/>
    </row>
    <row r="22" spans="1:26" ht="18" customHeight="1">
      <c r="A22" s="60" t="e" vm="1">
        <v>#REF!</v>
      </c>
      <c r="B22" s="60" t="s">
        <v>63</v>
      </c>
      <c r="C22" s="62">
        <v>0.11875403742835011</v>
      </c>
      <c r="D22" s="62">
        <v>0.10639740108461115</v>
      </c>
      <c r="E22" s="62">
        <v>0.1009813037578343</v>
      </c>
      <c r="F22" s="62">
        <v>7.5157419137514545E-2</v>
      </c>
      <c r="G22" s="62">
        <v>6.8658291878114661E-2</v>
      </c>
      <c r="H22" s="62">
        <v>5.3270179239132333E-2</v>
      </c>
      <c r="I22" s="62">
        <v>5.7153206148710785E-2</v>
      </c>
      <c r="J22" s="62">
        <v>5.1862699195441821E-2</v>
      </c>
      <c r="K22" s="62">
        <v>6.1004760649360182E-2</v>
      </c>
      <c r="L22" s="62">
        <v>8.3543544252718802E-2</v>
      </c>
      <c r="M22" s="62">
        <v>0.10070194248618383</v>
      </c>
      <c r="N22" s="62">
        <v>0.12251521474202759</v>
      </c>
      <c r="O22" s="63">
        <f>SUM(Tableau1362[[#This Row],[JANVIER]:[DECEMBRE]])</f>
        <v>1.0000000000000002</v>
      </c>
      <c r="Q22" s="57" t="s">
        <v>64</v>
      </c>
      <c r="R22" s="54" t="s">
        <v>63</v>
      </c>
      <c r="S22" s="64">
        <v>24</v>
      </c>
      <c r="T22" s="57" t="s">
        <v>64</v>
      </c>
      <c r="U22" s="59">
        <v>45471662.513999999</v>
      </c>
      <c r="Y22" s="52"/>
      <c r="Z22" s="14"/>
    </row>
    <row r="23" spans="1:26" ht="18" customHeight="1">
      <c r="A23" s="60" t="e" vm="1">
        <v>#REF!</v>
      </c>
      <c r="B23" s="61" t="s">
        <v>65</v>
      </c>
      <c r="C23" s="62">
        <v>0.12221085977024648</v>
      </c>
      <c r="D23" s="62">
        <v>0.10411321256977334</v>
      </c>
      <c r="E23" s="62">
        <v>9.6957423324609243E-2</v>
      </c>
      <c r="F23" s="62">
        <v>6.8989697043452466E-2</v>
      </c>
      <c r="G23" s="62">
        <v>6.9034420443604569E-2</v>
      </c>
      <c r="H23" s="62">
        <v>5.4184759305744325E-2</v>
      </c>
      <c r="I23" s="62">
        <v>5.6492830431894729E-2</v>
      </c>
      <c r="J23" s="62">
        <v>5.3746162482614573E-2</v>
      </c>
      <c r="K23" s="62">
        <v>6.2452709626075617E-2</v>
      </c>
      <c r="L23" s="62">
        <v>9.1194480841917266E-2</v>
      </c>
      <c r="M23" s="62">
        <v>0.10127940408248218</v>
      </c>
      <c r="N23" s="62">
        <v>0.11934404007758523</v>
      </c>
      <c r="O23" s="63">
        <f>SUM(Tableau1362[[#This Row],[JANVIER]:[DECEMBRE]])</f>
        <v>1</v>
      </c>
      <c r="Q23" s="57" t="s">
        <v>66</v>
      </c>
      <c r="R23" s="54" t="s">
        <v>65</v>
      </c>
      <c r="S23" s="64">
        <v>19.8</v>
      </c>
      <c r="T23" s="57" t="s">
        <v>66</v>
      </c>
      <c r="U23" s="59">
        <v>44495851</v>
      </c>
      <c r="Y23" s="52"/>
      <c r="Z23" s="14"/>
    </row>
    <row r="24" spans="1:26" ht="18" customHeight="1">
      <c r="A24" s="60" t="e" vm="1">
        <v>#REF!</v>
      </c>
      <c r="B24" s="61" t="s">
        <v>67</v>
      </c>
      <c r="C24" s="62">
        <v>0.10361334246797148</v>
      </c>
      <c r="D24" s="62">
        <v>9.8870613754522718E-2</v>
      </c>
      <c r="E24" s="62">
        <v>9.9460235397552138E-2</v>
      </c>
      <c r="F24" s="62">
        <v>8.7169746680134552E-2</v>
      </c>
      <c r="G24" s="62">
        <v>8.3152394717007319E-2</v>
      </c>
      <c r="H24" s="62">
        <v>6.2828967923398371E-2</v>
      </c>
      <c r="I24" s="62">
        <v>6.7815168597989597E-2</v>
      </c>
      <c r="J24" s="62">
        <v>5.949986678975324E-2</v>
      </c>
      <c r="K24" s="62">
        <v>6.3045995203108024E-2</v>
      </c>
      <c r="L24" s="62">
        <v>8.2097363908559651E-2</v>
      </c>
      <c r="M24" s="62">
        <v>9.5722533787104963E-2</v>
      </c>
      <c r="N24" s="62">
        <v>9.6723770772897857E-2</v>
      </c>
      <c r="O24" s="63">
        <f>SUM(Tableau1362[[#This Row],[JANVIER]:[DECEMBRE]])</f>
        <v>0.99999999999999989</v>
      </c>
      <c r="Q24" s="57" t="s">
        <v>68</v>
      </c>
      <c r="R24" s="54" t="s">
        <v>67</v>
      </c>
      <c r="S24" s="64">
        <v>11.5</v>
      </c>
      <c r="T24" s="57" t="s">
        <v>68</v>
      </c>
      <c r="U24" s="59">
        <v>27171129</v>
      </c>
      <c r="V24" s="70"/>
      <c r="Y24" s="52"/>
      <c r="Z24" s="14"/>
    </row>
    <row r="25" spans="1:26" ht="18" customHeight="1">
      <c r="A25" s="60" t="e" vm="1">
        <v>#REF!</v>
      </c>
      <c r="B25" s="54" t="s">
        <v>69</v>
      </c>
      <c r="C25" s="62">
        <v>0.04</v>
      </c>
      <c r="D25" s="62">
        <v>5.8000000000000003E-2</v>
      </c>
      <c r="E25" s="62">
        <v>8.3000000000000004E-2</v>
      </c>
      <c r="F25" s="62">
        <v>0.10100000000000001</v>
      </c>
      <c r="G25" s="62">
        <v>0.11600000000000001</v>
      </c>
      <c r="H25" s="62">
        <v>0.124</v>
      </c>
      <c r="I25" s="62">
        <v>0.126</v>
      </c>
      <c r="J25" s="62">
        <v>0.115</v>
      </c>
      <c r="K25" s="62">
        <v>9.4E-2</v>
      </c>
      <c r="L25" s="62">
        <v>6.6000000000000003E-2</v>
      </c>
      <c r="M25" s="62">
        <v>4.2999999999999997E-2</v>
      </c>
      <c r="N25" s="62">
        <v>3.4000000000000002E-2</v>
      </c>
      <c r="O25" s="56">
        <f>SUM(Tableau1362[[#This Row],[JANVIER]:[DECEMBRE]])</f>
        <v>1</v>
      </c>
      <c r="Q25" s="14" t="s">
        <v>70</v>
      </c>
      <c r="R25" s="54" t="s">
        <v>69</v>
      </c>
      <c r="S25" s="64">
        <v>12.8</v>
      </c>
      <c r="T25" s="14" t="s">
        <v>70</v>
      </c>
      <c r="U25" s="59">
        <v>14259200</v>
      </c>
      <c r="Y25" s="52"/>
      <c r="Z25" s="14"/>
    </row>
    <row r="26" spans="1:26" ht="18" customHeight="1">
      <c r="A26" s="60" t="e" vm="1">
        <v>#REF!</v>
      </c>
      <c r="B26" s="61" t="s">
        <v>71</v>
      </c>
      <c r="C26" s="62">
        <v>2.7099999999999999E-2</v>
      </c>
      <c r="D26" s="62">
        <v>4.4299999999999999E-2</v>
      </c>
      <c r="E26" s="62">
        <v>9.0300000000000005E-2</v>
      </c>
      <c r="F26" s="62">
        <v>0.1111</v>
      </c>
      <c r="G26" s="62">
        <v>0.1234</v>
      </c>
      <c r="H26" s="62">
        <v>0.13170000000000001</v>
      </c>
      <c r="I26" s="62">
        <v>0.13669999999999999</v>
      </c>
      <c r="J26" s="62">
        <v>0.1202</v>
      </c>
      <c r="K26" s="62">
        <v>9.6299999999999997E-2</v>
      </c>
      <c r="L26" s="62">
        <v>6.4500000000000002E-2</v>
      </c>
      <c r="M26" s="62">
        <v>3.3500000000000002E-2</v>
      </c>
      <c r="N26" s="62">
        <v>2.0899999999999998E-2</v>
      </c>
      <c r="O26" s="56">
        <f>SUM(Tableau1362[[#This Row],[JANVIER]:[DECEMBRE]])</f>
        <v>1</v>
      </c>
      <c r="Q26" s="14" t="s">
        <v>72</v>
      </c>
      <c r="R26" s="54" t="s">
        <v>71</v>
      </c>
      <c r="S26" s="64">
        <v>4.8</v>
      </c>
      <c r="T26" s="14" t="s">
        <v>72</v>
      </c>
      <c r="U26" s="59">
        <v>5419000</v>
      </c>
      <c r="Y26" s="52"/>
      <c r="Z26" s="14"/>
    </row>
    <row r="27" spans="1:26" ht="18" customHeight="1">
      <c r="A27" s="60" t="e" vm="1">
        <v>#REF!</v>
      </c>
      <c r="B27" s="54" t="s">
        <v>73</v>
      </c>
      <c r="C27" s="62">
        <v>2.92E-2</v>
      </c>
      <c r="D27" s="62">
        <v>4.6199999999999998E-2</v>
      </c>
      <c r="E27" s="62">
        <v>8.8599999999999998E-2</v>
      </c>
      <c r="F27" s="62">
        <v>0.10979999999999999</v>
      </c>
      <c r="G27" s="62">
        <v>0.1182</v>
      </c>
      <c r="H27" s="62">
        <v>0.13289999999999999</v>
      </c>
      <c r="I27" s="62">
        <v>0.13400000000000001</v>
      </c>
      <c r="J27" s="62">
        <v>0.1232</v>
      </c>
      <c r="K27" s="62">
        <v>9.6199999999999994E-2</v>
      </c>
      <c r="L27" s="62">
        <v>6.2600000000000003E-2</v>
      </c>
      <c r="M27" s="62">
        <v>3.5000000000000003E-2</v>
      </c>
      <c r="N27" s="62">
        <v>2.41E-2</v>
      </c>
      <c r="O27" s="56">
        <f>SUM(Tableau1362[[#This Row],[JANVIER]:[DECEMBRE]])</f>
        <v>1</v>
      </c>
      <c r="Q27" s="14" t="s">
        <v>74</v>
      </c>
      <c r="R27" s="54" t="s">
        <v>73</v>
      </c>
      <c r="S27" s="64">
        <v>2.7</v>
      </c>
      <c r="T27" s="14" t="s">
        <v>74</v>
      </c>
      <c r="U27" s="59">
        <v>2926000</v>
      </c>
      <c r="Y27" s="52"/>
      <c r="Z27" s="14"/>
    </row>
    <row r="28" spans="1:26" ht="18" customHeight="1">
      <c r="A28" s="60" t="e" vm="1">
        <v>#REF!</v>
      </c>
      <c r="B28" s="54" t="s">
        <v>75</v>
      </c>
      <c r="C28" s="62">
        <v>0.03</v>
      </c>
      <c r="D28" s="62">
        <v>4.2999999999999997E-2</v>
      </c>
      <c r="E28" s="62">
        <v>8.2000000000000003E-2</v>
      </c>
      <c r="F28" s="62">
        <v>0.109</v>
      </c>
      <c r="G28" s="62">
        <v>0.122</v>
      </c>
      <c r="H28" s="62">
        <v>0.13100000000000001</v>
      </c>
      <c r="I28" s="62">
        <v>0.14399999999999999</v>
      </c>
      <c r="J28" s="62">
        <v>0.12</v>
      </c>
      <c r="K28" s="62">
        <v>9.9000000000000005E-2</v>
      </c>
      <c r="L28" s="62">
        <v>6.3E-2</v>
      </c>
      <c r="M28" s="62">
        <v>3.4000000000000002E-2</v>
      </c>
      <c r="N28" s="62">
        <v>2.3E-2</v>
      </c>
      <c r="O28" s="56">
        <f>SUM(Tableau1362[[#This Row],[JANVIER]:[DECEMBRE]])</f>
        <v>1</v>
      </c>
      <c r="Q28" s="71" t="s">
        <v>76</v>
      </c>
      <c r="R28" s="54" t="s">
        <v>75</v>
      </c>
      <c r="S28" s="64">
        <v>5</v>
      </c>
      <c r="T28" s="71" t="s">
        <v>76</v>
      </c>
      <c r="U28" s="59">
        <v>5645000</v>
      </c>
      <c r="Y28" s="52"/>
      <c r="Z28" s="14"/>
    </row>
    <row r="29" spans="1:26" ht="18" customHeight="1">
      <c r="A29" s="60" t="e" vm="1">
        <v>#REF!</v>
      </c>
      <c r="B29" s="61" t="s">
        <v>77</v>
      </c>
      <c r="C29" s="62">
        <v>0.04</v>
      </c>
      <c r="D29" s="62">
        <v>5.8000000000000003E-2</v>
      </c>
      <c r="E29" s="62">
        <v>8.3000000000000004E-2</v>
      </c>
      <c r="F29" s="62">
        <v>0.10100000000000001</v>
      </c>
      <c r="G29" s="62">
        <v>0.11600000000000001</v>
      </c>
      <c r="H29" s="62">
        <v>0.123</v>
      </c>
      <c r="I29" s="62">
        <v>0.127</v>
      </c>
      <c r="J29" s="62">
        <v>0.115</v>
      </c>
      <c r="K29" s="62">
        <v>9.4E-2</v>
      </c>
      <c r="L29" s="62">
        <v>6.6000000000000003E-2</v>
      </c>
      <c r="M29" s="62">
        <v>4.2999999999999997E-2</v>
      </c>
      <c r="N29" s="62">
        <v>3.4000000000000002E-2</v>
      </c>
      <c r="O29" s="56">
        <f>SUM(Tableau1362[[#This Row],[JANVIER]:[DECEMBRE]])</f>
        <v>1</v>
      </c>
      <c r="Q29" s="57" t="s">
        <v>78</v>
      </c>
      <c r="R29" s="61" t="s">
        <v>77</v>
      </c>
      <c r="S29" s="64">
        <v>3.6</v>
      </c>
      <c r="T29" s="57" t="s">
        <v>78</v>
      </c>
      <c r="U29" s="59">
        <v>3581000</v>
      </c>
      <c r="Y29" s="52"/>
      <c r="Z29" s="14"/>
    </row>
    <row r="30" spans="1:26" ht="18" customHeight="1">
      <c r="A30" s="60" t="e" vm="1">
        <v>#REF!</v>
      </c>
      <c r="B30" s="54" t="s">
        <v>79</v>
      </c>
      <c r="C30" s="62">
        <v>0.04</v>
      </c>
      <c r="D30" s="62">
        <v>5.8000000000000003E-2</v>
      </c>
      <c r="E30" s="62">
        <v>8.3000000000000004E-2</v>
      </c>
      <c r="F30" s="62">
        <v>0.10100000000000001</v>
      </c>
      <c r="G30" s="62">
        <v>0.11600000000000001</v>
      </c>
      <c r="H30" s="62">
        <v>0.124</v>
      </c>
      <c r="I30" s="62">
        <v>0.126</v>
      </c>
      <c r="J30" s="62">
        <v>0.115</v>
      </c>
      <c r="K30" s="62">
        <v>9.4E-2</v>
      </c>
      <c r="L30" s="62">
        <v>6.6000000000000003E-2</v>
      </c>
      <c r="M30" s="62">
        <v>4.2999999999999997E-2</v>
      </c>
      <c r="N30" s="62">
        <v>3.4000000000000002E-2</v>
      </c>
      <c r="O30" s="56">
        <f>SUM(Tableau1362[[#This Row],[JANVIER]:[DECEMBRE]])</f>
        <v>1</v>
      </c>
      <c r="Q30" s="14" t="s">
        <v>80</v>
      </c>
      <c r="R30" s="54" t="s">
        <v>79</v>
      </c>
      <c r="S30" s="64">
        <v>8.1999999999999993</v>
      </c>
      <c r="T30" s="14" t="s">
        <v>80</v>
      </c>
      <c r="U30" s="59">
        <v>9819000</v>
      </c>
      <c r="Y30" s="52"/>
      <c r="Z30" s="14"/>
    </row>
    <row r="31" spans="1:26" ht="18" customHeight="1">
      <c r="A31" s="60" t="e" vm="1">
        <v>#REF!</v>
      </c>
      <c r="B31" s="61" t="s">
        <v>81</v>
      </c>
      <c r="C31" s="62">
        <v>7.0900000000000005E-2</v>
      </c>
      <c r="D31" s="62">
        <v>6.7100000000000007E-2</v>
      </c>
      <c r="E31" s="62">
        <v>7.8600000000000003E-2</v>
      </c>
      <c r="F31" s="62">
        <v>7.0900000000000005E-2</v>
      </c>
      <c r="G31" s="62">
        <v>6.7900000000000002E-2</v>
      </c>
      <c r="H31" s="62">
        <v>7.0199999999999999E-2</v>
      </c>
      <c r="I31" s="62">
        <v>8.1600000000000006E-2</v>
      </c>
      <c r="J31" s="62">
        <v>9.4600000000000004E-2</v>
      </c>
      <c r="K31" s="62">
        <v>0.1045</v>
      </c>
      <c r="L31" s="62">
        <v>0.1114</v>
      </c>
      <c r="M31" s="62">
        <v>0.1007</v>
      </c>
      <c r="N31" s="62">
        <v>8.1600000000000006E-2</v>
      </c>
      <c r="O31" s="63">
        <f>SUM(Tableau1362[[#This Row],[JANVIER]:[DECEMBRE]])</f>
        <v>1</v>
      </c>
      <c r="Q31" s="57" t="s">
        <v>82</v>
      </c>
      <c r="R31" s="54" t="s">
        <v>81</v>
      </c>
      <c r="S31" s="64">
        <v>0.54400000000000004</v>
      </c>
      <c r="T31" s="57" t="s">
        <v>82</v>
      </c>
      <c r="U31" s="59">
        <v>636000</v>
      </c>
      <c r="Y31" s="52"/>
      <c r="Z31" s="14"/>
    </row>
    <row r="32" spans="1:26" ht="18" customHeight="1">
      <c r="A32" s="60" t="e" vm="1">
        <v>#REF!</v>
      </c>
      <c r="B32" s="61" t="s">
        <v>83</v>
      </c>
      <c r="C32" s="62">
        <v>0.04</v>
      </c>
      <c r="D32" s="62">
        <v>5.8000000000000003E-2</v>
      </c>
      <c r="E32" s="62">
        <v>8.3000000000000004E-2</v>
      </c>
      <c r="F32" s="62">
        <v>0.10100000000000001</v>
      </c>
      <c r="G32" s="62">
        <v>0.11600000000000001</v>
      </c>
      <c r="H32" s="62">
        <v>0.123</v>
      </c>
      <c r="I32" s="62">
        <v>0.127</v>
      </c>
      <c r="J32" s="62">
        <v>0.115</v>
      </c>
      <c r="K32" s="62">
        <v>9.4E-2</v>
      </c>
      <c r="L32" s="62">
        <v>6.6000000000000003E-2</v>
      </c>
      <c r="M32" s="62">
        <v>4.2999999999999997E-2</v>
      </c>
      <c r="N32" s="62">
        <v>3.4000000000000002E-2</v>
      </c>
      <c r="O32" s="56">
        <f>SUM(Tableau1362[[#This Row],[JANVIER]:[DECEMBRE]])</f>
        <v>1</v>
      </c>
      <c r="Q32" s="57" t="s">
        <v>84</v>
      </c>
      <c r="R32" s="54" t="s">
        <v>85</v>
      </c>
      <c r="S32" s="64">
        <v>14.4</v>
      </c>
      <c r="T32" s="57" t="s">
        <v>84</v>
      </c>
      <c r="U32" s="59">
        <v>15603000</v>
      </c>
      <c r="Y32" s="52"/>
      <c r="Z32" s="14"/>
    </row>
    <row r="33" spans="1:31" ht="18" customHeight="1">
      <c r="A33" s="60" t="e" vm="1">
        <v>#REF!</v>
      </c>
      <c r="B33" s="61" t="s">
        <v>86</v>
      </c>
      <c r="C33" s="62">
        <v>0.11581738044655197</v>
      </c>
      <c r="D33" s="62">
        <v>0.10254734894305664</v>
      </c>
      <c r="E33" s="62">
        <v>9.7012571085614674E-2</v>
      </c>
      <c r="F33" s="62">
        <v>7.3116479217240307E-2</v>
      </c>
      <c r="G33" s="62">
        <v>6.9053800823475744E-2</v>
      </c>
      <c r="H33" s="62">
        <v>5.7410163995563999E-2</v>
      </c>
      <c r="I33" s="62">
        <v>5.9470358878294001E-2</v>
      </c>
      <c r="J33" s="62">
        <v>5.6682385001707122E-2</v>
      </c>
      <c r="K33" s="62">
        <v>6.499438477635959E-2</v>
      </c>
      <c r="L33" s="62">
        <v>8.8658114855989484E-2</v>
      </c>
      <c r="M33" s="62">
        <v>9.9151154184995371E-2</v>
      </c>
      <c r="N33" s="62">
        <v>0.1160858577911511</v>
      </c>
      <c r="O33" s="63">
        <f>SUM(Tableau1362[[#This Row],[JANVIER]:[DECEMBRE]])</f>
        <v>0.99999999999999989</v>
      </c>
      <c r="Q33" s="57" t="s">
        <v>87</v>
      </c>
      <c r="R33" s="54" t="s">
        <v>86</v>
      </c>
      <c r="S33" s="64">
        <v>72.599999999999994</v>
      </c>
      <c r="T33" s="57" t="s">
        <v>87</v>
      </c>
      <c r="U33" s="59">
        <v>141913307.9118</v>
      </c>
      <c r="Y33" s="52"/>
      <c r="Z33" s="14"/>
    </row>
    <row r="34" spans="1:31" ht="18" customHeight="1">
      <c r="A34" s="60" t="e" vm="1">
        <v>#REF!</v>
      </c>
      <c r="B34" s="54" t="s">
        <v>88</v>
      </c>
      <c r="C34" s="62">
        <v>0.122</v>
      </c>
      <c r="D34" s="62">
        <v>0.10100000000000001</v>
      </c>
      <c r="E34" s="62">
        <v>9.9000000000000005E-2</v>
      </c>
      <c r="F34" s="62">
        <v>7.0999999999999994E-2</v>
      </c>
      <c r="G34" s="62">
        <v>6.8000000000000005E-2</v>
      </c>
      <c r="H34" s="62">
        <v>5.5E-2</v>
      </c>
      <c r="I34" s="62">
        <v>5.5E-2</v>
      </c>
      <c r="J34" s="62">
        <v>5.6000000000000001E-2</v>
      </c>
      <c r="K34" s="62">
        <v>0.06</v>
      </c>
      <c r="L34" s="62">
        <v>8.4000000000000005E-2</v>
      </c>
      <c r="M34" s="62">
        <v>0.104</v>
      </c>
      <c r="N34" s="62">
        <v>0.125</v>
      </c>
      <c r="O34" s="63">
        <f>SUM(Tableau1362[[#This Row],[JANVIER]:[DECEMBRE]])</f>
        <v>1</v>
      </c>
      <c r="Q34" s="57" t="s">
        <v>89</v>
      </c>
      <c r="R34" s="54" t="s">
        <v>88</v>
      </c>
      <c r="S34" s="64">
        <v>25.2</v>
      </c>
      <c r="T34" s="57" t="s">
        <v>89</v>
      </c>
      <c r="U34" s="59">
        <v>35523000</v>
      </c>
      <c r="Y34" s="52"/>
      <c r="Z34" s="14"/>
    </row>
    <row r="35" spans="1:31" ht="18" customHeight="1">
      <c r="A35" s="60" t="e" vm="1">
        <v>#REF!</v>
      </c>
      <c r="B35" s="61" t="s">
        <v>90</v>
      </c>
      <c r="C35" s="62">
        <v>0.11292160067656848</v>
      </c>
      <c r="D35" s="62">
        <v>0.10259735503875114</v>
      </c>
      <c r="E35" s="62">
        <v>9.8093435302019041E-2</v>
      </c>
      <c r="F35" s="62">
        <v>7.6467868263067187E-2</v>
      </c>
      <c r="G35" s="62">
        <v>7.1009045751867853E-2</v>
      </c>
      <c r="H35" s="62">
        <v>5.8231296144216391E-2</v>
      </c>
      <c r="I35" s="62">
        <v>6.151674738997838E-2</v>
      </c>
      <c r="J35" s="62">
        <v>5.7116873357522989E-2</v>
      </c>
      <c r="K35" s="62">
        <v>6.4728985936712072E-2</v>
      </c>
      <c r="L35" s="62">
        <v>8.3312000547364304E-2</v>
      </c>
      <c r="M35" s="62">
        <v>9.7713105789525204E-2</v>
      </c>
      <c r="N35" s="62">
        <v>0.11629168580240701</v>
      </c>
      <c r="O35" s="63">
        <f>SUM(Tableau1362[[#This Row],[JANVIER]:[DECEMBRE]])</f>
        <v>1</v>
      </c>
      <c r="Q35" s="57" t="s">
        <v>91</v>
      </c>
      <c r="R35" s="54" t="s">
        <v>90</v>
      </c>
      <c r="S35" s="64">
        <v>52</v>
      </c>
      <c r="T35" s="57" t="s">
        <v>91</v>
      </c>
      <c r="U35" s="59">
        <v>131378451.8409</v>
      </c>
      <c r="Y35" s="52"/>
      <c r="Z35" s="14"/>
    </row>
    <row r="36" spans="1:31" ht="18" customHeight="1">
      <c r="A36" s="60" t="e" vm="1">
        <v>#REF!</v>
      </c>
      <c r="B36" s="61" t="s">
        <v>92</v>
      </c>
      <c r="C36" s="62">
        <v>0.11196572788029031</v>
      </c>
      <c r="D36" s="62">
        <v>0.10177987707960064</v>
      </c>
      <c r="E36" s="62">
        <v>9.8126346701451456E-2</v>
      </c>
      <c r="F36" s="62">
        <v>7.6107715786864344E-2</v>
      </c>
      <c r="G36" s="62">
        <v>7.0102673637445836E-2</v>
      </c>
      <c r="H36" s="62">
        <v>5.9354143800668453E-2</v>
      </c>
      <c r="I36" s="62">
        <v>6.1872961723215644E-2</v>
      </c>
      <c r="J36" s="62">
        <v>5.7310125202021979E-2</v>
      </c>
      <c r="K36" s="62">
        <v>6.5739197049270559E-2</v>
      </c>
      <c r="L36" s="62">
        <v>8.4247059207996425E-2</v>
      </c>
      <c r="M36" s="62">
        <v>9.7299985618786611E-2</v>
      </c>
      <c r="N36" s="62">
        <v>0.11609418631238758</v>
      </c>
      <c r="O36" s="63">
        <f>SUM(Tableau1362[[#This Row],[JANVIER]:[DECEMBRE]])</f>
        <v>0.99999999999999989</v>
      </c>
      <c r="Q36" s="57" t="s">
        <v>93</v>
      </c>
      <c r="R36" s="61" t="s">
        <v>92</v>
      </c>
      <c r="S36" s="64">
        <v>18</v>
      </c>
      <c r="T36" s="57" t="s">
        <v>93</v>
      </c>
      <c r="U36" s="59">
        <v>47133000</v>
      </c>
      <c r="Y36" s="52"/>
      <c r="Z36" s="14"/>
    </row>
    <row r="37" spans="1:31" ht="18" customHeight="1">
      <c r="A37" s="60" t="e" vm="1">
        <v>#REF!</v>
      </c>
      <c r="B37" s="61" t="s">
        <v>94</v>
      </c>
      <c r="C37" s="62">
        <v>0.12397419298638142</v>
      </c>
      <c r="D37" s="62">
        <v>0.10898542151947534</v>
      </c>
      <c r="E37" s="62">
        <v>0.10447673280308846</v>
      </c>
      <c r="F37" s="62">
        <v>7.2955647405484506E-2</v>
      </c>
      <c r="G37" s="62">
        <v>6.5091409998454072E-2</v>
      </c>
      <c r="H37" s="62">
        <v>4.9629474253499749E-2</v>
      </c>
      <c r="I37" s="62">
        <v>5.3058844270294649E-2</v>
      </c>
      <c r="J37" s="62">
        <v>4.6562008786861397E-2</v>
      </c>
      <c r="K37" s="62">
        <v>5.8752026897796093E-2</v>
      </c>
      <c r="L37" s="62">
        <v>8.5654281415352557E-2</v>
      </c>
      <c r="M37" s="62">
        <v>0.10293014808111216</v>
      </c>
      <c r="N37" s="62">
        <v>0.12792981158219965</v>
      </c>
      <c r="O37" s="63">
        <f>SUM(Tableau1362[[#This Row],[JANVIER]:[DECEMBRE]])</f>
        <v>1</v>
      </c>
      <c r="Q37" s="57" t="s">
        <v>95</v>
      </c>
      <c r="R37" s="54" t="s">
        <v>94</v>
      </c>
      <c r="S37" s="64">
        <v>10.02</v>
      </c>
      <c r="T37" s="57" t="s">
        <v>95</v>
      </c>
      <c r="U37" s="59">
        <v>17580216.3402</v>
      </c>
      <c r="Y37" s="52"/>
      <c r="Z37" s="14"/>
    </row>
    <row r="38" spans="1:31" ht="18" customHeight="1">
      <c r="A38" s="60" t="e" vm="1">
        <v>#REF!</v>
      </c>
      <c r="B38" s="61" t="s">
        <v>96</v>
      </c>
      <c r="C38" s="62">
        <v>0.1209562084946009</v>
      </c>
      <c r="D38" s="62">
        <v>0.10708050107762251</v>
      </c>
      <c r="E38" s="62">
        <v>0.10290662694784837</v>
      </c>
      <c r="F38" s="62">
        <v>7.3726292895225504E-2</v>
      </c>
      <c r="G38" s="62">
        <v>6.6446052646146878E-2</v>
      </c>
      <c r="H38" s="62">
        <v>5.2132318063509257E-2</v>
      </c>
      <c r="I38" s="62">
        <v>5.5307023547722281E-2</v>
      </c>
      <c r="J38" s="62">
        <v>4.9292642148726334E-2</v>
      </c>
      <c r="K38" s="62">
        <v>6.0577431238242656E-2</v>
      </c>
      <c r="L38" s="62">
        <v>8.5481928138931754E-2</v>
      </c>
      <c r="M38" s="62">
        <v>0.10147489138866037</v>
      </c>
      <c r="N38" s="62">
        <v>0.12461808341276334</v>
      </c>
      <c r="O38" s="63">
        <f>SUM(Tableau1362[[#This Row],[JANVIER]:[DECEMBRE]])</f>
        <v>1.0000000000000002</v>
      </c>
      <c r="Q38" s="57" t="s">
        <v>97</v>
      </c>
      <c r="R38" s="54" t="s">
        <v>96</v>
      </c>
      <c r="S38" s="64">
        <v>4</v>
      </c>
      <c r="T38" s="57" t="s">
        <v>97</v>
      </c>
      <c r="U38" s="59">
        <v>8408162</v>
      </c>
      <c r="Y38" s="52"/>
      <c r="Z38" s="14"/>
    </row>
    <row r="39" spans="1:31" ht="18" customHeight="1">
      <c r="A39" s="60" t="e" vm="1">
        <v>#REF!</v>
      </c>
      <c r="B39" s="61" t="s">
        <v>98</v>
      </c>
      <c r="C39" s="62">
        <v>0.1123985768295008</v>
      </c>
      <c r="D39" s="62">
        <v>0.10066811886295697</v>
      </c>
      <c r="E39" s="62">
        <v>9.5164067462620711E-2</v>
      </c>
      <c r="F39" s="62">
        <v>7.3955267413227041E-2</v>
      </c>
      <c r="G39" s="62">
        <v>7.069190778812208E-2</v>
      </c>
      <c r="H39" s="62">
        <v>5.9519167919336827E-2</v>
      </c>
      <c r="I39" s="62">
        <v>6.1154687607810718E-2</v>
      </c>
      <c r="J39" s="62">
        <v>5.8880793323368465E-2</v>
      </c>
      <c r="K39" s="62">
        <v>6.6709899146045082E-2</v>
      </c>
      <c r="L39" s="62">
        <v>8.9699752091719875E-2</v>
      </c>
      <c r="M39" s="62">
        <v>9.8555422951772192E-2</v>
      </c>
      <c r="N39" s="62">
        <v>0.11260233860351919</v>
      </c>
      <c r="O39" s="63">
        <f>SUM(Tableau1362[[#This Row],[JANVIER]:[DECEMBRE]])</f>
        <v>1</v>
      </c>
      <c r="Q39" s="57" t="s">
        <v>99</v>
      </c>
      <c r="R39" s="54" t="s">
        <v>98</v>
      </c>
      <c r="S39" s="64">
        <v>13.2</v>
      </c>
      <c r="T39" s="57" t="s">
        <v>99</v>
      </c>
      <c r="U39" s="59">
        <v>32872533.192000002</v>
      </c>
      <c r="Y39" s="52"/>
      <c r="Z39" s="14"/>
    </row>
    <row r="40" spans="1:31" ht="18" customHeight="1">
      <c r="A40" s="60" t="e" vm="1">
        <v>#REF!</v>
      </c>
      <c r="B40" s="61" t="s">
        <v>100</v>
      </c>
      <c r="C40" s="62">
        <v>0.12401207173779107</v>
      </c>
      <c r="D40" s="62">
        <v>0.10244079155921279</v>
      </c>
      <c r="E40" s="62">
        <v>9.8264740448155502E-2</v>
      </c>
      <c r="F40" s="62">
        <v>6.6498827088188162E-2</v>
      </c>
      <c r="G40" s="62">
        <v>6.8952187265887699E-2</v>
      </c>
      <c r="H40" s="62">
        <v>5.0979883543007046E-2</v>
      </c>
      <c r="I40" s="62">
        <v>5.0646642185495458E-2</v>
      </c>
      <c r="J40" s="62">
        <v>4.8681514955221883E-2</v>
      </c>
      <c r="K40" s="62">
        <v>6.4168591776435205E-2</v>
      </c>
      <c r="L40" s="62">
        <v>9.5169817031521692E-2</v>
      </c>
      <c r="M40" s="62">
        <v>0.10710303675147044</v>
      </c>
      <c r="N40" s="62">
        <v>0.12308189565761307</v>
      </c>
      <c r="O40" s="56">
        <f>SUM(Tableau1362[[#This Row],[JANVIER]:[DECEMBRE]])</f>
        <v>1</v>
      </c>
      <c r="Q40" s="57" t="s">
        <v>101</v>
      </c>
      <c r="R40" s="54" t="s">
        <v>100</v>
      </c>
      <c r="S40" s="64">
        <v>3.3</v>
      </c>
      <c r="T40" s="57" t="s">
        <v>101</v>
      </c>
      <c r="U40" s="59">
        <v>5042428.1924000001</v>
      </c>
      <c r="Y40" s="52"/>
      <c r="Z40" s="14"/>
    </row>
    <row r="41" spans="1:31" ht="18" customHeight="1">
      <c r="A41" s="60" t="e" vm="1">
        <v>#REF!</v>
      </c>
      <c r="B41" s="61" t="s">
        <v>102</v>
      </c>
      <c r="C41" s="62">
        <v>9.7202789981031934E-2</v>
      </c>
      <c r="D41" s="62">
        <v>9.3506975197795231E-2</v>
      </c>
      <c r="E41" s="62">
        <v>9.3463398660454958E-2</v>
      </c>
      <c r="F41" s="62">
        <v>8.5099375519487111E-2</v>
      </c>
      <c r="G41" s="62">
        <v>8.454356864752012E-2</v>
      </c>
      <c r="H41" s="62">
        <v>7.22252431943705E-2</v>
      </c>
      <c r="I41" s="62">
        <v>7.4269444781841387E-2</v>
      </c>
      <c r="J41" s="62">
        <v>6.9060562722131055E-2</v>
      </c>
      <c r="K41" s="62">
        <v>7.100043034226261E-2</v>
      </c>
      <c r="L41" s="62">
        <v>7.9808559580685695E-2</v>
      </c>
      <c r="M41" s="62">
        <v>8.9340708616877512E-2</v>
      </c>
      <c r="N41" s="62">
        <v>9.0478942755542011E-2</v>
      </c>
      <c r="O41" s="63">
        <f>SUM(Tableau1362[[#This Row],[JANVIER]:[DECEMBRE]])</f>
        <v>1</v>
      </c>
      <c r="Q41" s="57" t="s">
        <v>103</v>
      </c>
      <c r="R41" s="54" t="s">
        <v>102</v>
      </c>
      <c r="S41" s="64">
        <v>9.1999999999999993</v>
      </c>
      <c r="T41" s="57" t="s">
        <v>103</v>
      </c>
      <c r="U41" s="59">
        <v>32936000</v>
      </c>
      <c r="X41" s="72"/>
      <c r="Y41" s="47"/>
      <c r="Z41" s="72"/>
      <c r="AA41" s="72"/>
      <c r="AB41" s="72"/>
      <c r="AC41" s="72"/>
      <c r="AD41" s="72"/>
      <c r="AE41" s="72"/>
    </row>
    <row r="42" spans="1:31" ht="18" customHeight="1">
      <c r="A42" s="60" t="e" vm="1">
        <v>#REF!</v>
      </c>
      <c r="B42" s="61" t="s">
        <v>104</v>
      </c>
      <c r="C42" s="62">
        <v>0.10031732488424049</v>
      </c>
      <c r="D42" s="62">
        <v>9.4306492971296688E-2</v>
      </c>
      <c r="E42" s="62">
        <v>9.5663436001902719E-2</v>
      </c>
      <c r="F42" s="62">
        <v>8.738146771415467E-2</v>
      </c>
      <c r="G42" s="62">
        <v>8.2365317443111347E-2</v>
      </c>
      <c r="H42" s="62">
        <v>6.3112602031363374E-2</v>
      </c>
      <c r="I42" s="62">
        <v>6.9336290264756475E-2</v>
      </c>
      <c r="J42" s="62">
        <v>6.1899555851292053E-2</v>
      </c>
      <c r="K42" s="62">
        <v>6.4021799550186942E-2</v>
      </c>
      <c r="L42" s="62">
        <v>8.6114663037103176E-2</v>
      </c>
      <c r="M42" s="62">
        <v>0.10124479773007557</v>
      </c>
      <c r="N42" s="62">
        <v>9.4236252520516386E-2</v>
      </c>
      <c r="O42" s="56">
        <f>SUM(Tableau1362[[#This Row],[JANVIER]:[DECEMBRE]])</f>
        <v>0.99999999999999989</v>
      </c>
      <c r="Q42" s="57" t="s">
        <v>105</v>
      </c>
      <c r="R42" s="54" t="s">
        <v>104</v>
      </c>
      <c r="S42" s="64">
        <v>12</v>
      </c>
      <c r="T42" s="57" t="s">
        <v>105</v>
      </c>
      <c r="U42" s="59">
        <v>19375216.284600001</v>
      </c>
      <c r="X42" s="72"/>
      <c r="Y42" s="47"/>
      <c r="Z42" s="72"/>
      <c r="AA42" s="72"/>
      <c r="AB42" s="72"/>
      <c r="AC42" s="72"/>
      <c r="AD42" s="72"/>
      <c r="AE42" s="72"/>
    </row>
    <row r="43" spans="1:31" ht="18" customHeight="1">
      <c r="A43" s="60" t="e" vm="1">
        <v>#REF!</v>
      </c>
      <c r="B43" s="61" t="s">
        <v>106</v>
      </c>
      <c r="C43" s="62">
        <v>0.11527488026452053</v>
      </c>
      <c r="D43" s="62">
        <v>9.6204881274825779E-2</v>
      </c>
      <c r="E43" s="62">
        <v>0.1164192486978598</v>
      </c>
      <c r="F43" s="62">
        <v>7.6252579212411672E-2</v>
      </c>
      <c r="G43" s="62">
        <v>6.5509208117968551E-2</v>
      </c>
      <c r="H43" s="62">
        <v>5.3163753934122718E-2</v>
      </c>
      <c r="I43" s="62">
        <v>6.1090903920115298E-2</v>
      </c>
      <c r="J43" s="62">
        <v>5.4222812076849369E-2</v>
      </c>
      <c r="K43" s="62">
        <v>6.4005113262654997E-2</v>
      </c>
      <c r="L43" s="62">
        <v>7.6133979096026622E-2</v>
      </c>
      <c r="M43" s="62">
        <v>9.8870521132059255E-2</v>
      </c>
      <c r="N43" s="62">
        <v>0.12285211901058529</v>
      </c>
      <c r="O43" s="63">
        <f>SUM(Tableau1362[[#This Row],[JANVIER]:[DECEMBRE]])</f>
        <v>1</v>
      </c>
      <c r="Q43" s="57" t="s">
        <v>107</v>
      </c>
      <c r="R43" s="61" t="s">
        <v>106</v>
      </c>
      <c r="S43" s="64">
        <v>6</v>
      </c>
      <c r="T43" s="57" t="s">
        <v>107</v>
      </c>
      <c r="U43" s="59">
        <v>11040103.9</v>
      </c>
      <c r="X43" s="72"/>
      <c r="Y43" s="47"/>
      <c r="Z43" s="72"/>
      <c r="AA43" s="72"/>
      <c r="AB43" s="72"/>
      <c r="AC43" s="72"/>
      <c r="AD43" s="72"/>
      <c r="AE43" s="72"/>
    </row>
    <row r="44" spans="1:31" ht="18" customHeight="1">
      <c r="A44" s="60" t="e" vm="1">
        <v>#REF!</v>
      </c>
      <c r="B44" s="61" t="s">
        <v>108</v>
      </c>
      <c r="C44" s="62">
        <v>0.11970241192664402</v>
      </c>
      <c r="D44" s="62">
        <v>0.10515661071554953</v>
      </c>
      <c r="E44" s="62">
        <v>0.10259887367786664</v>
      </c>
      <c r="F44" s="62">
        <v>7.171116202430404E-2</v>
      </c>
      <c r="G44" s="62">
        <v>6.4807140138261859E-2</v>
      </c>
      <c r="H44" s="62">
        <v>5.2066343947596579E-2</v>
      </c>
      <c r="I44" s="62">
        <v>5.5990424763167561E-2</v>
      </c>
      <c r="J44" s="62">
        <v>5.1656939966838282E-2</v>
      </c>
      <c r="K44" s="62">
        <v>6.2498089825732961E-2</v>
      </c>
      <c r="L44" s="62">
        <v>8.9719006651631864E-2</v>
      </c>
      <c r="M44" s="62">
        <v>0.10060320224534597</v>
      </c>
      <c r="N44" s="62">
        <v>0.12348979411706081</v>
      </c>
      <c r="O44" s="63">
        <f>SUM(Tableau1362[[#This Row],[JANVIER]:[DECEMBRE]])</f>
        <v>1</v>
      </c>
      <c r="Q44" s="57" t="s">
        <v>109</v>
      </c>
      <c r="R44" s="54" t="s">
        <v>108</v>
      </c>
      <c r="S44" s="64">
        <v>11.5</v>
      </c>
      <c r="T44" s="57" t="s">
        <v>109</v>
      </c>
      <c r="U44" s="67">
        <v>20935000</v>
      </c>
      <c r="X44" s="72"/>
      <c r="Y44" s="47"/>
      <c r="Z44" s="72"/>
      <c r="AA44" s="72"/>
      <c r="AB44" s="72"/>
      <c r="AC44" s="72"/>
      <c r="AD44" s="72"/>
      <c r="AE44" s="72"/>
    </row>
    <row r="45" spans="1:31" ht="18" customHeight="1">
      <c r="A45" s="60" t="e" vm="1">
        <v>#REF!</v>
      </c>
      <c r="B45" s="61" t="s">
        <v>110</v>
      </c>
      <c r="C45" s="62">
        <v>3.2300000000000002E-2</v>
      </c>
      <c r="D45" s="62">
        <v>4.8000000000000001E-2</v>
      </c>
      <c r="E45" s="62">
        <v>8.1900000000000001E-2</v>
      </c>
      <c r="F45" s="62">
        <v>0.10970000000000001</v>
      </c>
      <c r="G45" s="62">
        <v>0.128</v>
      </c>
      <c r="H45" s="62">
        <v>0.1351</v>
      </c>
      <c r="I45" s="62">
        <v>0.12690000000000001</v>
      </c>
      <c r="J45" s="62">
        <v>0.12039999999999999</v>
      </c>
      <c r="K45" s="62">
        <v>9.6699999999999994E-2</v>
      </c>
      <c r="L45" s="62">
        <v>6.2600000000000003E-2</v>
      </c>
      <c r="M45" s="62">
        <v>3.5000000000000003E-2</v>
      </c>
      <c r="N45" s="62">
        <v>2.3400000000000001E-2</v>
      </c>
      <c r="O45" s="63">
        <f>SUM(Tableau1362[[#This Row],[JANVIER]:[DECEMBRE]])</f>
        <v>1</v>
      </c>
      <c r="Q45" s="57" t="s">
        <v>111</v>
      </c>
      <c r="R45" s="54" t="s">
        <v>110</v>
      </c>
      <c r="S45" s="64">
        <v>36</v>
      </c>
      <c r="T45" s="57" t="s">
        <v>111</v>
      </c>
      <c r="U45" s="73">
        <v>39640620</v>
      </c>
      <c r="X45" s="72"/>
      <c r="Y45" s="47"/>
      <c r="Z45" s="72"/>
      <c r="AA45" s="72"/>
      <c r="AB45" s="72"/>
      <c r="AC45" s="72"/>
      <c r="AD45" s="72"/>
      <c r="AE45" s="72"/>
    </row>
    <row r="46" spans="1:31" ht="18" customHeight="1">
      <c r="A46" s="60" t="e" vm="1">
        <v>#REF!</v>
      </c>
      <c r="B46" s="61" t="s">
        <v>112</v>
      </c>
      <c r="C46" s="62">
        <v>3.2300000000000002E-2</v>
      </c>
      <c r="D46" s="62">
        <v>4.8000000000000001E-2</v>
      </c>
      <c r="E46" s="62">
        <v>8.1900000000000001E-2</v>
      </c>
      <c r="F46" s="62">
        <v>0.10970000000000001</v>
      </c>
      <c r="G46" s="62">
        <v>0.128</v>
      </c>
      <c r="H46" s="62">
        <v>0.1351</v>
      </c>
      <c r="I46" s="62">
        <v>0.12690000000000001</v>
      </c>
      <c r="J46" s="62">
        <v>0.12039999999999999</v>
      </c>
      <c r="K46" s="62">
        <v>9.6699999999999994E-2</v>
      </c>
      <c r="L46" s="62">
        <v>6.2600000000000003E-2</v>
      </c>
      <c r="M46" s="62">
        <v>3.5000000000000003E-2</v>
      </c>
      <c r="N46" s="62">
        <v>2.3400000000000001E-2</v>
      </c>
      <c r="O46" s="56">
        <f>SUM(Tableau1362[[#This Row],[JANVIER]:[DECEMBRE]])</f>
        <v>1</v>
      </c>
      <c r="Q46" s="57" t="s">
        <v>113</v>
      </c>
      <c r="R46" s="54" t="s">
        <v>112</v>
      </c>
      <c r="S46" s="64">
        <v>12</v>
      </c>
      <c r="T46" s="57" t="s">
        <v>113</v>
      </c>
      <c r="U46" s="59">
        <v>13213540</v>
      </c>
      <c r="X46" s="72"/>
      <c r="Y46" s="47"/>
      <c r="Z46" s="72"/>
      <c r="AA46" s="72"/>
      <c r="AB46" s="72"/>
      <c r="AC46" s="72"/>
      <c r="AD46" s="72"/>
      <c r="AE46" s="72"/>
    </row>
    <row r="47" spans="1:31" ht="18" customHeight="1">
      <c r="A47" s="60" t="e" vm="1">
        <v>#REF!</v>
      </c>
      <c r="B47" s="61" t="s">
        <v>114</v>
      </c>
      <c r="C47" s="62">
        <v>3.2300000000000002E-2</v>
      </c>
      <c r="D47" s="62">
        <v>4.8000000000000001E-2</v>
      </c>
      <c r="E47" s="62">
        <v>8.1900000000000001E-2</v>
      </c>
      <c r="F47" s="62">
        <v>0.10970000000000001</v>
      </c>
      <c r="G47" s="62">
        <v>0.128</v>
      </c>
      <c r="H47" s="62">
        <v>0.1351</v>
      </c>
      <c r="I47" s="62">
        <v>0.12690000000000001</v>
      </c>
      <c r="J47" s="62">
        <v>0.12039999999999999</v>
      </c>
      <c r="K47" s="62">
        <v>9.6699999999999994E-2</v>
      </c>
      <c r="L47" s="62">
        <v>6.2600000000000003E-2</v>
      </c>
      <c r="M47" s="62">
        <v>3.5000000000000003E-2</v>
      </c>
      <c r="N47" s="62">
        <v>2.3400000000000001E-2</v>
      </c>
      <c r="O47" s="56">
        <f>SUM(Tableau1362[[#This Row],[JANVIER]:[DECEMBRE]])</f>
        <v>1</v>
      </c>
      <c r="Q47" s="57" t="s">
        <v>115</v>
      </c>
      <c r="R47" s="54" t="s">
        <v>114</v>
      </c>
      <c r="S47" s="64">
        <v>12</v>
      </c>
      <c r="T47" s="57" t="s">
        <v>115</v>
      </c>
      <c r="U47" s="59">
        <v>13213540</v>
      </c>
      <c r="X47" s="72"/>
      <c r="Y47" s="47"/>
      <c r="Z47" s="72"/>
      <c r="AA47" s="72"/>
      <c r="AB47" s="72"/>
      <c r="AC47" s="72"/>
      <c r="AD47" s="72"/>
      <c r="AE47" s="72"/>
    </row>
    <row r="48" spans="1:31" ht="18" customHeight="1">
      <c r="A48" s="60" t="e" vm="1">
        <v>#REF!</v>
      </c>
      <c r="B48" s="61" t="s">
        <v>116</v>
      </c>
      <c r="C48" s="62">
        <v>3.2300000000000002E-2</v>
      </c>
      <c r="D48" s="62">
        <v>4.8000000000000001E-2</v>
      </c>
      <c r="E48" s="62">
        <v>8.1900000000000001E-2</v>
      </c>
      <c r="F48" s="62">
        <v>0.10970000000000001</v>
      </c>
      <c r="G48" s="62">
        <v>0.128</v>
      </c>
      <c r="H48" s="62">
        <v>0.1351</v>
      </c>
      <c r="I48" s="62">
        <v>0.12690000000000001</v>
      </c>
      <c r="J48" s="62">
        <v>0.12039999999999999</v>
      </c>
      <c r="K48" s="62">
        <v>9.6699999999999994E-2</v>
      </c>
      <c r="L48" s="62">
        <v>6.2600000000000003E-2</v>
      </c>
      <c r="M48" s="62">
        <v>3.5000000000000003E-2</v>
      </c>
      <c r="N48" s="62">
        <v>2.3400000000000001E-2</v>
      </c>
      <c r="O48" s="56">
        <f>SUM(Tableau1362[[#This Row],[JANVIER]:[DECEMBRE]])</f>
        <v>1</v>
      </c>
      <c r="Q48" s="65" t="s">
        <v>117</v>
      </c>
      <c r="R48" s="54" t="s">
        <v>116</v>
      </c>
      <c r="S48" s="64">
        <v>12</v>
      </c>
      <c r="T48" s="65" t="s">
        <v>117</v>
      </c>
      <c r="U48" s="59">
        <v>13213540</v>
      </c>
      <c r="V48" s="74"/>
      <c r="X48" s="72"/>
      <c r="Y48" s="47"/>
      <c r="Z48" s="72"/>
      <c r="AA48" s="72"/>
      <c r="AB48" s="72"/>
      <c r="AC48" s="72"/>
      <c r="AD48" s="72"/>
      <c r="AE48" s="72"/>
    </row>
    <row r="49" spans="1:31" ht="18" customHeight="1">
      <c r="A49" s="60" t="e" vm="1">
        <v>#REF!</v>
      </c>
      <c r="B49" s="61" t="s">
        <v>118</v>
      </c>
      <c r="C49" s="62">
        <v>0.11255143343727797</v>
      </c>
      <c r="D49" s="62">
        <v>0.10235540526285666</v>
      </c>
      <c r="E49" s="62">
        <v>9.9795468803164603E-2</v>
      </c>
      <c r="F49" s="62">
        <v>7.3645165263867066E-2</v>
      </c>
      <c r="G49" s="62">
        <v>6.754457985009435E-2</v>
      </c>
      <c r="H49" s="62">
        <v>5.6609863325088876E-2</v>
      </c>
      <c r="I49" s="62">
        <v>5.9481561926221227E-2</v>
      </c>
      <c r="J49" s="62">
        <v>5.5079876488769559E-2</v>
      </c>
      <c r="K49" s="62">
        <v>6.5484987240273129E-2</v>
      </c>
      <c r="L49" s="62">
        <v>8.8785845258085666E-2</v>
      </c>
      <c r="M49" s="62">
        <v>9.8903724822091144E-2</v>
      </c>
      <c r="N49" s="62">
        <v>0.11976208832220984</v>
      </c>
      <c r="O49" s="63">
        <f>SUM(Tableau1362[[#This Row],[JANVIER]:[DECEMBRE]])</f>
        <v>1.0000000000000002</v>
      </c>
      <c r="Q49" s="57" t="s">
        <v>119</v>
      </c>
      <c r="R49" s="61" t="s">
        <v>118</v>
      </c>
      <c r="S49" s="64">
        <v>19.8</v>
      </c>
      <c r="T49" s="57" t="s">
        <v>119</v>
      </c>
      <c r="U49" s="67">
        <v>48086808.200000003</v>
      </c>
      <c r="V49" s="74"/>
      <c r="X49" s="72"/>
      <c r="Y49" s="47"/>
      <c r="Z49" s="72"/>
      <c r="AA49" s="72"/>
      <c r="AB49" s="72"/>
      <c r="AC49" s="72"/>
      <c r="AD49" s="72"/>
      <c r="AE49" s="72"/>
    </row>
    <row r="50" spans="1:31" ht="18" customHeight="1">
      <c r="A50" s="60" t="e" vm="1">
        <v>#REF!</v>
      </c>
      <c r="B50" s="61" t="s">
        <v>120</v>
      </c>
      <c r="C50" s="62">
        <v>0.10019028323473468</v>
      </c>
      <c r="D50" s="62">
        <v>9.9663546878277373E-2</v>
      </c>
      <c r="E50" s="62">
        <v>9.8110343600168209E-2</v>
      </c>
      <c r="F50" s="62">
        <v>8.5624583821806807E-2</v>
      </c>
      <c r="G50" s="62">
        <v>8.8337406890005854E-2</v>
      </c>
      <c r="H50" s="62">
        <v>7.0855032649968813E-2</v>
      </c>
      <c r="I50" s="62">
        <v>7.1723266370529129E-2</v>
      </c>
      <c r="J50" s="62">
        <v>6.5019313200539108E-2</v>
      </c>
      <c r="K50" s="62">
        <v>6.9238634832889792E-2</v>
      </c>
      <c r="L50" s="62">
        <v>7.3235936276377395E-2</v>
      </c>
      <c r="M50" s="62">
        <v>8.9753557011724966E-2</v>
      </c>
      <c r="N50" s="62">
        <v>8.8248095232977899E-2</v>
      </c>
      <c r="O50" s="63">
        <f>SUM(Tableau1362[[#This Row],[JANVIER]:[DECEMBRE]])</f>
        <v>1</v>
      </c>
      <c r="Q50" s="57" t="s">
        <v>121</v>
      </c>
      <c r="R50" s="54" t="s">
        <v>120</v>
      </c>
      <c r="S50" s="64">
        <v>117</v>
      </c>
      <c r="T50" s="57" t="s">
        <v>121</v>
      </c>
      <c r="U50" s="59">
        <v>226646033.13</v>
      </c>
      <c r="V50" s="74"/>
      <c r="Y50" s="52"/>
      <c r="Z50" s="14"/>
    </row>
    <row r="51" spans="1:31" ht="18" customHeight="1">
      <c r="A51" s="60" t="e" vm="1">
        <v>#REF!</v>
      </c>
      <c r="B51" s="61" t="s">
        <v>122</v>
      </c>
      <c r="C51" s="62">
        <v>0.11879268895178655</v>
      </c>
      <c r="D51" s="62">
        <v>0.10535102734077197</v>
      </c>
      <c r="E51" s="62">
        <v>0.10293908396400758</v>
      </c>
      <c r="F51" s="62">
        <v>7.1903952090275322E-2</v>
      </c>
      <c r="G51" s="62">
        <v>6.4598419808522392E-2</v>
      </c>
      <c r="H51" s="62">
        <v>5.1640391554136765E-2</v>
      </c>
      <c r="I51" s="62">
        <v>5.5818935959649839E-2</v>
      </c>
      <c r="J51" s="62">
        <v>5.1143514788730457E-2</v>
      </c>
      <c r="K51" s="62">
        <v>6.2293718170504019E-2</v>
      </c>
      <c r="L51" s="62">
        <v>8.9792013517412783E-2</v>
      </c>
      <c r="M51" s="62">
        <v>0.10114699186272502</v>
      </c>
      <c r="N51" s="62">
        <v>0.12457926199147724</v>
      </c>
      <c r="O51" s="63">
        <f>SUM(Tableau1362[[#This Row],[JANVIER]:[DECEMBRE]])</f>
        <v>0.99999999999999989</v>
      </c>
      <c r="Q51" s="57" t="s">
        <v>123</v>
      </c>
      <c r="R51" s="54" t="s">
        <v>122</v>
      </c>
      <c r="S51" s="64">
        <v>11.5</v>
      </c>
      <c r="T51" s="57" t="s">
        <v>123</v>
      </c>
      <c r="U51" s="59">
        <v>18951000</v>
      </c>
      <c r="V51" s="74"/>
      <c r="Y51" s="52"/>
      <c r="Z51" s="14"/>
    </row>
    <row r="52" spans="1:31" ht="18" customHeight="1">
      <c r="A52" s="60" t="e" vm="1">
        <v>#REF!</v>
      </c>
      <c r="B52" s="61" t="s">
        <v>124</v>
      </c>
      <c r="C52" s="62">
        <v>0.11286173805234888</v>
      </c>
      <c r="D52" s="62">
        <v>0.10255838030329444</v>
      </c>
      <c r="E52" s="62">
        <v>9.8063572842438801E-2</v>
      </c>
      <c r="F52" s="62">
        <v>7.6481758388866866E-2</v>
      </c>
      <c r="G52" s="62">
        <v>7.103398010127418E-2</v>
      </c>
      <c r="H52" s="62">
        <v>5.8282082281909953E-2</v>
      </c>
      <c r="I52" s="62">
        <v>6.1560886442493246E-2</v>
      </c>
      <c r="J52" s="62">
        <v>5.7169914181904639E-2</v>
      </c>
      <c r="K52" s="62">
        <v>6.4766626027094501E-2</v>
      </c>
      <c r="L52" s="62">
        <v>8.3312043707598385E-2</v>
      </c>
      <c r="M52" s="62">
        <v>9.7684012808008716E-2</v>
      </c>
      <c r="N52" s="62">
        <v>0.11622500486276741</v>
      </c>
      <c r="O52" s="63">
        <f>SUM(Tableau1362[[#This Row],[JANVIER]:[DECEMBRE]])</f>
        <v>1</v>
      </c>
      <c r="Q52" s="57" t="s">
        <v>125</v>
      </c>
      <c r="R52" s="54" t="s">
        <v>124</v>
      </c>
      <c r="S52" s="64">
        <v>17</v>
      </c>
      <c r="T52" s="57" t="s">
        <v>125</v>
      </c>
      <c r="U52" s="59">
        <v>43862770.799999997</v>
      </c>
      <c r="V52" s="74"/>
      <c r="Y52" s="52"/>
      <c r="Z52" s="14"/>
    </row>
    <row r="53" spans="1:31" ht="18" customHeight="1">
      <c r="A53" s="60" t="e" vm="1">
        <v>#REF!</v>
      </c>
      <c r="B53" s="61" t="s">
        <v>126</v>
      </c>
      <c r="C53" s="62">
        <v>3.4500000000000003E-2</v>
      </c>
      <c r="D53" s="62">
        <v>4.5699999999999998E-2</v>
      </c>
      <c r="E53" s="62">
        <v>8.1500000000000003E-2</v>
      </c>
      <c r="F53" s="62">
        <v>0.10009999999999999</v>
      </c>
      <c r="G53" s="62">
        <v>0.1244</v>
      </c>
      <c r="H53" s="62">
        <v>0.13700000000000001</v>
      </c>
      <c r="I53" s="62">
        <v>0.14249999999999999</v>
      </c>
      <c r="J53" s="62">
        <v>0.1206</v>
      </c>
      <c r="K53" s="62">
        <v>8.8400000000000006E-2</v>
      </c>
      <c r="L53" s="62">
        <v>5.9799999999999999E-2</v>
      </c>
      <c r="M53" s="62">
        <v>3.6999999999999998E-2</v>
      </c>
      <c r="N53" s="62">
        <v>2.8500000000000001E-2</v>
      </c>
      <c r="O53" s="56">
        <f>SUM(Tableau1362[[#This Row],[JANVIER]:[DECEMBRE]])</f>
        <v>1.0000000000000002</v>
      </c>
      <c r="Q53" s="57" t="s">
        <v>127</v>
      </c>
      <c r="R53" s="54" t="s">
        <v>128</v>
      </c>
      <c r="S53" s="64">
        <v>4.5</v>
      </c>
      <c r="T53" s="57" t="s">
        <v>127</v>
      </c>
      <c r="U53" s="59">
        <v>9794000</v>
      </c>
      <c r="V53" s="74"/>
      <c r="Y53" s="52"/>
      <c r="Z53" s="14"/>
    </row>
    <row r="54" spans="1:31" ht="18" customHeight="1">
      <c r="A54" s="60" t="e" vm="1">
        <v>#REF!</v>
      </c>
      <c r="B54" s="61" t="s">
        <v>128</v>
      </c>
      <c r="C54" s="62">
        <v>0.11598404377225165</v>
      </c>
      <c r="D54" s="62">
        <v>9.9296252403485483E-2</v>
      </c>
      <c r="E54" s="62">
        <v>9.2544397087474792E-2</v>
      </c>
      <c r="F54" s="62">
        <v>7.036054244793602E-2</v>
      </c>
      <c r="G54" s="62">
        <v>7.0724413791064422E-2</v>
      </c>
      <c r="H54" s="62">
        <v>5.7736485817005863E-2</v>
      </c>
      <c r="I54" s="62">
        <v>5.9006165847933674E-2</v>
      </c>
      <c r="J54" s="62">
        <v>5.7772674114519168E-2</v>
      </c>
      <c r="K54" s="62">
        <v>6.6422931421552603E-2</v>
      </c>
      <c r="L54" s="62">
        <v>9.259961253718868E-2</v>
      </c>
      <c r="M54" s="62">
        <v>0.10238920470549301</v>
      </c>
      <c r="N54" s="62">
        <v>0.11516327605409458</v>
      </c>
      <c r="O54" s="56">
        <f>SUM(Tableau1362[[#This Row],[JANVIER]:[DECEMBRE]])</f>
        <v>1</v>
      </c>
      <c r="Q54" s="57" t="s">
        <v>129</v>
      </c>
      <c r="R54" s="54" t="s">
        <v>130</v>
      </c>
      <c r="S54" s="64">
        <v>4.5999999999999996</v>
      </c>
      <c r="T54" s="57" t="s">
        <v>129</v>
      </c>
      <c r="U54" s="59">
        <v>5447977</v>
      </c>
      <c r="V54" s="74"/>
      <c r="Y54" s="52"/>
      <c r="Z54" s="14"/>
    </row>
    <row r="55" spans="1:31" ht="18" customHeight="1">
      <c r="A55" s="60" t="e" vm="1">
        <v>#REF!</v>
      </c>
      <c r="B55" s="61" t="s">
        <v>131</v>
      </c>
      <c r="C55" s="62">
        <v>3.4000000000000002E-2</v>
      </c>
      <c r="D55" s="62">
        <v>5.1999999999999998E-2</v>
      </c>
      <c r="E55" s="62">
        <v>8.8999999999999996E-2</v>
      </c>
      <c r="F55" s="62">
        <v>0.10299999999999999</v>
      </c>
      <c r="G55" s="62">
        <v>0.113</v>
      </c>
      <c r="H55" s="62">
        <v>0.124</v>
      </c>
      <c r="I55" s="62">
        <v>0.129</v>
      </c>
      <c r="J55" s="62">
        <v>0.11799999999999999</v>
      </c>
      <c r="K55" s="62">
        <v>9.6000000000000002E-2</v>
      </c>
      <c r="L55" s="62">
        <v>7.0999999999999994E-2</v>
      </c>
      <c r="M55" s="62">
        <v>0.04</v>
      </c>
      <c r="N55" s="62">
        <v>3.1E-2</v>
      </c>
      <c r="O55" s="56">
        <f>SUM(Tableau1362[[#This Row],[JANVIER]:[DECEMBRE]])</f>
        <v>0.99999999999999989</v>
      </c>
      <c r="Q55" s="57" t="s">
        <v>132</v>
      </c>
      <c r="R55" s="54" t="s">
        <v>133</v>
      </c>
      <c r="S55" s="64">
        <v>11.5</v>
      </c>
      <c r="T55" s="57" t="s">
        <v>132</v>
      </c>
      <c r="U55" s="59">
        <v>29262612</v>
      </c>
      <c r="V55" s="74"/>
      <c r="Y55" s="52"/>
      <c r="Z55" s="14"/>
    </row>
    <row r="56" spans="1:31" ht="18" customHeight="1">
      <c r="A56" s="60" t="e" vm="1">
        <v>#REF!</v>
      </c>
      <c r="B56" s="61" t="s">
        <v>133</v>
      </c>
      <c r="C56" s="62">
        <v>0.11679114701553693</v>
      </c>
      <c r="D56" s="62">
        <v>9.8430381710852083E-2</v>
      </c>
      <c r="E56" s="62">
        <v>9.1907252865191039E-2</v>
      </c>
      <c r="F56" s="62">
        <v>6.8476324732566984E-2</v>
      </c>
      <c r="G56" s="62">
        <v>7.1812769008995053E-2</v>
      </c>
      <c r="H56" s="62">
        <v>5.9794458672186336E-2</v>
      </c>
      <c r="I56" s="62">
        <v>6.141444992725608E-2</v>
      </c>
      <c r="J56" s="62">
        <v>5.9481085887752597E-2</v>
      </c>
      <c r="K56" s="62">
        <v>6.6398489834037747E-2</v>
      </c>
      <c r="L56" s="62">
        <v>9.149479095118461E-2</v>
      </c>
      <c r="M56" s="62">
        <v>0.1004717406178134</v>
      </c>
      <c r="N56" s="62">
        <v>0.11352710877662719</v>
      </c>
      <c r="O56" s="56">
        <f>SUM(Tableau1362[[#This Row],[JANVIER]:[DECEMBRE]])</f>
        <v>1</v>
      </c>
      <c r="Q56" s="57" t="s">
        <v>134</v>
      </c>
      <c r="R56" s="54" t="s">
        <v>135</v>
      </c>
      <c r="S56" s="64">
        <v>10</v>
      </c>
      <c r="T56" s="57" t="s">
        <v>134</v>
      </c>
      <c r="U56" s="59">
        <v>17971000</v>
      </c>
      <c r="V56" s="74"/>
      <c r="Y56" s="52"/>
      <c r="Z56" s="14"/>
    </row>
    <row r="57" spans="1:31" ht="18" customHeight="1">
      <c r="A57" s="60" t="e" vm="1">
        <v>#REF!</v>
      </c>
      <c r="B57" s="61" t="s">
        <v>135</v>
      </c>
      <c r="C57" s="62">
        <v>0.10373650973291523</v>
      </c>
      <c r="D57" s="62">
        <v>0.1005332690628184</v>
      </c>
      <c r="E57" s="62">
        <v>9.8209689556735327E-2</v>
      </c>
      <c r="F57" s="62">
        <v>8.6414635088810962E-2</v>
      </c>
      <c r="G57" s="62">
        <v>8.6351103532249243E-2</v>
      </c>
      <c r="H57" s="62">
        <v>6.6255995647735252E-2</v>
      </c>
      <c r="I57" s="62">
        <v>7.1532601848808636E-2</v>
      </c>
      <c r="J57" s="62">
        <v>6.1859220708550641E-2</v>
      </c>
      <c r="K57" s="62">
        <v>6.3011931487478606E-2</v>
      </c>
      <c r="L57" s="62">
        <v>7.566950975844261E-2</v>
      </c>
      <c r="M57" s="62">
        <v>9.5112675009992695E-2</v>
      </c>
      <c r="N57" s="62">
        <v>9.1312858565462576E-2</v>
      </c>
      <c r="O57" s="63">
        <f>SUM(Tableau1362[[#This Row],[JANVIER]:[DECEMBRE]])</f>
        <v>1.0000000000000002</v>
      </c>
      <c r="Q57" s="57" t="s">
        <v>136</v>
      </c>
      <c r="R57" s="61" t="s">
        <v>137</v>
      </c>
      <c r="S57" s="64">
        <v>10</v>
      </c>
      <c r="T57" s="57" t="s">
        <v>136</v>
      </c>
      <c r="U57" s="59">
        <v>18809854</v>
      </c>
      <c r="V57" s="74"/>
      <c r="Y57" s="52"/>
      <c r="Z57" s="14"/>
    </row>
    <row r="58" spans="1:31" ht="18" customHeight="1">
      <c r="A58" s="60" t="e" vm="1">
        <v>#REF!</v>
      </c>
      <c r="B58" s="61" t="s">
        <v>137</v>
      </c>
      <c r="C58" s="62">
        <v>0.12662009729686655</v>
      </c>
      <c r="D58" s="62">
        <v>0.10539466564959496</v>
      </c>
      <c r="E58" s="62">
        <v>9.6361531276252188E-2</v>
      </c>
      <c r="F58" s="62">
        <v>6.601418572691875E-2</v>
      </c>
      <c r="G58" s="62">
        <v>6.5917870898693096E-2</v>
      </c>
      <c r="H58" s="62">
        <v>4.992011036900857E-2</v>
      </c>
      <c r="I58" s="62">
        <v>5.3740826897701773E-2</v>
      </c>
      <c r="J58" s="62">
        <v>5.2080183892121629E-2</v>
      </c>
      <c r="K58" s="62">
        <v>6.0659419224337832E-2</v>
      </c>
      <c r="L58" s="62">
        <v>9.3471721081628129E-2</v>
      </c>
      <c r="M58" s="62">
        <v>0.10517331051805828</v>
      </c>
      <c r="N58" s="62">
        <v>0.12464607716881816</v>
      </c>
      <c r="O58" s="63">
        <f>SUM(Tableau1362[[#This Row],[JANVIER]:[DECEMBRE]])</f>
        <v>0.99999999999999989</v>
      </c>
      <c r="Q58" s="57" t="s">
        <v>138</v>
      </c>
      <c r="R58" s="54" t="s">
        <v>139</v>
      </c>
      <c r="S58" s="64">
        <v>13.2</v>
      </c>
      <c r="T58" s="57" t="s">
        <v>138</v>
      </c>
      <c r="U58" s="59">
        <v>27256000</v>
      </c>
      <c r="V58" s="74"/>
      <c r="Y58" s="52"/>
      <c r="Z58" s="14"/>
    </row>
    <row r="59" spans="1:31" ht="18" customHeight="1">
      <c r="A59" s="60" t="e" vm="1">
        <v>#REF!</v>
      </c>
      <c r="B59" s="61" t="s">
        <v>139</v>
      </c>
      <c r="C59" s="62">
        <v>0.10623488802684702</v>
      </c>
      <c r="D59" s="62">
        <v>9.7850912896853021E-2</v>
      </c>
      <c r="E59" s="62">
        <v>9.3098397290049553E-2</v>
      </c>
      <c r="F59" s="62">
        <v>7.6985635316193707E-2</v>
      </c>
      <c r="G59" s="62">
        <v>7.3615886166713176E-2</v>
      </c>
      <c r="H59" s="62">
        <v>6.386239611620656E-2</v>
      </c>
      <c r="I59" s="62">
        <v>6.6620540476468371E-2</v>
      </c>
      <c r="J59" s="62">
        <v>6.3825483257461776E-2</v>
      </c>
      <c r="K59" s="62">
        <v>6.8989424682073835E-2</v>
      </c>
      <c r="L59" s="62">
        <v>8.5546217835190314E-2</v>
      </c>
      <c r="M59" s="62">
        <v>9.5264171033031766E-2</v>
      </c>
      <c r="N59" s="62">
        <v>0.10810604690291076</v>
      </c>
      <c r="O59" s="63">
        <f>SUM(Tableau1362[[#This Row],[JANVIER]:[DECEMBRE]])</f>
        <v>0.99999999999999978</v>
      </c>
      <c r="Q59" s="57" t="s">
        <v>140</v>
      </c>
      <c r="R59" s="54" t="s">
        <v>141</v>
      </c>
      <c r="S59" s="64">
        <v>12</v>
      </c>
      <c r="T59" s="57" t="s">
        <v>140</v>
      </c>
      <c r="U59" s="59">
        <v>11284000</v>
      </c>
      <c r="V59" s="74"/>
      <c r="Y59" s="52"/>
      <c r="Z59" s="14"/>
    </row>
    <row r="60" spans="1:31" ht="18" customHeight="1">
      <c r="A60" s="60" t="e" vm="1">
        <v>#REF!</v>
      </c>
      <c r="B60" s="61" t="s">
        <v>141</v>
      </c>
      <c r="C60" s="62">
        <v>0.04</v>
      </c>
      <c r="D60" s="62">
        <v>7.0000000000000007E-2</v>
      </c>
      <c r="E60" s="62">
        <v>0.09</v>
      </c>
      <c r="F60" s="62">
        <v>0.1</v>
      </c>
      <c r="G60" s="62">
        <v>0.11</v>
      </c>
      <c r="H60" s="62">
        <v>0.12</v>
      </c>
      <c r="I60" s="62">
        <v>0.13</v>
      </c>
      <c r="J60" s="62">
        <v>0.11</v>
      </c>
      <c r="K60" s="62">
        <v>0.08</v>
      </c>
      <c r="L60" s="62">
        <v>7.0000000000000007E-2</v>
      </c>
      <c r="M60" s="62">
        <v>0.05</v>
      </c>
      <c r="N60" s="62">
        <v>0.03</v>
      </c>
      <c r="O60" s="63">
        <f>SUM(Tableau1362[[#This Row],[JANVIER]:[DECEMBRE]])</f>
        <v>1</v>
      </c>
      <c r="Q60" s="57" t="s">
        <v>142</v>
      </c>
      <c r="R60" s="54" t="s">
        <v>143</v>
      </c>
      <c r="S60" s="64">
        <v>11.5</v>
      </c>
      <c r="T60" s="57" t="s">
        <v>142</v>
      </c>
      <c r="U60" s="59">
        <v>44056000</v>
      </c>
      <c r="V60" s="74"/>
      <c r="Y60" s="52"/>
      <c r="Z60" s="14"/>
    </row>
    <row r="61" spans="1:31" ht="18" customHeight="1">
      <c r="A61" s="60" t="e" vm="1">
        <v>#REF!</v>
      </c>
      <c r="B61" s="54" t="s">
        <v>143</v>
      </c>
      <c r="C61" s="62">
        <v>9.7498711587322526E-2</v>
      </c>
      <c r="D61" s="62">
        <v>9.4524225587928543E-2</v>
      </c>
      <c r="E61" s="62">
        <v>9.6086426722783197E-2</v>
      </c>
      <c r="F61" s="62">
        <v>8.7150105044629667E-2</v>
      </c>
      <c r="G61" s="62">
        <v>8.3841771350849387E-2</v>
      </c>
      <c r="H61" s="62">
        <v>6.8640357538487365E-2</v>
      </c>
      <c r="I61" s="62">
        <v>7.0790096056321666E-2</v>
      </c>
      <c r="J61" s="62">
        <v>6.4985344469553147E-2</v>
      </c>
      <c r="K61" s="62">
        <v>6.8268078800205939E-2</v>
      </c>
      <c r="L61" s="62">
        <v>8.3872682581825828E-2</v>
      </c>
      <c r="M61" s="62">
        <v>9.2107197719839398E-2</v>
      </c>
      <c r="N61" s="62">
        <v>9.2235002540253366E-2</v>
      </c>
      <c r="O61" s="56">
        <f>SUM(Tableau1362[[#This Row],[JANVIER]:[DECEMBRE]])</f>
        <v>1</v>
      </c>
      <c r="Q61" s="57" t="s">
        <v>144</v>
      </c>
      <c r="R61" s="54" t="s">
        <v>145</v>
      </c>
      <c r="S61" s="68">
        <v>10</v>
      </c>
      <c r="T61" s="57" t="s">
        <v>144</v>
      </c>
      <c r="U61" s="59">
        <v>28575838.298099998</v>
      </c>
      <c r="V61" s="74"/>
      <c r="Y61" s="52"/>
      <c r="Z61" s="14"/>
    </row>
    <row r="62" spans="1:31" ht="18" customHeight="1">
      <c r="A62" s="60" t="e" vm="1">
        <v>#REF!</v>
      </c>
      <c r="B62" s="61" t="s">
        <v>145</v>
      </c>
      <c r="C62" s="62">
        <v>9.3686935054211926E-2</v>
      </c>
      <c r="D62" s="62">
        <v>9.2583948937223687E-2</v>
      </c>
      <c r="E62" s="62">
        <v>9.0801440060230859E-2</v>
      </c>
      <c r="F62" s="62">
        <v>8.5529229607048798E-2</v>
      </c>
      <c r="G62" s="62">
        <v>8.1851530114247104E-2</v>
      </c>
      <c r="H62" s="62">
        <v>7.5572087669654273E-2</v>
      </c>
      <c r="I62" s="62">
        <v>6.9969866765754798E-2</v>
      </c>
      <c r="J62" s="62">
        <v>6.7550739217610872E-2</v>
      </c>
      <c r="K62" s="62">
        <v>7.7658474506881042E-2</v>
      </c>
      <c r="L62" s="62">
        <v>8.2641043356585092E-2</v>
      </c>
      <c r="M62" s="62">
        <v>9.2847029009329687E-2</v>
      </c>
      <c r="N62" s="62">
        <v>8.9307675701221834E-2</v>
      </c>
      <c r="O62" s="56">
        <f>SUM(Tableau1362[[#This Row],[JANVIER]:[DECEMBRE]])</f>
        <v>1</v>
      </c>
      <c r="Q62" s="57" t="s">
        <v>146</v>
      </c>
      <c r="R62" s="54" t="s">
        <v>147</v>
      </c>
      <c r="S62" s="64">
        <v>11.89</v>
      </c>
      <c r="T62" s="57" t="s">
        <v>146</v>
      </c>
      <c r="U62" s="59">
        <v>12111000</v>
      </c>
      <c r="V62" s="74"/>
      <c r="Y62" s="52"/>
      <c r="Z62" s="14"/>
    </row>
    <row r="63" spans="1:31" ht="18" customHeight="1">
      <c r="A63" s="60" t="e" vm="1">
        <v>#REF!</v>
      </c>
      <c r="B63" s="61" t="s">
        <v>147</v>
      </c>
      <c r="C63" s="62">
        <v>4.4400000000000002E-2</v>
      </c>
      <c r="D63" s="62">
        <v>5.6899999999999999E-2</v>
      </c>
      <c r="E63" s="62">
        <v>8.5599999999999996E-2</v>
      </c>
      <c r="F63" s="62">
        <v>9.7500000000000003E-2</v>
      </c>
      <c r="G63" s="62">
        <v>0.1111</v>
      </c>
      <c r="H63" s="62">
        <v>0.1172</v>
      </c>
      <c r="I63" s="62">
        <v>0.1215</v>
      </c>
      <c r="J63" s="62">
        <v>0.11219999999999999</v>
      </c>
      <c r="K63" s="62">
        <v>9.7299999999999998E-2</v>
      </c>
      <c r="L63" s="62">
        <v>7.0400000000000004E-2</v>
      </c>
      <c r="M63" s="62">
        <v>4.7399999999999998E-2</v>
      </c>
      <c r="N63" s="62">
        <v>3.85E-2</v>
      </c>
      <c r="O63" s="63">
        <f>SUM(Tableau1362[[#This Row],[JANVIER]:[DECEMBRE]])</f>
        <v>0.99999999999999989</v>
      </c>
      <c r="Q63" s="65" t="s">
        <v>148</v>
      </c>
      <c r="R63" s="54" t="s">
        <v>149</v>
      </c>
      <c r="S63" s="64">
        <v>10</v>
      </c>
      <c r="T63" s="65" t="s">
        <v>148</v>
      </c>
      <c r="U63" s="67">
        <v>12466000</v>
      </c>
      <c r="V63" s="74"/>
      <c r="Y63" s="52"/>
      <c r="Z63" s="14"/>
    </row>
    <row r="64" spans="1:31" ht="18" customHeight="1">
      <c r="A64" s="60" t="e" vm="1">
        <v>#REF!</v>
      </c>
      <c r="B64" s="61" t="s">
        <v>149</v>
      </c>
      <c r="C64" s="62">
        <v>4.4400000000000002E-2</v>
      </c>
      <c r="D64" s="62">
        <v>5.6899999999999999E-2</v>
      </c>
      <c r="E64" s="62">
        <v>8.5599999999999996E-2</v>
      </c>
      <c r="F64" s="62">
        <v>9.7500000000000003E-2</v>
      </c>
      <c r="G64" s="62">
        <v>0.1111</v>
      </c>
      <c r="H64" s="62">
        <v>0.1172</v>
      </c>
      <c r="I64" s="62">
        <v>0.1215</v>
      </c>
      <c r="J64" s="62">
        <v>0.11219999999999999</v>
      </c>
      <c r="K64" s="62">
        <v>9.7299999999999998E-2</v>
      </c>
      <c r="L64" s="62">
        <v>7.0400000000000004E-2</v>
      </c>
      <c r="M64" s="62">
        <v>4.7399999999999998E-2</v>
      </c>
      <c r="N64" s="62">
        <v>3.85E-2</v>
      </c>
      <c r="O64" s="63">
        <f>SUM(Tableau1362[[#This Row],[JANVIER]:[DECEMBRE]])</f>
        <v>0.99999999999999989</v>
      </c>
      <c r="Q64" s="57" t="s">
        <v>150</v>
      </c>
      <c r="R64" s="54" t="s">
        <v>151</v>
      </c>
      <c r="S64" s="64">
        <v>2.4</v>
      </c>
      <c r="T64" s="57" t="s">
        <v>150</v>
      </c>
      <c r="U64" s="59">
        <v>2825000</v>
      </c>
      <c r="V64" s="74"/>
      <c r="Y64" s="52"/>
      <c r="Z64" s="14"/>
    </row>
    <row r="65" spans="1:26" ht="18" customHeight="1">
      <c r="A65" s="60" t="e" vm="1">
        <v>#REF!</v>
      </c>
      <c r="B65" s="61" t="s">
        <v>151</v>
      </c>
      <c r="C65" s="62">
        <v>4.4400000000000002E-2</v>
      </c>
      <c r="D65" s="62">
        <v>5.6899999999999999E-2</v>
      </c>
      <c r="E65" s="62">
        <v>8.5599999999999996E-2</v>
      </c>
      <c r="F65" s="62">
        <v>9.7500000000000003E-2</v>
      </c>
      <c r="G65" s="62">
        <v>0.1111</v>
      </c>
      <c r="H65" s="62">
        <v>0.1172</v>
      </c>
      <c r="I65" s="62">
        <v>0.1215</v>
      </c>
      <c r="J65" s="62">
        <v>0.11219999999999999</v>
      </c>
      <c r="K65" s="62">
        <v>9.7299999999999998E-2</v>
      </c>
      <c r="L65" s="62">
        <v>7.0400000000000004E-2</v>
      </c>
      <c r="M65" s="62">
        <v>4.7399999999999998E-2</v>
      </c>
      <c r="N65" s="62">
        <v>3.85E-2</v>
      </c>
      <c r="O65" s="63">
        <f>SUM(Tableau1362[[#This Row],[JANVIER]:[DECEMBRE]])</f>
        <v>0.99999999999999989</v>
      </c>
      <c r="Q65" s="57" t="s">
        <v>152</v>
      </c>
      <c r="R65" s="54" t="s">
        <v>153</v>
      </c>
      <c r="S65" s="64">
        <v>1.998</v>
      </c>
      <c r="T65" s="57" t="s">
        <v>152</v>
      </c>
      <c r="U65" s="59">
        <v>2737000</v>
      </c>
      <c r="V65" s="74"/>
      <c r="Y65" s="52"/>
      <c r="Z65" s="14"/>
    </row>
    <row r="66" spans="1:26" ht="18" customHeight="1">
      <c r="A66" s="60" t="e" vm="1">
        <v>#REF!</v>
      </c>
      <c r="B66" s="61" t="s">
        <v>153</v>
      </c>
      <c r="C66" s="62">
        <v>3.5400000000000001E-2</v>
      </c>
      <c r="D66" s="62">
        <v>5.9400000000000001E-2</v>
      </c>
      <c r="E66" s="62">
        <v>8.48E-2</v>
      </c>
      <c r="F66" s="62">
        <v>9.9099999999999994E-2</v>
      </c>
      <c r="G66" s="62">
        <v>9.5899999999999999E-2</v>
      </c>
      <c r="H66" s="62">
        <v>0.1033</v>
      </c>
      <c r="I66" s="62">
        <v>0.10780000000000001</v>
      </c>
      <c r="J66" s="62">
        <v>0.1057</v>
      </c>
      <c r="K66" s="62">
        <v>0.1057</v>
      </c>
      <c r="L66" s="62">
        <v>9.4299999999999995E-2</v>
      </c>
      <c r="M66" s="62">
        <v>6.5500000000000003E-2</v>
      </c>
      <c r="N66" s="62">
        <v>4.3099999999999999E-2</v>
      </c>
      <c r="O66" s="63">
        <f>SUM(Tableau1362[[#This Row],[JANVIER]:[DECEMBRE]])</f>
        <v>1</v>
      </c>
      <c r="Q66" s="57" t="s">
        <v>154</v>
      </c>
      <c r="R66" s="61" t="s">
        <v>155</v>
      </c>
      <c r="S66" s="64">
        <v>18.399999999999999</v>
      </c>
      <c r="T66" s="57" t="s">
        <v>154</v>
      </c>
      <c r="U66" s="73">
        <v>38297000</v>
      </c>
      <c r="V66" s="74"/>
      <c r="Y66" s="52"/>
      <c r="Z66" s="14"/>
    </row>
    <row r="67" spans="1:26" ht="18" customHeight="1">
      <c r="A67" s="60" t="e" vm="1">
        <v>#REF!</v>
      </c>
      <c r="B67" s="61" t="s">
        <v>155</v>
      </c>
      <c r="C67" s="62">
        <v>0.11619808040261907</v>
      </c>
      <c r="D67" s="62">
        <v>0.10471050088240735</v>
      </c>
      <c r="E67" s="62">
        <v>9.9798928433444761E-2</v>
      </c>
      <c r="F67" s="62">
        <v>7.5690612567970911E-2</v>
      </c>
      <c r="G67" s="62">
        <v>6.9601504030114225E-2</v>
      </c>
      <c r="H67" s="62">
        <v>5.5591569389655676E-2</v>
      </c>
      <c r="I67" s="62">
        <v>5.9190487162144804E-2</v>
      </c>
      <c r="J67" s="62">
        <v>5.4225951999795956E-2</v>
      </c>
      <c r="K67" s="62">
        <v>6.2640562260148594E-2</v>
      </c>
      <c r="L67" s="62">
        <v>8.3008946539219267E-2</v>
      </c>
      <c r="M67" s="62">
        <v>9.9081125674995218E-2</v>
      </c>
      <c r="N67" s="62">
        <v>0.12026173065748415</v>
      </c>
      <c r="O67" s="63">
        <f>SUM(Tableau1362[[#This Row],[JANVIER]:[DECEMBRE]])</f>
        <v>1.0000000000000002</v>
      </c>
      <c r="Q67" s="57" t="s">
        <v>156</v>
      </c>
      <c r="R67" s="60" t="s">
        <v>157</v>
      </c>
      <c r="S67" s="64">
        <v>9.1999999999999993</v>
      </c>
      <c r="T67" s="57" t="s">
        <v>156</v>
      </c>
      <c r="U67" s="59">
        <v>19148500</v>
      </c>
      <c r="V67" s="74"/>
      <c r="Y67" s="52"/>
      <c r="Z67" s="14"/>
    </row>
    <row r="68" spans="1:26" ht="18" customHeight="1">
      <c r="A68" s="60" t="e" vm="1">
        <v>#REF!</v>
      </c>
      <c r="B68" s="61" t="s">
        <v>157</v>
      </c>
      <c r="C68" s="62">
        <v>0.11619808040261907</v>
      </c>
      <c r="D68" s="62">
        <v>0.10471050088240735</v>
      </c>
      <c r="E68" s="62">
        <v>9.9798928433444761E-2</v>
      </c>
      <c r="F68" s="62">
        <v>7.5690612567970911E-2</v>
      </c>
      <c r="G68" s="62">
        <v>6.9601504030114225E-2</v>
      </c>
      <c r="H68" s="62">
        <v>5.5591569389655676E-2</v>
      </c>
      <c r="I68" s="62">
        <v>5.9190487162144804E-2</v>
      </c>
      <c r="J68" s="62">
        <v>5.4225951999795956E-2</v>
      </c>
      <c r="K68" s="62">
        <v>6.2640562260148594E-2</v>
      </c>
      <c r="L68" s="62">
        <v>8.3008946539219267E-2</v>
      </c>
      <c r="M68" s="62">
        <v>9.9081125674995218E-2</v>
      </c>
      <c r="N68" s="62">
        <v>0.12026173065748415</v>
      </c>
      <c r="O68" s="63">
        <f>SUM(Tableau1362[[#This Row],[JANVIER]:[DECEMBRE]])</f>
        <v>1.0000000000000002</v>
      </c>
      <c r="Q68" s="57" t="s">
        <v>158</v>
      </c>
      <c r="R68" s="61" t="s">
        <v>159</v>
      </c>
      <c r="S68" s="64">
        <v>9.1999999999999993</v>
      </c>
      <c r="T68" s="57" t="s">
        <v>158</v>
      </c>
      <c r="U68" s="59">
        <v>19148500</v>
      </c>
      <c r="V68" s="74"/>
      <c r="Y68" s="52"/>
      <c r="Z68" s="14"/>
    </row>
    <row r="69" spans="1:26" ht="18" customHeight="1">
      <c r="A69" s="60" t="e" vm="1">
        <v>#REF!</v>
      </c>
      <c r="B69" s="60" t="s">
        <v>159</v>
      </c>
      <c r="C69" s="62">
        <v>0.11815471070993207</v>
      </c>
      <c r="D69" s="62">
        <v>0.10598320849895601</v>
      </c>
      <c r="E69" s="62">
        <v>0.10077922146089151</v>
      </c>
      <c r="F69" s="62">
        <v>7.5235596771004221E-2</v>
      </c>
      <c r="G69" s="62">
        <v>6.8783968044430682E-2</v>
      </c>
      <c r="H69" s="62">
        <v>5.3939940183561665E-2</v>
      </c>
      <c r="I69" s="62">
        <v>5.7753122546991796E-2</v>
      </c>
      <c r="J69" s="62">
        <v>5.2493019615936422E-2</v>
      </c>
      <c r="K69" s="62">
        <v>6.1408600762355006E-2</v>
      </c>
      <c r="L69" s="62">
        <v>8.2989633899103674E-2</v>
      </c>
      <c r="M69" s="62">
        <v>0.10001868371260943</v>
      </c>
      <c r="N69" s="62">
        <v>0.12246029379422761</v>
      </c>
      <c r="O69" s="63">
        <f>SUM(Tableau1362[[#This Row],[JANVIER]:[DECEMBRE]])</f>
        <v>1</v>
      </c>
      <c r="Q69" s="65" t="s">
        <v>160</v>
      </c>
      <c r="R69" s="61" t="s">
        <v>161</v>
      </c>
      <c r="S69" s="64">
        <v>15.73</v>
      </c>
      <c r="T69" s="65" t="s">
        <v>162</v>
      </c>
      <c r="U69" s="67">
        <v>15217000</v>
      </c>
      <c r="V69" s="74"/>
      <c r="Y69" s="52"/>
      <c r="Z69" s="14"/>
    </row>
    <row r="70" spans="1:26" ht="18" customHeight="1">
      <c r="A70" s="60" t="e" vm="1">
        <v>#REF!</v>
      </c>
      <c r="B70" s="61" t="s">
        <v>161</v>
      </c>
      <c r="C70" s="62">
        <v>2.9499999999999998E-2</v>
      </c>
      <c r="D70" s="62">
        <v>4.5199999999999997E-2</v>
      </c>
      <c r="E70" s="62">
        <v>8.8400000000000006E-2</v>
      </c>
      <c r="F70" s="62">
        <v>0.1022</v>
      </c>
      <c r="G70" s="62">
        <v>0.11899999999999999</v>
      </c>
      <c r="H70" s="62">
        <v>0.1293</v>
      </c>
      <c r="I70" s="62">
        <v>0.13500000000000001</v>
      </c>
      <c r="J70" s="62">
        <v>0.1246</v>
      </c>
      <c r="K70" s="62">
        <v>9.7900000000000001E-2</v>
      </c>
      <c r="L70" s="62">
        <v>6.6799999999999998E-2</v>
      </c>
      <c r="M70" s="62">
        <v>3.61E-2</v>
      </c>
      <c r="N70" s="62">
        <v>2.5999999999999999E-2</v>
      </c>
      <c r="O70" s="63">
        <f>SUM(Tableau1362[[#This Row],[JANVIER]:[DECEMBRE]])</f>
        <v>1</v>
      </c>
      <c r="Q70" s="57" t="s">
        <v>163</v>
      </c>
      <c r="R70" s="54" t="s">
        <v>164</v>
      </c>
      <c r="S70" s="64">
        <v>12</v>
      </c>
      <c r="T70" s="57" t="s">
        <v>163</v>
      </c>
      <c r="U70" s="59">
        <v>21290716</v>
      </c>
      <c r="V70" s="74"/>
      <c r="Y70" s="52"/>
      <c r="Z70" s="14"/>
    </row>
    <row r="71" spans="1:26" ht="18" customHeight="1">
      <c r="A71" s="60" t="e" vm="1">
        <v>#REF!</v>
      </c>
      <c r="B71" s="61" t="s">
        <v>164</v>
      </c>
      <c r="C71" s="62">
        <v>0.1181880749731239</v>
      </c>
      <c r="D71" s="62">
        <v>0.10412696696290509</v>
      </c>
      <c r="E71" s="62">
        <v>0.10094900453195595</v>
      </c>
      <c r="F71" s="62">
        <v>7.7173997964149546E-2</v>
      </c>
      <c r="G71" s="62">
        <v>6.8531554494992541E-2</v>
      </c>
      <c r="H71" s="62">
        <v>5.4234604187993606E-2</v>
      </c>
      <c r="I71" s="62">
        <v>5.6208919669895926E-2</v>
      </c>
      <c r="J71" s="62">
        <v>5.1561624679131869E-2</v>
      </c>
      <c r="K71" s="62">
        <v>5.9230204702410617E-2</v>
      </c>
      <c r="L71" s="62">
        <v>8.5755703279167136E-2</v>
      </c>
      <c r="M71" s="62">
        <v>0.10347532117727837</v>
      </c>
      <c r="N71" s="62">
        <v>0.1205640233769958</v>
      </c>
      <c r="O71" s="63">
        <f>SUM(Tableau1362[[#This Row],[JANVIER]:[DECEMBRE]])</f>
        <v>1.0000000000000002</v>
      </c>
      <c r="Q71" s="57" t="s">
        <v>165</v>
      </c>
      <c r="R71" s="54" t="s">
        <v>166</v>
      </c>
      <c r="S71" s="64">
        <v>17.7</v>
      </c>
      <c r="T71" s="57" t="s">
        <v>165</v>
      </c>
      <c r="U71" s="67">
        <v>43476001</v>
      </c>
      <c r="V71" s="74"/>
      <c r="Y71" s="52"/>
      <c r="Z71" s="14"/>
    </row>
    <row r="72" spans="1:26" ht="18" customHeight="1">
      <c r="A72" s="60" t="e" vm="1">
        <v>#REF!</v>
      </c>
      <c r="B72" s="61" t="s">
        <v>166</v>
      </c>
      <c r="C72" s="62">
        <v>0.11399861076317976</v>
      </c>
      <c r="D72" s="62">
        <v>0.1032985635767415</v>
      </c>
      <c r="E72" s="62">
        <v>9.8630701594610112E-2</v>
      </c>
      <c r="F72" s="62">
        <v>7.6217965994570674E-2</v>
      </c>
      <c r="G72" s="62">
        <v>7.0560442868787251E-2</v>
      </c>
      <c r="H72" s="62">
        <v>5.731758440389912E-2</v>
      </c>
      <c r="I72" s="62">
        <v>6.0722625759136048E-2</v>
      </c>
      <c r="J72" s="62">
        <v>5.6162596734913209E-2</v>
      </c>
      <c r="K72" s="62">
        <v>6.4051789480138982E-2</v>
      </c>
      <c r="L72" s="62">
        <v>8.3311224036005826E-2</v>
      </c>
      <c r="M72" s="62">
        <v>9.8236528124426292E-2</v>
      </c>
      <c r="N72" s="62">
        <v>0.11749136666359121</v>
      </c>
      <c r="O72" s="63">
        <f>SUM(Tableau1362[[#This Row],[JANVIER]:[DECEMBRE]])</f>
        <v>1</v>
      </c>
      <c r="Q72" s="57" t="s">
        <v>167</v>
      </c>
      <c r="R72" s="54" t="s">
        <v>168</v>
      </c>
      <c r="S72" s="64">
        <v>6</v>
      </c>
      <c r="T72" s="57" t="s">
        <v>167</v>
      </c>
      <c r="U72" s="67">
        <v>13665300.3934</v>
      </c>
      <c r="V72" s="74"/>
      <c r="Y72" s="52"/>
      <c r="Z72" s="14"/>
    </row>
    <row r="73" spans="1:26" ht="18" customHeight="1">
      <c r="A73" s="60" t="e" vm="1">
        <v>#REF!</v>
      </c>
      <c r="B73" s="61" t="s">
        <v>168</v>
      </c>
      <c r="C73" s="62">
        <v>0.12425639703491585</v>
      </c>
      <c r="D73" s="62">
        <v>0.10557957536666883</v>
      </c>
      <c r="E73" s="62">
        <v>9.712475982247426E-2</v>
      </c>
      <c r="F73" s="62">
        <v>6.835365788102922E-2</v>
      </c>
      <c r="G73" s="62">
        <v>6.7306941686477828E-2</v>
      </c>
      <c r="H73" s="62">
        <v>5.1698671904654867E-2</v>
      </c>
      <c r="I73" s="62">
        <v>5.442541954532705E-2</v>
      </c>
      <c r="J73" s="62">
        <v>5.1926841896024145E-2</v>
      </c>
      <c r="K73" s="62">
        <v>6.1303067553005436E-2</v>
      </c>
      <c r="L73" s="62">
        <v>9.2265436469164297E-2</v>
      </c>
      <c r="M73" s="62">
        <v>0.1038007604058816</v>
      </c>
      <c r="N73" s="62">
        <v>0.12195847043437655</v>
      </c>
      <c r="O73" s="56">
        <f>SUM(Tableau1362[[#This Row],[JANVIER]:[DECEMBRE]])</f>
        <v>1</v>
      </c>
      <c r="Q73" s="65" t="s">
        <v>169</v>
      </c>
      <c r="R73" s="54" t="s">
        <v>170</v>
      </c>
      <c r="S73" s="64">
        <v>12</v>
      </c>
      <c r="T73" s="65" t="s">
        <v>169</v>
      </c>
      <c r="U73" s="59">
        <v>19556955.5</v>
      </c>
      <c r="V73" s="74"/>
      <c r="Y73" s="52"/>
      <c r="Z73" s="14"/>
    </row>
    <row r="74" spans="1:26" ht="18" customHeight="1">
      <c r="A74" s="60" t="e" vm="1">
        <v>#REF!</v>
      </c>
      <c r="B74" s="61" t="s">
        <v>170</v>
      </c>
      <c r="C74" s="62">
        <v>0.11368662265008364</v>
      </c>
      <c r="D74" s="62">
        <v>0.10082779740381539</v>
      </c>
      <c r="E74" s="62">
        <v>0.10176280372183967</v>
      </c>
      <c r="F74" s="62">
        <v>7.7580479638407557E-2</v>
      </c>
      <c r="G74" s="62">
        <v>7.0758487225141178E-2</v>
      </c>
      <c r="H74" s="62">
        <v>5.7119401383808832E-2</v>
      </c>
      <c r="I74" s="62">
        <v>6.0519880324597451E-2</v>
      </c>
      <c r="J74" s="62">
        <v>5.4853504086660697E-2</v>
      </c>
      <c r="K74" s="62">
        <v>6.1252822943570991E-2</v>
      </c>
      <c r="L74" s="62">
        <v>8.2001152806518152E-2</v>
      </c>
      <c r="M74" s="62">
        <v>0.10174437420609019</v>
      </c>
      <c r="N74" s="62">
        <v>0.11789267360946611</v>
      </c>
      <c r="O74" s="56">
        <f>SUM(Tableau1362[[#This Row],[JANVIER]:[DECEMBRE]])</f>
        <v>0.99999999999999978</v>
      </c>
      <c r="Q74" s="57" t="s">
        <v>171</v>
      </c>
      <c r="R74" s="60" t="s">
        <v>172</v>
      </c>
      <c r="S74" s="64">
        <v>6.3</v>
      </c>
      <c r="T74" s="57" t="s">
        <v>171</v>
      </c>
      <c r="U74" s="59">
        <v>11213242.199999999</v>
      </c>
      <c r="V74" s="74"/>
      <c r="Y74" s="52"/>
      <c r="Z74" s="14"/>
    </row>
    <row r="75" spans="1:26" ht="18" customHeight="1">
      <c r="A75" s="60" t="e" vm="1">
        <v>#REF!</v>
      </c>
      <c r="B75" s="61" t="s">
        <v>172</v>
      </c>
      <c r="C75" s="62">
        <v>0.10751509924715416</v>
      </c>
      <c r="D75" s="62">
        <v>0.10008797812355261</v>
      </c>
      <c r="E75" s="62">
        <v>9.9352616492964535E-2</v>
      </c>
      <c r="F75" s="62">
        <v>8.5151820059586089E-2</v>
      </c>
      <c r="G75" s="62">
        <v>8.2579935072810653E-2</v>
      </c>
      <c r="H75" s="62">
        <v>6.0690336185366338E-2</v>
      </c>
      <c r="I75" s="62">
        <v>6.7984030653346753E-2</v>
      </c>
      <c r="J75" s="62">
        <v>5.8782554427351606E-2</v>
      </c>
      <c r="K75" s="62">
        <v>6.1104878281040997E-2</v>
      </c>
      <c r="L75" s="62">
        <v>8.0551421521083244E-2</v>
      </c>
      <c r="M75" s="62">
        <v>9.8392822241958264E-2</v>
      </c>
      <c r="N75" s="62">
        <v>9.780650769378478E-2</v>
      </c>
      <c r="O75" s="63">
        <f>SUM(Tableau1362[[#This Row],[JANVIER]:[DECEMBRE]])</f>
        <v>0.99999999999999978</v>
      </c>
      <c r="Q75" s="57" t="s">
        <v>173</v>
      </c>
      <c r="R75" s="54" t="s">
        <v>174</v>
      </c>
      <c r="S75" s="64">
        <v>12</v>
      </c>
      <c r="T75" s="57" t="s">
        <v>173</v>
      </c>
      <c r="U75" s="67">
        <v>17780000</v>
      </c>
      <c r="V75" s="74"/>
      <c r="Y75" s="52"/>
      <c r="Z75" s="14"/>
    </row>
    <row r="76" spans="1:26" ht="18" customHeight="1">
      <c r="A76" s="60" t="e" vm="1">
        <v>#REF!</v>
      </c>
      <c r="B76" s="60" t="s">
        <v>174</v>
      </c>
      <c r="C76" s="62">
        <v>0.11429002277487606</v>
      </c>
      <c r="D76" s="62">
        <v>0.10211209387242912</v>
      </c>
      <c r="E76" s="62">
        <v>9.8395786669127863E-2</v>
      </c>
      <c r="F76" s="62">
        <v>7.7257011143146398E-2</v>
      </c>
      <c r="G76" s="62">
        <v>7.0290724030017682E-2</v>
      </c>
      <c r="H76" s="62">
        <v>5.7583552802607865E-2</v>
      </c>
      <c r="I76" s="62">
        <v>5.9849979054944831E-2</v>
      </c>
      <c r="J76" s="62">
        <v>5.589879806814043E-2</v>
      </c>
      <c r="K76" s="62">
        <v>6.196658832600601E-2</v>
      </c>
      <c r="L76" s="62">
        <v>8.5077061534070589E-2</v>
      </c>
      <c r="M76" s="62">
        <v>0.10124163425938185</v>
      </c>
      <c r="N76" s="62">
        <v>0.11603674746525121</v>
      </c>
      <c r="O76" s="63">
        <f>SUM(Tableau1362[[#This Row],[JANVIER]:[DECEMBRE]])</f>
        <v>0.99999999999999978</v>
      </c>
      <c r="Q76" s="57" t="s">
        <v>175</v>
      </c>
      <c r="R76" s="61" t="s">
        <v>176</v>
      </c>
      <c r="S76" s="64">
        <v>21</v>
      </c>
      <c r="T76" s="57" t="s">
        <v>175</v>
      </c>
      <c r="U76" s="67">
        <v>43983795</v>
      </c>
      <c r="V76" s="74"/>
      <c r="Y76" s="52"/>
      <c r="Z76" s="14"/>
    </row>
    <row r="77" spans="1:26" ht="18" customHeight="1">
      <c r="A77" s="60" t="e" vm="1">
        <v>#REF!</v>
      </c>
      <c r="B77" s="61" t="s">
        <v>176</v>
      </c>
      <c r="C77" s="62">
        <v>0.12175042161026579</v>
      </c>
      <c r="D77" s="62">
        <v>0.10606423369247418</v>
      </c>
      <c r="E77" s="62">
        <v>9.8502799187397724E-2</v>
      </c>
      <c r="F77" s="62">
        <v>7.0751079506485057E-2</v>
      </c>
      <c r="G77" s="62">
        <v>6.7487856410475347E-2</v>
      </c>
      <c r="H77" s="62">
        <v>5.2154844607252372E-2</v>
      </c>
      <c r="I77" s="62">
        <v>5.5116125162885929E-2</v>
      </c>
      <c r="J77" s="62">
        <v>5.1819197086004652E-2</v>
      </c>
      <c r="K77" s="62">
        <v>6.1537700285151362E-2</v>
      </c>
      <c r="L77" s="62">
        <v>9.0455872729027401E-2</v>
      </c>
      <c r="M77" s="62">
        <v>0.1027707111708667</v>
      </c>
      <c r="N77" s="62">
        <v>0.12158915855171347</v>
      </c>
      <c r="O77" s="63">
        <f>SUM(Tableau1362[[#This Row],[JANVIER]:[DECEMBRE]])</f>
        <v>1</v>
      </c>
      <c r="Q77" s="57" t="s">
        <v>177</v>
      </c>
      <c r="R77" s="54" t="s">
        <v>178</v>
      </c>
      <c r="S77" s="64">
        <v>8</v>
      </c>
      <c r="T77" s="57" t="s">
        <v>177</v>
      </c>
      <c r="U77" s="67">
        <v>14468000</v>
      </c>
      <c r="V77" s="74"/>
      <c r="Y77" s="52"/>
      <c r="Z77" s="14"/>
    </row>
    <row r="78" spans="1:26" ht="18" customHeight="1">
      <c r="A78" s="60" t="e" vm="1">
        <v>#REF!</v>
      </c>
      <c r="B78" s="61" t="s">
        <v>178</v>
      </c>
      <c r="C78" s="62">
        <v>0.11787683999386747</v>
      </c>
      <c r="D78" s="62">
        <v>0.10181954343648796</v>
      </c>
      <c r="E78" s="62">
        <v>9.4321342710945291E-2</v>
      </c>
      <c r="F78" s="62">
        <v>7.1646778048796544E-2</v>
      </c>
      <c r="G78" s="62">
        <v>6.8253664154319341E-2</v>
      </c>
      <c r="H78" s="62">
        <v>5.5271733925500929E-2</v>
      </c>
      <c r="I78" s="62">
        <v>5.8575325027272494E-2</v>
      </c>
      <c r="J78" s="62">
        <v>5.575631563443411E-2</v>
      </c>
      <c r="K78" s="62">
        <v>6.4081893678780907E-2</v>
      </c>
      <c r="L78" s="62">
        <v>9.0860711626438675E-2</v>
      </c>
      <c r="M78" s="62">
        <v>0.10256573341814615</v>
      </c>
      <c r="N78" s="62">
        <v>0.11897011834501009</v>
      </c>
      <c r="O78" s="63">
        <f>SUM(Tableau1362[[#This Row],[JANVIER]:[DECEMBRE]])</f>
        <v>0.99999999999999978</v>
      </c>
      <c r="Q78" s="57" t="s">
        <v>179</v>
      </c>
      <c r="R78" s="54" t="s">
        <v>180</v>
      </c>
      <c r="S78" s="64">
        <v>10</v>
      </c>
      <c r="T78" s="57" t="s">
        <v>179</v>
      </c>
      <c r="U78" s="67">
        <v>15577644</v>
      </c>
      <c r="V78" s="74"/>
      <c r="Y78" s="52"/>
      <c r="Z78" s="14"/>
    </row>
    <row r="79" spans="1:26" ht="18" customHeight="1">
      <c r="A79" s="60" t="e" vm="1">
        <v>#REF!</v>
      </c>
      <c r="B79" s="61" t="s">
        <v>180</v>
      </c>
      <c r="C79" s="62">
        <v>0.1147124541691269</v>
      </c>
      <c r="D79" s="62">
        <v>0.10269631107864555</v>
      </c>
      <c r="E79" s="62">
        <v>9.9629641899155533E-2</v>
      </c>
      <c r="F79" s="62">
        <v>7.6944086122807204E-2</v>
      </c>
      <c r="G79" s="62">
        <v>7.0026596451875839E-2</v>
      </c>
      <c r="H79" s="62">
        <v>5.6908225034532384E-2</v>
      </c>
      <c r="I79" s="62">
        <v>5.9856007882638194E-2</v>
      </c>
      <c r="J79" s="62">
        <v>5.5837350796743922E-2</v>
      </c>
      <c r="K79" s="62">
        <v>6.1558400331037065E-2</v>
      </c>
      <c r="L79" s="62">
        <v>8.366044105699369E-2</v>
      </c>
      <c r="M79" s="62">
        <v>0.10074248774743684</v>
      </c>
      <c r="N79" s="62">
        <v>0.11742799742900691</v>
      </c>
      <c r="O79" s="63">
        <f>SUM(Tableau1362[[#This Row],[JANVIER]:[DECEMBRE]])</f>
        <v>1.0000000000000002</v>
      </c>
      <c r="Q79" s="57" t="s">
        <v>181</v>
      </c>
      <c r="R79" s="54" t="s">
        <v>182</v>
      </c>
      <c r="S79" s="64">
        <v>9.0440000000000005</v>
      </c>
      <c r="T79" s="57" t="s">
        <v>181</v>
      </c>
      <c r="U79" s="59">
        <v>12606000</v>
      </c>
      <c r="V79" s="74"/>
      <c r="Y79" s="52"/>
      <c r="Z79" s="14"/>
    </row>
    <row r="80" spans="1:26" ht="18" customHeight="1">
      <c r="A80" s="60" t="e" vm="1">
        <v>#REF!</v>
      </c>
      <c r="B80" s="61" t="s">
        <v>182</v>
      </c>
      <c r="C80" s="62">
        <v>8.72E-2</v>
      </c>
      <c r="D80" s="62">
        <v>8.1799999999999998E-2</v>
      </c>
      <c r="E80" s="62">
        <v>8.6599999999999996E-2</v>
      </c>
      <c r="F80" s="62">
        <v>8.1900000000000001E-2</v>
      </c>
      <c r="G80" s="62">
        <v>7.0900000000000005E-2</v>
      </c>
      <c r="H80" s="62">
        <v>6.9400000000000003E-2</v>
      </c>
      <c r="I80" s="62">
        <v>7.1999999999999995E-2</v>
      </c>
      <c r="J80" s="62">
        <v>8.1799999999999998E-2</v>
      </c>
      <c r="K80" s="62">
        <v>8.8900000000000007E-2</v>
      </c>
      <c r="L80" s="62">
        <v>9.5100000000000004E-2</v>
      </c>
      <c r="M80" s="62">
        <v>0.1</v>
      </c>
      <c r="N80" s="62">
        <v>9.3299999999999994E-2</v>
      </c>
      <c r="O80" s="63">
        <f>SUM(Tableau1362[[#This Row],[JANVIER]:[DECEMBRE]])</f>
        <v>1.0088999999999999</v>
      </c>
      <c r="Q80" s="57" t="s">
        <v>183</v>
      </c>
      <c r="R80" s="54" t="s">
        <v>184</v>
      </c>
      <c r="S80" s="64">
        <v>10</v>
      </c>
      <c r="T80" s="57" t="s">
        <v>183</v>
      </c>
      <c r="U80" s="59">
        <v>12900412</v>
      </c>
      <c r="V80" s="74"/>
      <c r="Y80" s="52"/>
      <c r="Z80" s="14"/>
    </row>
    <row r="81" spans="1:26" ht="18" customHeight="1">
      <c r="A81" s="60" t="e" vm="1">
        <v>#REF!</v>
      </c>
      <c r="B81" s="61" t="s">
        <v>184</v>
      </c>
      <c r="C81" s="62">
        <v>0.11193414061626747</v>
      </c>
      <c r="D81" s="62">
        <v>0.10031314492774462</v>
      </c>
      <c r="E81" s="62">
        <v>9.5636727687592848E-2</v>
      </c>
      <c r="F81" s="62">
        <v>7.7395824233665214E-2</v>
      </c>
      <c r="G81" s="62">
        <v>7.0682457985067088E-2</v>
      </c>
      <c r="H81" s="62">
        <v>5.924763605431705E-2</v>
      </c>
      <c r="I81" s="62">
        <v>6.0865526885836456E-2</v>
      </c>
      <c r="J81" s="62">
        <v>5.876573958908797E-2</v>
      </c>
      <c r="K81" s="62">
        <v>6.4961721161145028E-2</v>
      </c>
      <c r="L81" s="62">
        <v>8.7266414994816785E-2</v>
      </c>
      <c r="M81" s="62">
        <v>0.10061232355525537</v>
      </c>
      <c r="N81" s="62">
        <v>0.11231834230920419</v>
      </c>
      <c r="O81" s="63">
        <f>SUM(Tableau1362[[#This Row],[JANVIER]:[DECEMBRE]])</f>
        <v>1.0000000000000002</v>
      </c>
      <c r="Q81" s="57" t="s">
        <v>185</v>
      </c>
      <c r="R81" s="54" t="s">
        <v>186</v>
      </c>
      <c r="S81" s="64">
        <v>10</v>
      </c>
      <c r="T81" s="57" t="s">
        <v>185</v>
      </c>
      <c r="U81" s="59">
        <v>15597000</v>
      </c>
      <c r="V81" s="74"/>
      <c r="Y81" s="52"/>
      <c r="Z81" s="14"/>
    </row>
    <row r="82" spans="1:26" ht="18" customHeight="1">
      <c r="A82" s="60" t="e" vm="1">
        <v>#REF!</v>
      </c>
      <c r="B82" s="61" t="s">
        <v>186</v>
      </c>
      <c r="C82" s="62">
        <v>0.12209788659712532</v>
      </c>
      <c r="D82" s="62">
        <v>0.10733526987046328</v>
      </c>
      <c r="E82" s="62">
        <v>0.10438817772375024</v>
      </c>
      <c r="F82" s="62">
        <v>6.9971504358640552E-2</v>
      </c>
      <c r="G82" s="62">
        <v>6.296082995217421E-2</v>
      </c>
      <c r="H82" s="62">
        <v>4.9124878145156953E-2</v>
      </c>
      <c r="I82" s="62">
        <v>5.3986227722744265E-2</v>
      </c>
      <c r="J82" s="62">
        <v>4.8817252494476326E-2</v>
      </c>
      <c r="K82" s="62">
        <v>6.071328472390107E-2</v>
      </c>
      <c r="L82" s="62">
        <v>8.9857533999023576E-2</v>
      </c>
      <c r="M82" s="62">
        <v>0.1020193641805279</v>
      </c>
      <c r="N82" s="62">
        <v>0.12872779023201619</v>
      </c>
      <c r="O82" s="63">
        <f>SUM(Tableau1362[[#This Row],[JANVIER]:[DECEMBRE]])</f>
        <v>1</v>
      </c>
      <c r="Q82" s="57" t="s">
        <v>187</v>
      </c>
      <c r="R82" s="54" t="s">
        <v>188</v>
      </c>
      <c r="S82" s="64">
        <v>6.85</v>
      </c>
      <c r="T82" s="57" t="s">
        <v>187</v>
      </c>
      <c r="U82" s="59">
        <v>8676717</v>
      </c>
      <c r="V82" s="74"/>
      <c r="Y82" s="52"/>
      <c r="Z82" s="14"/>
    </row>
    <row r="83" spans="1:26" ht="18" customHeight="1">
      <c r="A83" s="60" t="e" vm="1">
        <v>#REF!</v>
      </c>
      <c r="B83" s="61" t="s">
        <v>188</v>
      </c>
      <c r="C83" s="62">
        <v>0.11865189699897932</v>
      </c>
      <c r="D83" s="62">
        <v>0.10388353898797051</v>
      </c>
      <c r="E83" s="62">
        <v>9.8796901808666376E-2</v>
      </c>
      <c r="F83" s="62">
        <v>7.6100096881750609E-2</v>
      </c>
      <c r="G83" s="62">
        <v>6.7490898546276309E-2</v>
      </c>
      <c r="H83" s="62">
        <v>5.3765952103296939E-2</v>
      </c>
      <c r="I83" s="62">
        <v>5.5814361772890321E-2</v>
      </c>
      <c r="J83" s="62">
        <v>5.3010826658898252E-2</v>
      </c>
      <c r="K83" s="62">
        <v>6.0844535784618667E-2</v>
      </c>
      <c r="L83" s="62">
        <v>8.8118235818970048E-2</v>
      </c>
      <c r="M83" s="62">
        <v>0.10412651573368595</v>
      </c>
      <c r="N83" s="62">
        <v>0.11939623890399671</v>
      </c>
      <c r="O83" s="63">
        <f>SUM(Tableau1362[[#This Row],[JANVIER]:[DECEMBRE]])</f>
        <v>1</v>
      </c>
      <c r="Q83" s="57" t="s">
        <v>189</v>
      </c>
      <c r="R83" s="54" t="s">
        <v>190</v>
      </c>
      <c r="S83" s="64">
        <v>4.8499999999999996</v>
      </c>
      <c r="T83" s="57" t="s">
        <v>189</v>
      </c>
      <c r="U83" s="59">
        <v>6695910</v>
      </c>
      <c r="V83" s="74"/>
      <c r="Y83" s="52"/>
      <c r="Z83" s="14"/>
    </row>
    <row r="84" spans="1:26" ht="18" customHeight="1">
      <c r="A84" s="60" t="e" vm="1">
        <v>#REF!</v>
      </c>
      <c r="B84" s="61" t="s">
        <v>190</v>
      </c>
      <c r="C84" s="62">
        <v>0.11785926764574893</v>
      </c>
      <c r="D84" s="62">
        <v>0.10342234536834916</v>
      </c>
      <c r="E84" s="62">
        <v>9.844986396207471E-2</v>
      </c>
      <c r="F84" s="62">
        <v>7.6262427252392406E-2</v>
      </c>
      <c r="G84" s="62">
        <v>6.7846439019488405E-2</v>
      </c>
      <c r="H84" s="62">
        <v>5.4429511767923856E-2</v>
      </c>
      <c r="I84" s="62">
        <v>5.6431950439179611E-2</v>
      </c>
      <c r="J84" s="62">
        <v>5.3691333065704942E-2</v>
      </c>
      <c r="K84" s="62">
        <v>6.1349235840507568E-2</v>
      </c>
      <c r="L84" s="62">
        <v>8.8010851662627648E-2</v>
      </c>
      <c r="M84" s="62">
        <v>0.10365986916012712</v>
      </c>
      <c r="N84" s="62">
        <v>0.1185869048158756</v>
      </c>
      <c r="O84" s="63">
        <f>SUM(Tableau1362[[#This Row],[JANVIER]:[DECEMBRE]])</f>
        <v>1</v>
      </c>
      <c r="Q84" s="57" t="s">
        <v>191</v>
      </c>
      <c r="R84" s="61" t="s">
        <v>192</v>
      </c>
      <c r="S84" s="64">
        <v>37.950000000000003</v>
      </c>
      <c r="T84" s="57" t="s">
        <v>191</v>
      </c>
      <c r="U84" s="59">
        <v>71576000</v>
      </c>
      <c r="V84" s="74"/>
      <c r="Y84" s="52"/>
      <c r="Z84" s="14"/>
    </row>
    <row r="85" spans="1:26" ht="18" customHeight="1">
      <c r="A85" s="60" t="e" vm="1">
        <v>#REF!</v>
      </c>
      <c r="B85" s="61" t="s">
        <v>192</v>
      </c>
      <c r="C85" s="62">
        <v>0.15390000000000001</v>
      </c>
      <c r="D85" s="62">
        <v>9.8000000000000004E-2</v>
      </c>
      <c r="E85" s="62">
        <v>0.1076</v>
      </c>
      <c r="F85" s="62">
        <v>6.5500000000000003E-2</v>
      </c>
      <c r="G85" s="62">
        <v>6.3799999999999996E-2</v>
      </c>
      <c r="H85" s="62">
        <v>5.9900000000000002E-2</v>
      </c>
      <c r="I85" s="62">
        <v>5.4100000000000002E-2</v>
      </c>
      <c r="J85" s="62">
        <v>5.3999999999999999E-2</v>
      </c>
      <c r="K85" s="62">
        <v>6.4100000000000004E-2</v>
      </c>
      <c r="L85" s="62">
        <v>8.3299999999999999E-2</v>
      </c>
      <c r="M85" s="62">
        <v>8.8800000000000004E-2</v>
      </c>
      <c r="N85" s="62">
        <v>0.107</v>
      </c>
      <c r="O85" s="63">
        <f>SUM(Tableau1362[[#This Row],[JANVIER]:[DECEMBRE]])</f>
        <v>1.0000000000000002</v>
      </c>
      <c r="Q85" s="57" t="s">
        <v>193</v>
      </c>
      <c r="R85" s="61" t="s">
        <v>194</v>
      </c>
      <c r="S85" s="64">
        <v>13.2</v>
      </c>
      <c r="T85" s="57" t="s">
        <v>193</v>
      </c>
      <c r="U85" s="59">
        <v>26792985.0306</v>
      </c>
      <c r="V85" s="74"/>
      <c r="Y85" s="52"/>
      <c r="Z85" s="14"/>
    </row>
    <row r="86" spans="1:26" ht="18" customHeight="1">
      <c r="A86" s="60" t="e" vm="1">
        <v>#REF!</v>
      </c>
      <c r="B86" s="61" t="s">
        <v>194</v>
      </c>
      <c r="C86" s="62">
        <v>0.11333099029028323</v>
      </c>
      <c r="D86" s="62">
        <v>0.10297210572480538</v>
      </c>
      <c r="E86" s="62">
        <v>9.8865522326306757E-2</v>
      </c>
      <c r="F86" s="62">
        <v>7.6123407334837356E-2</v>
      </c>
      <c r="G86" s="62">
        <v>6.8552589777645306E-2</v>
      </c>
      <c r="H86" s="62">
        <v>5.7769691663554223E-2</v>
      </c>
      <c r="I86" s="62">
        <v>5.9889090690874273E-2</v>
      </c>
      <c r="J86" s="62">
        <v>5.4896649990068512E-2</v>
      </c>
      <c r="K86" s="62">
        <v>6.4054807667516755E-2</v>
      </c>
      <c r="L86" s="62">
        <v>8.4737278160145521E-2</v>
      </c>
      <c r="M86" s="62">
        <v>0.10013913923069143</v>
      </c>
      <c r="N86" s="62">
        <v>0.11866872714327122</v>
      </c>
      <c r="O86" s="63">
        <f>SUM(Tableau1362[[#This Row],[JANVIER]:[DECEMBRE]])</f>
        <v>0.99999999999999978</v>
      </c>
      <c r="Q86" s="57" t="s">
        <v>195</v>
      </c>
      <c r="R86" s="61" t="s">
        <v>196</v>
      </c>
      <c r="S86" s="64">
        <v>11.5</v>
      </c>
      <c r="T86" s="57" t="s">
        <v>195</v>
      </c>
      <c r="U86" s="59">
        <v>27985843</v>
      </c>
      <c r="V86" s="74"/>
      <c r="Y86" s="52"/>
      <c r="Z86" s="14"/>
    </row>
    <row r="87" spans="1:26" ht="18" customHeight="1">
      <c r="A87" s="60" t="e" vm="1">
        <v>#REF!</v>
      </c>
      <c r="B87" s="61" t="s">
        <v>196</v>
      </c>
      <c r="C87" s="62">
        <v>9.8097691337831888E-2</v>
      </c>
      <c r="D87" s="62">
        <v>9.3952163697189353E-2</v>
      </c>
      <c r="E87" s="62">
        <v>0.10379016494006643</v>
      </c>
      <c r="F87" s="62">
        <v>9.4943301751019782E-2</v>
      </c>
      <c r="G87" s="62">
        <v>8.5052796357104291E-2</v>
      </c>
      <c r="H87" s="62">
        <v>6.0278658057704944E-2</v>
      </c>
      <c r="I87" s="62">
        <v>6.0001817988593269E-2</v>
      </c>
      <c r="J87" s="62">
        <v>5.2017679086379463E-2</v>
      </c>
      <c r="K87" s="62">
        <v>5.9611401031966944E-2</v>
      </c>
      <c r="L87" s="62">
        <v>9.4414809803546523E-2</v>
      </c>
      <c r="M87" s="62">
        <v>0.10062157105390408</v>
      </c>
      <c r="N87" s="62">
        <v>9.7217944894693042E-2</v>
      </c>
      <c r="O87" s="63">
        <f>SUM(Tableau1362[[#This Row],[JANVIER]:[DECEMBRE]])</f>
        <v>1</v>
      </c>
      <c r="Q87" s="57" t="s">
        <v>197</v>
      </c>
      <c r="R87" s="61" t="s">
        <v>198</v>
      </c>
      <c r="S87" s="64">
        <v>10</v>
      </c>
      <c r="T87" s="57" t="s">
        <v>197</v>
      </c>
      <c r="U87" s="59">
        <v>17739938.816500001</v>
      </c>
      <c r="V87" s="74"/>
      <c r="Y87" s="52"/>
      <c r="Z87" s="14"/>
    </row>
    <row r="88" spans="1:26" ht="18" customHeight="1">
      <c r="A88" s="60" t="e" vm="1">
        <v>#REF!</v>
      </c>
      <c r="B88" s="61" t="s">
        <v>198</v>
      </c>
      <c r="C88" s="62">
        <v>0.12215258597732177</v>
      </c>
      <c r="D88" s="62">
        <v>0.10476249878154043</v>
      </c>
      <c r="E88" s="62">
        <v>9.4251384070273364E-2</v>
      </c>
      <c r="F88" s="62">
        <v>7.0589962463970368E-2</v>
      </c>
      <c r="G88" s="62">
        <v>6.683594297453431E-2</v>
      </c>
      <c r="H88" s="62">
        <v>5.1601634787010082E-2</v>
      </c>
      <c r="I88" s="62">
        <v>5.5662195571973688E-2</v>
      </c>
      <c r="J88" s="62">
        <v>5.3730890505724223E-2</v>
      </c>
      <c r="K88" s="62">
        <v>6.1170348549488079E-2</v>
      </c>
      <c r="L88" s="62">
        <v>9.1583520759955225E-2</v>
      </c>
      <c r="M88" s="62">
        <v>0.10532683046752223</v>
      </c>
      <c r="N88" s="62">
        <v>0.12233220509068611</v>
      </c>
      <c r="O88" s="63">
        <f>SUM(Tableau1362[[#This Row],[JANVIER]:[DECEMBRE]])</f>
        <v>1</v>
      </c>
      <c r="Q88" s="57" t="s">
        <v>199</v>
      </c>
      <c r="R88" s="54" t="s">
        <v>200</v>
      </c>
      <c r="S88" s="64">
        <v>20</v>
      </c>
      <c r="T88" s="57" t="s">
        <v>199</v>
      </c>
      <c r="U88" s="59">
        <v>35914921</v>
      </c>
      <c r="V88" s="74"/>
      <c r="Y88" s="52"/>
      <c r="Z88" s="14"/>
    </row>
    <row r="89" spans="1:26" ht="18" customHeight="1">
      <c r="A89" s="60" t="e" vm="1">
        <v>#REF!</v>
      </c>
      <c r="B89" s="61" t="s">
        <v>200</v>
      </c>
      <c r="C89" s="62">
        <v>0.12137410049188932</v>
      </c>
      <c r="D89" s="62">
        <v>0.10588968458575068</v>
      </c>
      <c r="E89" s="62">
        <v>0.10718945514379552</v>
      </c>
      <c r="F89" s="62">
        <v>7.262233316564605E-2</v>
      </c>
      <c r="G89" s="62">
        <v>6.9016180809783556E-2</v>
      </c>
      <c r="H89" s="62">
        <v>5.6663258448895561E-2</v>
      </c>
      <c r="I89" s="62">
        <v>5.8447055533285656E-2</v>
      </c>
      <c r="J89" s="62">
        <v>5.2388318101905251E-2</v>
      </c>
      <c r="K89" s="62">
        <v>6.420192768555559E-2</v>
      </c>
      <c r="L89" s="62">
        <v>7.6445448509125533E-2</v>
      </c>
      <c r="M89" s="62">
        <v>9.1697678889580206E-2</v>
      </c>
      <c r="N89" s="62">
        <v>0.12406455863478712</v>
      </c>
      <c r="O89" s="63">
        <f>SUM(Tableau1362[[#This Row],[JANVIER]:[DECEMBRE]])</f>
        <v>1</v>
      </c>
      <c r="Q89" s="57" t="s">
        <v>201</v>
      </c>
      <c r="R89" s="54" t="s">
        <v>202</v>
      </c>
      <c r="S89" s="64">
        <v>10</v>
      </c>
      <c r="T89" s="57" t="s">
        <v>201</v>
      </c>
      <c r="U89" s="59">
        <v>17967425.562899999</v>
      </c>
      <c r="V89" s="74"/>
      <c r="Y89" s="52"/>
      <c r="Z89" s="14"/>
    </row>
    <row r="90" spans="1:26" ht="18" customHeight="1">
      <c r="A90" s="60" t="e" vm="1">
        <v>#REF!</v>
      </c>
      <c r="B90" s="61" t="s">
        <v>202</v>
      </c>
      <c r="C90" s="62">
        <v>0.12548610220433934</v>
      </c>
      <c r="D90" s="62">
        <v>0.10481671894509355</v>
      </c>
      <c r="E90" s="62">
        <v>9.6020228042215799E-2</v>
      </c>
      <c r="F90" s="62">
        <v>6.646790013275812E-2</v>
      </c>
      <c r="G90" s="62">
        <v>6.6374108490202741E-2</v>
      </c>
      <c r="H90" s="62">
        <v>5.0795445630821529E-2</v>
      </c>
      <c r="I90" s="62">
        <v>5.4516069812646208E-2</v>
      </c>
      <c r="J90" s="62">
        <v>5.2898931122157204E-2</v>
      </c>
      <c r="K90" s="62">
        <v>6.1253413900161605E-2</v>
      </c>
      <c r="L90" s="62">
        <v>9.3206122988815851E-2</v>
      </c>
      <c r="M90" s="62">
        <v>0.1046011627139575</v>
      </c>
      <c r="N90" s="62">
        <v>0.12356379601683042</v>
      </c>
      <c r="O90" s="56">
        <f>SUM(Tableau1362[[#This Row],[JANVIER]:[DECEMBRE]])</f>
        <v>0.99999999999999978</v>
      </c>
      <c r="Q90" s="57" t="s">
        <v>203</v>
      </c>
      <c r="R90" s="54" t="s">
        <v>204</v>
      </c>
      <c r="S90" s="64">
        <v>47.45</v>
      </c>
      <c r="T90" s="57" t="s">
        <v>203</v>
      </c>
      <c r="U90" s="67">
        <v>78422000</v>
      </c>
      <c r="V90" s="74"/>
      <c r="Y90" s="52"/>
      <c r="Z90" s="14"/>
    </row>
    <row r="91" spans="1:26" ht="18" customHeight="1">
      <c r="A91" s="60" t="e" vm="1">
        <v>#REF!</v>
      </c>
      <c r="B91" s="61" t="s">
        <v>204</v>
      </c>
      <c r="C91" s="62">
        <v>0.113</v>
      </c>
      <c r="D91" s="62">
        <v>0.104</v>
      </c>
      <c r="E91" s="62">
        <v>9.8000000000000004E-2</v>
      </c>
      <c r="F91" s="62">
        <v>7.2999999999999995E-2</v>
      </c>
      <c r="G91" s="62">
        <v>7.4499999999999997E-2</v>
      </c>
      <c r="H91" s="62">
        <v>6.2E-2</v>
      </c>
      <c r="I91" s="62">
        <v>6.8500000000000005E-2</v>
      </c>
      <c r="J91" s="62">
        <v>6.0999999999999999E-2</v>
      </c>
      <c r="K91" s="62">
        <v>6.5000000000000002E-2</v>
      </c>
      <c r="L91" s="62">
        <v>8.1000000000000003E-2</v>
      </c>
      <c r="M91" s="62">
        <v>9.0999999999999998E-2</v>
      </c>
      <c r="N91" s="62">
        <v>0.109</v>
      </c>
      <c r="O91" s="63">
        <f>SUM(Tableau1362[[#This Row],[JANVIER]:[DECEMBRE]])</f>
        <v>0.99999999999999978</v>
      </c>
      <c r="Q91" s="57" t="s">
        <v>205</v>
      </c>
      <c r="R91" s="54" t="s">
        <v>206</v>
      </c>
      <c r="S91" s="64">
        <v>12</v>
      </c>
      <c r="T91" s="57" t="s">
        <v>205</v>
      </c>
      <c r="U91" s="59">
        <v>24395249.2311</v>
      </c>
      <c r="V91" s="74"/>
      <c r="Y91" s="52"/>
      <c r="Z91" s="14"/>
    </row>
    <row r="92" spans="1:26" ht="18" customHeight="1">
      <c r="A92" s="60" t="e" vm="1">
        <v>#REF!</v>
      </c>
      <c r="B92" s="61" t="s">
        <v>206</v>
      </c>
      <c r="C92" s="62">
        <v>9.8391733974878687E-2</v>
      </c>
      <c r="D92" s="62">
        <v>9.567350971883927E-2</v>
      </c>
      <c r="E92" s="62">
        <v>0.10165671236169452</v>
      </c>
      <c r="F92" s="62">
        <v>9.0195071842194344E-2</v>
      </c>
      <c r="G92" s="62">
        <v>8.3209854542008604E-2</v>
      </c>
      <c r="H92" s="62">
        <v>6.6027797167961227E-2</v>
      </c>
      <c r="I92" s="62">
        <v>6.4623220045646232E-2</v>
      </c>
      <c r="J92" s="62">
        <v>5.8289683319682886E-2</v>
      </c>
      <c r="K92" s="62">
        <v>6.6674076425712603E-2</v>
      </c>
      <c r="L92" s="62">
        <v>8.3226997850807963E-2</v>
      </c>
      <c r="M92" s="62">
        <v>9.7052207490062631E-2</v>
      </c>
      <c r="N92" s="62">
        <v>9.4979135260511063E-2</v>
      </c>
      <c r="O92" s="56">
        <f>SUM(Tableau1362[[#This Row],[JANVIER]:[DECEMBRE]])</f>
        <v>1.0000000000000002</v>
      </c>
      <c r="Q92" s="57" t="s">
        <v>207</v>
      </c>
      <c r="R92" s="54" t="s">
        <v>208</v>
      </c>
      <c r="S92" s="64">
        <v>2</v>
      </c>
      <c r="T92" s="57" t="s">
        <v>207</v>
      </c>
      <c r="U92" s="59">
        <v>3725360.4988000002</v>
      </c>
      <c r="V92" s="74"/>
      <c r="Y92" s="52"/>
      <c r="Z92" s="14"/>
    </row>
    <row r="93" spans="1:26" ht="18" customHeight="1">
      <c r="A93" s="60" t="e" vm="1">
        <v>#REF!</v>
      </c>
      <c r="B93" s="61" t="s">
        <v>208</v>
      </c>
      <c r="C93" s="62">
        <v>9.7035654896417869E-2</v>
      </c>
      <c r="D93" s="62">
        <v>9.4562219388660926E-2</v>
      </c>
      <c r="E93" s="62">
        <v>0.1000066067801951</v>
      </c>
      <c r="F93" s="62">
        <v>8.957714034633131E-2</v>
      </c>
      <c r="G93" s="62">
        <v>8.3220974381992649E-2</v>
      </c>
      <c r="H93" s="62">
        <v>6.7586241261330823E-2</v>
      </c>
      <c r="I93" s="62">
        <v>6.6308152847544474E-2</v>
      </c>
      <c r="J93" s="62">
        <v>6.0544980587980454E-2</v>
      </c>
      <c r="K93" s="62">
        <v>6.8174320063326868E-2</v>
      </c>
      <c r="L93" s="62">
        <v>8.3236573856028159E-2</v>
      </c>
      <c r="M93" s="62">
        <v>9.5816759007396404E-2</v>
      </c>
      <c r="N93" s="62">
        <v>9.39303765827951E-2</v>
      </c>
      <c r="O93" s="56">
        <f>SUM(Tableau1362[[#This Row],[JANVIER]:[DECEMBRE]])</f>
        <v>1</v>
      </c>
      <c r="Q93" s="57" t="s">
        <v>209</v>
      </c>
      <c r="R93" s="54" t="s">
        <v>210</v>
      </c>
      <c r="S93" s="64">
        <v>12</v>
      </c>
      <c r="T93" s="57" t="s">
        <v>209</v>
      </c>
      <c r="U93" s="59">
        <v>27392722</v>
      </c>
      <c r="V93" s="74"/>
      <c r="Y93" s="52"/>
      <c r="Z93" s="14"/>
    </row>
    <row r="94" spans="1:26" ht="18" customHeight="1">
      <c r="A94" s="60" t="e" vm="1">
        <v>#REF!</v>
      </c>
      <c r="B94" s="61" t="s">
        <v>210</v>
      </c>
      <c r="C94" s="62">
        <v>0.10308253047562442</v>
      </c>
      <c r="D94" s="62">
        <v>9.7819932479931024E-2</v>
      </c>
      <c r="E94" s="62">
        <v>9.7757882347141264E-2</v>
      </c>
      <c r="F94" s="62">
        <v>8.5848061644751075E-2</v>
      </c>
      <c r="G94" s="62">
        <v>8.5056629091455477E-2</v>
      </c>
      <c r="H94" s="62">
        <v>6.7516141095660301E-2</v>
      </c>
      <c r="I94" s="62">
        <v>7.0426950161584109E-2</v>
      </c>
      <c r="J94" s="62">
        <v>6.3009843543695224E-2</v>
      </c>
      <c r="K94" s="62">
        <v>6.5772087879076749E-2</v>
      </c>
      <c r="L94" s="62">
        <v>7.8314286553691714E-2</v>
      </c>
      <c r="M94" s="62">
        <v>9.1887441961815336E-2</v>
      </c>
      <c r="N94" s="62">
        <v>9.3508212765573293E-2</v>
      </c>
      <c r="O94" s="56">
        <f>SUM(Tableau1362[[#This Row],[JANVIER]:[DECEMBRE]])</f>
        <v>0.99999999999999989</v>
      </c>
      <c r="Q94" s="57" t="s">
        <v>211</v>
      </c>
      <c r="R94" s="54" t="s">
        <v>212</v>
      </c>
      <c r="S94" s="64">
        <v>8</v>
      </c>
      <c r="T94" s="57" t="s">
        <v>211</v>
      </c>
      <c r="U94" s="59">
        <v>15093945</v>
      </c>
      <c r="V94" s="74"/>
      <c r="Y94" s="52"/>
      <c r="Z94" s="14"/>
    </row>
    <row r="95" spans="1:26" ht="18" customHeight="1">
      <c r="A95" s="60" t="e" vm="1">
        <v>#REF!</v>
      </c>
      <c r="B95" s="61" t="s">
        <v>212</v>
      </c>
      <c r="C95" s="62">
        <v>0.11313978178323632</v>
      </c>
      <c r="D95" s="62">
        <v>0.10173643105497777</v>
      </c>
      <c r="E95" s="62">
        <v>0.10224939908356445</v>
      </c>
      <c r="F95" s="62">
        <v>7.8475258612778279E-2</v>
      </c>
      <c r="G95" s="62">
        <v>7.0536071357537783E-2</v>
      </c>
      <c r="H95" s="62">
        <v>5.6441346278770822E-2</v>
      </c>
      <c r="I95" s="62">
        <v>5.9093382349419722E-2</v>
      </c>
      <c r="J95" s="62">
        <v>5.4515929852473242E-2</v>
      </c>
      <c r="K95" s="62">
        <v>6.190347821519273E-2</v>
      </c>
      <c r="L95" s="62">
        <v>8.2655677153418095E-2</v>
      </c>
      <c r="M95" s="62">
        <v>0.10209656083656593</v>
      </c>
      <c r="N95" s="62">
        <v>0.11715668342206487</v>
      </c>
      <c r="O95" s="63">
        <f>SUM(Tableau1362[[#This Row],[JANVIER]:[DECEMBRE]])</f>
        <v>1</v>
      </c>
      <c r="Q95" s="57" t="s">
        <v>213</v>
      </c>
      <c r="R95" s="60" t="s">
        <v>214</v>
      </c>
      <c r="S95" s="64">
        <v>15</v>
      </c>
      <c r="T95" s="57" t="s">
        <v>213</v>
      </c>
      <c r="U95" s="59">
        <v>29669000</v>
      </c>
      <c r="V95" s="74"/>
      <c r="Y95" s="52"/>
      <c r="Z95" s="14"/>
    </row>
    <row r="96" spans="1:26" ht="18" customHeight="1">
      <c r="A96" s="60" t="e" vm="1">
        <v>#REF!</v>
      </c>
      <c r="B96" s="61" t="s">
        <v>214</v>
      </c>
      <c r="C96" s="62">
        <v>0.11730342116215166</v>
      </c>
      <c r="D96" s="62">
        <v>0.10199306161805902</v>
      </c>
      <c r="E96" s="62">
        <v>9.545788464040332E-2</v>
      </c>
      <c r="F96" s="62">
        <v>7.0967347549068138E-2</v>
      </c>
      <c r="G96" s="62">
        <v>7.0181589754039056E-2</v>
      </c>
      <c r="H96" s="62">
        <v>5.6831135787971866E-2</v>
      </c>
      <c r="I96" s="62">
        <v>5.9526070510660084E-2</v>
      </c>
      <c r="J96" s="62">
        <v>5.7249398873101355E-2</v>
      </c>
      <c r="K96" s="62">
        <v>6.4899652762105187E-2</v>
      </c>
      <c r="L96" s="62">
        <v>9.0338501788876896E-2</v>
      </c>
      <c r="M96" s="62">
        <v>9.9750632812619353E-2</v>
      </c>
      <c r="N96" s="62">
        <v>0.11550130274094397</v>
      </c>
      <c r="O96" s="63">
        <f>SUM(Tableau1362[[#This Row],[JANVIER]:[DECEMBRE]])</f>
        <v>0.99999999999999978</v>
      </c>
      <c r="Q96" s="57" t="s">
        <v>215</v>
      </c>
      <c r="R96" s="53" t="s">
        <v>216</v>
      </c>
      <c r="S96" s="68">
        <v>4.0949999999999998</v>
      </c>
      <c r="T96" s="57" t="s">
        <v>215</v>
      </c>
      <c r="U96" s="59">
        <v>5593000</v>
      </c>
      <c r="V96" s="74"/>
      <c r="Y96" s="52"/>
      <c r="Z96" s="14"/>
    </row>
    <row r="97" spans="1:26" ht="18" customHeight="1">
      <c r="A97" s="60" t="e" vm="1">
        <v>#REF!</v>
      </c>
      <c r="B97" s="61" t="s">
        <v>216</v>
      </c>
      <c r="C97" s="62">
        <v>5.1799999999999999E-2</v>
      </c>
      <c r="D97" s="62">
        <v>5.8799999999999998E-2</v>
      </c>
      <c r="E97" s="62">
        <v>8.2500000000000004E-2</v>
      </c>
      <c r="F97" s="62">
        <v>8.77E-2</v>
      </c>
      <c r="G97" s="62">
        <v>0.10440000000000001</v>
      </c>
      <c r="H97" s="62">
        <v>0.11210000000000001</v>
      </c>
      <c r="I97" s="62">
        <v>0.1191</v>
      </c>
      <c r="J97" s="62">
        <v>0.1105</v>
      </c>
      <c r="K97" s="62">
        <v>9.06E-2</v>
      </c>
      <c r="L97" s="62">
        <v>7.5300000000000006E-2</v>
      </c>
      <c r="M97" s="62">
        <v>5.8200000000000002E-2</v>
      </c>
      <c r="N97" s="62">
        <v>4.9000000000000002E-2</v>
      </c>
      <c r="O97" s="63">
        <f>SUM(Tableau1362[[#This Row],[JANVIER]:[DECEMBRE]])</f>
        <v>1</v>
      </c>
      <c r="Q97" s="57" t="s">
        <v>217</v>
      </c>
      <c r="R97" s="54" t="s">
        <v>218</v>
      </c>
      <c r="S97" s="64">
        <v>14.5</v>
      </c>
      <c r="T97" s="57" t="s">
        <v>217</v>
      </c>
      <c r="U97" s="67">
        <v>27310755.802499998</v>
      </c>
      <c r="V97" s="74"/>
      <c r="Y97" s="52"/>
      <c r="Z97" s="14"/>
    </row>
    <row r="98" spans="1:26" ht="18" customHeight="1">
      <c r="A98" s="60" t="e" vm="1">
        <v>#REF!</v>
      </c>
      <c r="B98" s="61" t="s">
        <v>218</v>
      </c>
      <c r="C98" s="62">
        <v>0.10166822539015861</v>
      </c>
      <c r="D98" s="62">
        <v>9.6036897033929175E-2</v>
      </c>
      <c r="E98" s="62">
        <v>9.5479337417827798E-2</v>
      </c>
      <c r="F98" s="62">
        <v>8.4712130810384284E-2</v>
      </c>
      <c r="G98" s="62">
        <v>8.2762098137702342E-2</v>
      </c>
      <c r="H98" s="62">
        <v>6.61651533902093E-2</v>
      </c>
      <c r="I98" s="62">
        <v>7.1695316126978451E-2</v>
      </c>
      <c r="J98" s="62">
        <v>6.47186513966891E-2</v>
      </c>
      <c r="K98" s="62">
        <v>6.6479463958109594E-2</v>
      </c>
      <c r="L98" s="62">
        <v>8.1224055914513579E-2</v>
      </c>
      <c r="M98" s="62">
        <v>9.4751610416761112E-2</v>
      </c>
      <c r="N98" s="62">
        <v>9.430706000673654E-2</v>
      </c>
      <c r="O98" s="63">
        <f>SUM(Tableau1362[[#This Row],[JANVIER]:[DECEMBRE]])</f>
        <v>0.99999999999999967</v>
      </c>
      <c r="Q98" s="57" t="s">
        <v>219</v>
      </c>
      <c r="R98" s="54" t="s">
        <v>220</v>
      </c>
      <c r="S98" s="64">
        <v>20</v>
      </c>
      <c r="T98" s="57" t="s">
        <v>219</v>
      </c>
      <c r="U98" s="73">
        <v>20804848</v>
      </c>
      <c r="V98" s="74"/>
      <c r="Y98" s="52"/>
      <c r="Z98" s="14"/>
    </row>
    <row r="99" spans="1:26" ht="18" customHeight="1">
      <c r="A99" s="60" t="e" vm="1">
        <v>#REF!</v>
      </c>
      <c r="B99" s="61" t="s">
        <v>220</v>
      </c>
      <c r="C99" s="62">
        <v>4.3499999999999997E-2</v>
      </c>
      <c r="D99" s="62">
        <v>5.4100000000000002E-2</v>
      </c>
      <c r="E99" s="62">
        <v>8.14E-2</v>
      </c>
      <c r="F99" s="62">
        <v>0.1027</v>
      </c>
      <c r="G99" s="62">
        <v>0.1193</v>
      </c>
      <c r="H99" s="62">
        <v>0.1283</v>
      </c>
      <c r="I99" s="62">
        <v>0.12189999999999999</v>
      </c>
      <c r="J99" s="62">
        <v>0.115</v>
      </c>
      <c r="K99" s="62">
        <v>9.1399999999999995E-2</v>
      </c>
      <c r="L99" s="62">
        <v>6.4500000000000002E-2</v>
      </c>
      <c r="M99" s="62">
        <v>4.2299999999999997E-2</v>
      </c>
      <c r="N99" s="62">
        <v>3.56E-2</v>
      </c>
      <c r="O99" s="63">
        <f>SUM(Tableau1362[[#This Row],[JANVIER]:[DECEMBRE]])</f>
        <v>1</v>
      </c>
      <c r="Q99" s="57" t="s">
        <v>221</v>
      </c>
      <c r="R99" s="75" t="s">
        <v>222</v>
      </c>
      <c r="S99" s="64">
        <v>12</v>
      </c>
      <c r="T99" s="57" t="s">
        <v>221</v>
      </c>
      <c r="U99" s="59">
        <v>10402424</v>
      </c>
      <c r="V99" s="74"/>
      <c r="Y99" s="52"/>
      <c r="Z99" s="14"/>
    </row>
    <row r="100" spans="1:26" ht="18" customHeight="1">
      <c r="A100" s="60" t="e" vm="1">
        <v>#REF!</v>
      </c>
      <c r="B100" s="61" t="s">
        <v>222</v>
      </c>
      <c r="C100" s="62">
        <v>4.3499999999999997E-2</v>
      </c>
      <c r="D100" s="62">
        <v>5.4100000000000002E-2</v>
      </c>
      <c r="E100" s="62">
        <v>8.14E-2</v>
      </c>
      <c r="F100" s="62">
        <v>0.1027</v>
      </c>
      <c r="G100" s="62">
        <v>0.1193</v>
      </c>
      <c r="H100" s="62">
        <v>0.1283</v>
      </c>
      <c r="I100" s="62">
        <v>0.12189999999999999</v>
      </c>
      <c r="J100" s="62">
        <v>0.115</v>
      </c>
      <c r="K100" s="62">
        <v>9.1399999999999995E-2</v>
      </c>
      <c r="L100" s="62">
        <v>6.4500000000000002E-2</v>
      </c>
      <c r="M100" s="62">
        <v>4.2299999999999997E-2</v>
      </c>
      <c r="N100" s="62">
        <v>3.56E-2</v>
      </c>
      <c r="O100" s="56">
        <f>SUM(Tableau1362[[#This Row],[JANVIER]:[DECEMBRE]])</f>
        <v>1</v>
      </c>
      <c r="Q100" s="57" t="s">
        <v>223</v>
      </c>
      <c r="R100" s="75" t="s">
        <v>224</v>
      </c>
      <c r="S100" s="64">
        <v>8</v>
      </c>
      <c r="T100" s="57" t="s">
        <v>223</v>
      </c>
      <c r="U100" s="59">
        <v>10402424</v>
      </c>
      <c r="V100" s="74"/>
      <c r="Y100" s="52"/>
      <c r="Z100" s="14"/>
    </row>
    <row r="101" spans="1:26" ht="18" customHeight="1">
      <c r="A101" s="60" t="e" vm="1">
        <v>#REF!</v>
      </c>
      <c r="B101" s="61" t="s">
        <v>224</v>
      </c>
      <c r="C101" s="62">
        <v>4.3499999999999997E-2</v>
      </c>
      <c r="D101" s="62">
        <v>5.4100000000000002E-2</v>
      </c>
      <c r="E101" s="62">
        <v>8.14E-2</v>
      </c>
      <c r="F101" s="62">
        <v>0.1027</v>
      </c>
      <c r="G101" s="62">
        <v>0.1193</v>
      </c>
      <c r="H101" s="62">
        <v>0.1283</v>
      </c>
      <c r="I101" s="62">
        <v>0.12189999999999999</v>
      </c>
      <c r="J101" s="62">
        <v>0.115</v>
      </c>
      <c r="K101" s="62">
        <v>9.1399999999999995E-2</v>
      </c>
      <c r="L101" s="62">
        <v>6.4500000000000002E-2</v>
      </c>
      <c r="M101" s="62">
        <v>4.2299999999999997E-2</v>
      </c>
      <c r="N101" s="62">
        <v>3.56E-2</v>
      </c>
      <c r="O101" s="56">
        <f>SUM(Tableau1362[[#This Row],[JANVIER]:[DECEMBRE]])</f>
        <v>1</v>
      </c>
      <c r="Q101" s="57" t="s">
        <v>225</v>
      </c>
      <c r="R101" s="54" t="s">
        <v>226</v>
      </c>
      <c r="S101" s="64">
        <v>10</v>
      </c>
      <c r="T101" s="57" t="s">
        <v>225</v>
      </c>
      <c r="U101" s="67">
        <v>13280053.5</v>
      </c>
      <c r="V101" s="74"/>
      <c r="Y101" s="52"/>
      <c r="Z101" s="14"/>
    </row>
    <row r="102" spans="1:26" ht="18" customHeight="1">
      <c r="A102" s="60" t="e" vm="1">
        <v>#REF!</v>
      </c>
      <c r="B102" s="61" t="s">
        <v>226</v>
      </c>
      <c r="C102" s="62">
        <v>0.11770392116341707</v>
      </c>
      <c r="D102" s="62">
        <v>0.10431352197651834</v>
      </c>
      <c r="E102" s="62">
        <v>9.9632587558002791E-2</v>
      </c>
      <c r="F102" s="62">
        <v>7.6186770999141645E-2</v>
      </c>
      <c r="G102" s="62">
        <v>6.9143035284506715E-2</v>
      </c>
      <c r="H102" s="62">
        <v>5.4852328846719173E-2</v>
      </c>
      <c r="I102" s="62">
        <v>5.7544596788467128E-2</v>
      </c>
      <c r="J102" s="62">
        <v>5.3430409256274292E-2</v>
      </c>
      <c r="K102" s="62">
        <v>5.9548757214124226E-2</v>
      </c>
      <c r="L102" s="62">
        <v>8.5164192990636697E-2</v>
      </c>
      <c r="M102" s="62">
        <v>0.10311048680116179</v>
      </c>
      <c r="N102" s="62">
        <v>0.11936939112102998</v>
      </c>
      <c r="O102" s="63">
        <f>SUM(Tableau1362[[#This Row],[JANVIER]:[DECEMBRE]])</f>
        <v>0.99999999999999989</v>
      </c>
      <c r="Q102" s="57" t="s">
        <v>227</v>
      </c>
      <c r="R102" s="61" t="s">
        <v>228</v>
      </c>
      <c r="S102" s="64">
        <v>12.8</v>
      </c>
      <c r="T102" s="57" t="s">
        <v>227</v>
      </c>
      <c r="U102" s="59">
        <v>27930916</v>
      </c>
      <c r="V102" s="74"/>
      <c r="Y102" s="52"/>
      <c r="Z102" s="14"/>
    </row>
    <row r="103" spans="1:26" ht="18" customHeight="1">
      <c r="A103" s="60" t="e" vm="1">
        <v>#REF!</v>
      </c>
      <c r="B103" s="61" t="s">
        <v>228</v>
      </c>
      <c r="C103" s="62">
        <v>0.11908886249832265</v>
      </c>
      <c r="D103" s="62">
        <v>0.10461990240184012</v>
      </c>
      <c r="E103" s="62">
        <v>9.8521092591486351E-2</v>
      </c>
      <c r="F103" s="62">
        <v>7.2072046700793646E-2</v>
      </c>
      <c r="G103" s="62">
        <v>6.7734134873293689E-2</v>
      </c>
      <c r="H103" s="62">
        <v>5.4189620736939503E-2</v>
      </c>
      <c r="I103" s="62">
        <v>5.5866456116604242E-2</v>
      </c>
      <c r="J103" s="62">
        <v>5.3070306790781049E-2</v>
      </c>
      <c r="K103" s="62">
        <v>6.2939799997069681E-2</v>
      </c>
      <c r="L103" s="62">
        <v>9.1142560692052718E-2</v>
      </c>
      <c r="M103" s="62">
        <v>0.10179215679733558</v>
      </c>
      <c r="N103" s="62">
        <v>0.11896305980348079</v>
      </c>
      <c r="O103" s="63">
        <f>SUM(Tableau1362[[#This Row],[JANVIER]:[DECEMBRE]])</f>
        <v>1</v>
      </c>
      <c r="Q103" s="57" t="s">
        <v>229</v>
      </c>
      <c r="R103" s="76" t="s">
        <v>230</v>
      </c>
      <c r="S103" s="64">
        <v>58.41</v>
      </c>
      <c r="T103" s="57" t="s">
        <v>229</v>
      </c>
      <c r="U103" s="59">
        <v>123356244</v>
      </c>
      <c r="V103" s="74"/>
      <c r="Y103" s="52"/>
      <c r="Z103" s="14"/>
    </row>
    <row r="104" spans="1:26" ht="18" customHeight="1">
      <c r="A104" s="60" t="e" vm="1">
        <v>#REF!</v>
      </c>
      <c r="B104" s="61" t="s">
        <v>230</v>
      </c>
      <c r="C104" s="62">
        <v>8.9600000000000013E-2</v>
      </c>
      <c r="D104" s="62">
        <v>9.2100000000000015E-2</v>
      </c>
      <c r="E104" s="62">
        <v>0.10529999999999999</v>
      </c>
      <c r="F104" s="62">
        <v>8.8599999999999998E-2</v>
      </c>
      <c r="G104" s="62">
        <v>8.3299999999999999E-2</v>
      </c>
      <c r="H104" s="62">
        <v>6.7599999999999993E-2</v>
      </c>
      <c r="I104" s="62">
        <v>6.3700000000000007E-2</v>
      </c>
      <c r="J104" s="62">
        <v>5.6399999999999999E-2</v>
      </c>
      <c r="K104" s="62">
        <v>6.9400000000000003E-2</v>
      </c>
      <c r="L104" s="62">
        <v>8.6500000000000007E-2</v>
      </c>
      <c r="M104" s="62">
        <v>0.10580000000000001</v>
      </c>
      <c r="N104" s="62">
        <v>9.1700000000000004E-2</v>
      </c>
      <c r="O104" s="63">
        <f>SUM(Tableau1362[[#This Row],[JANVIER]:[DECEMBRE]])</f>
        <v>1</v>
      </c>
      <c r="Q104" s="57" t="s">
        <v>231</v>
      </c>
      <c r="R104" s="54" t="s">
        <v>232</v>
      </c>
      <c r="S104" s="64">
        <v>5.5</v>
      </c>
      <c r="T104" s="57" t="s">
        <v>231</v>
      </c>
      <c r="U104" s="59">
        <v>6768000</v>
      </c>
      <c r="V104" s="74"/>
      <c r="Y104" s="52"/>
      <c r="Z104" s="14"/>
    </row>
    <row r="105" spans="1:26" ht="18" customHeight="1">
      <c r="A105" s="60" t="e" vm="1">
        <v>#REF!</v>
      </c>
      <c r="B105" s="61" t="s">
        <v>232</v>
      </c>
      <c r="C105" s="62">
        <v>3.8199999999999998E-2</v>
      </c>
      <c r="D105" s="62">
        <v>5.4100000000000002E-2</v>
      </c>
      <c r="E105" s="62">
        <v>8.5400000000000004E-2</v>
      </c>
      <c r="F105" s="62">
        <v>9.8000000000000004E-2</v>
      </c>
      <c r="G105" s="62">
        <v>0.11459999999999999</v>
      </c>
      <c r="H105" s="62">
        <v>0.12529999999999999</v>
      </c>
      <c r="I105" s="62">
        <v>0.1236</v>
      </c>
      <c r="J105" s="62">
        <v>0.1142</v>
      </c>
      <c r="K105" s="62">
        <v>9.9299999999999999E-2</v>
      </c>
      <c r="L105" s="62">
        <v>6.7299999999999999E-2</v>
      </c>
      <c r="M105" s="62">
        <v>4.3499999999999997E-2</v>
      </c>
      <c r="N105" s="62">
        <v>3.6499999999999998E-2</v>
      </c>
      <c r="O105" s="63">
        <f>SUM(Tableau1362[[#This Row],[JANVIER]:[DECEMBRE]])</f>
        <v>1</v>
      </c>
      <c r="Q105" s="57" t="s">
        <v>233</v>
      </c>
      <c r="R105" s="54" t="s">
        <v>234</v>
      </c>
      <c r="S105" s="64">
        <v>12</v>
      </c>
      <c r="T105" s="57" t="s">
        <v>233</v>
      </c>
      <c r="U105" s="59">
        <v>23414287</v>
      </c>
      <c r="V105" s="74"/>
      <c r="Y105" s="52"/>
      <c r="Z105" s="14"/>
    </row>
    <row r="106" spans="1:26" ht="18" customHeight="1">
      <c r="A106" s="60" t="e" vm="1">
        <v>#REF!</v>
      </c>
      <c r="B106" s="61" t="s">
        <v>234</v>
      </c>
      <c r="C106" s="62">
        <v>9.8877866856192972E-2</v>
      </c>
      <c r="D106" s="62">
        <v>9.7948764435198871E-2</v>
      </c>
      <c r="E106" s="62">
        <v>0.10471143826981656</v>
      </c>
      <c r="F106" s="62">
        <v>8.9954626586327607E-2</v>
      </c>
      <c r="G106" s="62">
        <v>7.9962716222250499E-2</v>
      </c>
      <c r="H106" s="62">
        <v>6.2730312425449172E-2</v>
      </c>
      <c r="I106" s="62">
        <v>5.8674126922561569E-2</v>
      </c>
      <c r="J106" s="62">
        <v>5.2320592358904613E-2</v>
      </c>
      <c r="K106" s="62">
        <v>6.4060882099223684E-2</v>
      </c>
      <c r="L106" s="62">
        <v>8.9515324723338674E-2</v>
      </c>
      <c r="M106" s="62">
        <v>0.10141614881669989</v>
      </c>
      <c r="N106" s="62">
        <v>9.9827200284035994E-2</v>
      </c>
      <c r="O106" s="63">
        <f>SUM(Tableau1362[[#This Row],[JANVIER]:[DECEMBRE]])</f>
        <v>1</v>
      </c>
      <c r="Q106" s="57" t="s">
        <v>235</v>
      </c>
      <c r="R106" s="61" t="s">
        <v>236</v>
      </c>
      <c r="S106" s="64">
        <v>15.4</v>
      </c>
      <c r="T106" s="57" t="s">
        <v>235</v>
      </c>
      <c r="U106" s="59">
        <v>30394000</v>
      </c>
      <c r="V106" s="74"/>
      <c r="Y106" s="52"/>
      <c r="Z106" s="14"/>
    </row>
    <row r="107" spans="1:26" ht="18" customHeight="1">
      <c r="A107" s="60" t="e" vm="1">
        <v>#REF!</v>
      </c>
      <c r="B107" s="61" t="s">
        <v>236</v>
      </c>
      <c r="C107" s="62">
        <v>0.12227424110692947</v>
      </c>
      <c r="D107" s="62">
        <v>0.10607863720800037</v>
      </c>
      <c r="E107" s="62">
        <v>0.10443422188108935</v>
      </c>
      <c r="F107" s="62">
        <v>7.1830052721368762E-2</v>
      </c>
      <c r="G107" s="62">
        <v>6.5655986629049382E-2</v>
      </c>
      <c r="H107" s="62">
        <v>5.2497943911217149E-2</v>
      </c>
      <c r="I107" s="62">
        <v>5.6814406639550945E-2</v>
      </c>
      <c r="J107" s="62">
        <v>5.2097125467243072E-2</v>
      </c>
      <c r="K107" s="62">
        <v>6.2879045273180389E-2</v>
      </c>
      <c r="L107" s="62">
        <v>8.6592219247143054E-2</v>
      </c>
      <c r="M107" s="62">
        <v>9.7311973376134286E-2</v>
      </c>
      <c r="N107" s="62">
        <v>0.12153414653909385</v>
      </c>
      <c r="O107" s="63">
        <f>SUM(Tableau1362[[#This Row],[JANVIER]:[DECEMBRE]])</f>
        <v>1</v>
      </c>
      <c r="Q107" s="57" t="s">
        <v>237</v>
      </c>
      <c r="R107" s="61" t="s">
        <v>238</v>
      </c>
      <c r="S107" s="64">
        <v>12</v>
      </c>
      <c r="T107" s="57" t="s">
        <v>237</v>
      </c>
      <c r="U107" s="59">
        <v>14020144.874299999</v>
      </c>
      <c r="V107" s="74"/>
      <c r="Y107" s="52"/>
      <c r="Z107" s="14"/>
    </row>
    <row r="108" spans="1:26" ht="18" customHeight="1">
      <c r="A108" s="60" t="e" vm="1">
        <v>#REF!</v>
      </c>
      <c r="B108" s="61" t="s">
        <v>238</v>
      </c>
      <c r="C108" s="62">
        <v>0.11939303575065278</v>
      </c>
      <c r="D108" s="62">
        <v>0.10250266505458319</v>
      </c>
      <c r="E108" s="62">
        <v>9.5460981571030931E-2</v>
      </c>
      <c r="F108" s="62">
        <v>6.9630880240391324E-2</v>
      </c>
      <c r="G108" s="62">
        <v>6.9261265232477554E-2</v>
      </c>
      <c r="H108" s="62">
        <v>5.5520071236454471E-2</v>
      </c>
      <c r="I108" s="62">
        <v>5.8609167737520569E-2</v>
      </c>
      <c r="J108" s="62">
        <v>5.6558322026394367E-2</v>
      </c>
      <c r="K108" s="62">
        <v>6.4097940456357458E-2</v>
      </c>
      <c r="L108" s="62">
        <v>9.0890826975651123E-2</v>
      </c>
      <c r="M108" s="62">
        <v>0.10069165300262874</v>
      </c>
      <c r="N108" s="62">
        <v>0.11738319071585748</v>
      </c>
      <c r="O108" s="63">
        <f>SUM(Tableau1362[[#This Row],[JANVIER]:[DECEMBRE]])</f>
        <v>0.99999999999999978</v>
      </c>
      <c r="Q108" s="57" t="s">
        <v>239</v>
      </c>
      <c r="R108" s="61" t="s">
        <v>240</v>
      </c>
      <c r="S108" s="64">
        <v>21</v>
      </c>
      <c r="T108" s="57" t="s">
        <v>239</v>
      </c>
      <c r="U108" s="59">
        <v>49393000</v>
      </c>
      <c r="V108" s="74"/>
      <c r="Y108" s="52"/>
      <c r="Z108" s="14"/>
    </row>
    <row r="109" spans="1:26" ht="18" customHeight="1">
      <c r="A109" s="60" t="e" vm="1">
        <v>#REF!</v>
      </c>
      <c r="B109" s="60" t="s">
        <v>240</v>
      </c>
      <c r="C109" s="62">
        <v>0.10624335474290007</v>
      </c>
      <c r="D109" s="62">
        <v>0.10009130166543878</v>
      </c>
      <c r="E109" s="62">
        <v>0.10190113051336074</v>
      </c>
      <c r="F109" s="62">
        <v>8.118442471668573E-2</v>
      </c>
      <c r="G109" s="62">
        <v>7.2904735835148574E-2</v>
      </c>
      <c r="H109" s="62">
        <v>6.1780118500624204E-2</v>
      </c>
      <c r="I109" s="62">
        <v>6.2139097212776606E-2</v>
      </c>
      <c r="J109" s="62">
        <v>5.6896279599329976E-2</v>
      </c>
      <c r="K109" s="62">
        <v>6.6506272678728343E-2</v>
      </c>
      <c r="L109" s="62">
        <v>8.2262734722288219E-2</v>
      </c>
      <c r="M109" s="62">
        <v>9.7489548051164596E-2</v>
      </c>
      <c r="N109" s="62">
        <v>0.11060100176155412</v>
      </c>
      <c r="O109" s="63">
        <f>SUM(Tableau1362[[#This Row],[JANVIER]:[DECEMBRE]])</f>
        <v>1</v>
      </c>
      <c r="Q109" s="57" t="s">
        <v>241</v>
      </c>
      <c r="R109" s="54" t="s">
        <v>242</v>
      </c>
      <c r="S109" s="64">
        <v>7</v>
      </c>
      <c r="T109" s="57" t="s">
        <v>241</v>
      </c>
      <c r="U109" s="59">
        <v>8797000</v>
      </c>
      <c r="V109" s="74"/>
      <c r="Y109" s="52"/>
      <c r="Z109" s="14"/>
    </row>
    <row r="110" spans="1:26" ht="18" customHeight="1">
      <c r="A110" s="60" t="e" vm="1">
        <v>#REF!</v>
      </c>
      <c r="B110" s="61" t="s">
        <v>242</v>
      </c>
      <c r="C110" s="62">
        <v>4.2500000000000003E-2</v>
      </c>
      <c r="D110" s="62">
        <v>6.4000000000000001E-2</v>
      </c>
      <c r="E110" s="62">
        <v>8.9599999999999999E-2</v>
      </c>
      <c r="F110" s="62">
        <v>0.1</v>
      </c>
      <c r="G110" s="62">
        <v>0.11020000000000001</v>
      </c>
      <c r="H110" s="62">
        <v>0.11459999999999999</v>
      </c>
      <c r="I110" s="62">
        <v>0.1198</v>
      </c>
      <c r="J110" s="62">
        <v>0.1095</v>
      </c>
      <c r="K110" s="62">
        <v>9.4100000000000003E-2</v>
      </c>
      <c r="L110" s="62">
        <v>6.6900000000000001E-2</v>
      </c>
      <c r="M110" s="62">
        <v>4.9200000000000001E-2</v>
      </c>
      <c r="N110" s="62">
        <v>3.9600000000000003E-2</v>
      </c>
      <c r="O110" s="63">
        <f>SUM(Tableau1362[[#This Row],[JANVIER]:[DECEMBRE]])</f>
        <v>1</v>
      </c>
      <c r="Q110" s="57" t="s">
        <v>243</v>
      </c>
      <c r="R110" s="54" t="s">
        <v>244</v>
      </c>
      <c r="S110" s="64">
        <v>6</v>
      </c>
      <c r="T110" s="57" t="s">
        <v>243</v>
      </c>
      <c r="U110" s="59">
        <v>16107389.1</v>
      </c>
      <c r="V110" s="74"/>
      <c r="Y110" s="52"/>
      <c r="Z110" s="14"/>
    </row>
    <row r="111" spans="1:26" ht="18" customHeight="1">
      <c r="A111" s="60" t="e" vm="1">
        <v>#REF!</v>
      </c>
      <c r="B111" s="75" t="s">
        <v>244</v>
      </c>
      <c r="C111" s="62">
        <v>9.9846605881435263E-2</v>
      </c>
      <c r="D111" s="62">
        <v>9.4002366891928216E-2</v>
      </c>
      <c r="E111" s="62">
        <v>9.5321701633086162E-2</v>
      </c>
      <c r="F111" s="62">
        <v>8.7269271839983967E-2</v>
      </c>
      <c r="G111" s="62">
        <v>8.2392146441064226E-2</v>
      </c>
      <c r="H111" s="62">
        <v>6.3673028739415202E-2</v>
      </c>
      <c r="I111" s="62">
        <v>6.9724224640237045E-2</v>
      </c>
      <c r="J111" s="62">
        <v>6.2493602682536273E-2</v>
      </c>
      <c r="K111" s="62">
        <v>6.455702743803618E-2</v>
      </c>
      <c r="L111" s="62">
        <v>8.6037577227168149E-2</v>
      </c>
      <c r="M111" s="62">
        <v>0.10074837339811898</v>
      </c>
      <c r="N111" s="62">
        <v>9.3934073186990319E-2</v>
      </c>
      <c r="O111" s="63">
        <f>SUM(Tableau1362[[#This Row],[JANVIER]:[DECEMBRE]])</f>
        <v>0.99999999999999989</v>
      </c>
      <c r="Q111" s="57" t="s">
        <v>245</v>
      </c>
      <c r="R111" s="54" t="s">
        <v>246</v>
      </c>
      <c r="S111" s="64">
        <v>8</v>
      </c>
      <c r="T111" s="57" t="s">
        <v>245</v>
      </c>
      <c r="U111" s="67">
        <v>19091569</v>
      </c>
      <c r="V111" s="74"/>
      <c r="Y111" s="52"/>
      <c r="Z111" s="14"/>
    </row>
    <row r="112" spans="1:26" ht="18" customHeight="1">
      <c r="A112" s="60" t="e" vm="1">
        <v>#REF!</v>
      </c>
      <c r="B112" s="54" t="s">
        <v>246</v>
      </c>
      <c r="C112" s="62">
        <v>0.1012646609921888</v>
      </c>
      <c r="D112" s="62">
        <v>9.491855582543586E-2</v>
      </c>
      <c r="E112" s="62">
        <v>9.6351186666263688E-2</v>
      </c>
      <c r="F112" s="62">
        <v>8.7607265275186461E-2</v>
      </c>
      <c r="G112" s="62">
        <v>8.2311323280247636E-2</v>
      </c>
      <c r="H112" s="62">
        <v>6.1984726476664774E-2</v>
      </c>
      <c r="I112" s="62">
        <v>6.8555560701648907E-2</v>
      </c>
      <c r="J112" s="62">
        <v>6.0704018790548431E-2</v>
      </c>
      <c r="K112" s="62">
        <v>6.2944637376748394E-2</v>
      </c>
      <c r="L112" s="62">
        <v>8.6269800541063493E-2</v>
      </c>
      <c r="M112" s="62">
        <v>0.10224386658373137</v>
      </c>
      <c r="N112" s="62">
        <v>9.4844397490272306E-2</v>
      </c>
      <c r="O112" s="63">
        <f>SUM(Tableau1362[[#This Row],[JANVIER]:[DECEMBRE]])</f>
        <v>1.0000000000000002</v>
      </c>
      <c r="Q112" s="57" t="s">
        <v>247</v>
      </c>
      <c r="R112" s="54" t="s">
        <v>248</v>
      </c>
      <c r="S112" s="64">
        <v>6</v>
      </c>
      <c r="T112" s="57" t="s">
        <v>247</v>
      </c>
      <c r="U112" s="59">
        <v>15214396.512</v>
      </c>
      <c r="V112" s="74"/>
      <c r="Y112" s="52"/>
      <c r="Z112" s="14"/>
    </row>
    <row r="113" spans="1:26" ht="18" customHeight="1">
      <c r="A113" s="60" t="e" vm="1">
        <v>#REF!</v>
      </c>
      <c r="B113" s="54" t="s">
        <v>248</v>
      </c>
      <c r="C113" s="62">
        <v>0.10083267879470367</v>
      </c>
      <c r="D113" s="62">
        <v>9.4639457145979503E-2</v>
      </c>
      <c r="E113" s="62">
        <v>9.6037574590444805E-2</v>
      </c>
      <c r="F113" s="62">
        <v>8.7504302318551788E-2</v>
      </c>
      <c r="G113" s="62">
        <v>8.2335944443665696E-2</v>
      </c>
      <c r="H113" s="62">
        <v>6.2499034077230155E-2</v>
      </c>
      <c r="I113" s="62">
        <v>6.8911570854204976E-2</v>
      </c>
      <c r="J113" s="62">
        <v>6.1249179818763405E-2</v>
      </c>
      <c r="K113" s="62">
        <v>6.3435819839683313E-2</v>
      </c>
      <c r="L113" s="62">
        <v>8.6199058341636325E-2</v>
      </c>
      <c r="M113" s="62">
        <v>0.10178829442172876</v>
      </c>
      <c r="N113" s="62">
        <v>9.4567085353407507E-2</v>
      </c>
      <c r="O113" s="63">
        <f>SUM(Tableau1362[[#This Row],[JANVIER]:[DECEMBRE]])</f>
        <v>0.99999999999999989</v>
      </c>
      <c r="Q113" s="57" t="s">
        <v>249</v>
      </c>
      <c r="R113" s="54" t="s">
        <v>250</v>
      </c>
      <c r="S113" s="64">
        <v>6</v>
      </c>
      <c r="T113" s="57" t="s">
        <v>249</v>
      </c>
      <c r="U113" s="67">
        <v>15933221</v>
      </c>
      <c r="V113" s="74"/>
      <c r="Y113" s="52"/>
      <c r="Z113" s="14"/>
    </row>
    <row r="114" spans="1:26" ht="18" customHeight="1">
      <c r="A114" s="60" t="e" vm="1">
        <v>#REF!</v>
      </c>
      <c r="B114" s="54" t="s">
        <v>250</v>
      </c>
      <c r="C114" s="62">
        <v>0.10033868307530106</v>
      </c>
      <c r="D114" s="62">
        <v>9.4320292250422738E-2</v>
      </c>
      <c r="E114" s="62">
        <v>9.5678941702538642E-2</v>
      </c>
      <c r="F114" s="62">
        <v>8.7386558438987211E-2</v>
      </c>
      <c r="G114" s="62">
        <v>8.236410011629712E-2</v>
      </c>
      <c r="H114" s="62">
        <v>6.3087173483472286E-2</v>
      </c>
      <c r="I114" s="62">
        <v>6.9318688305921264E-2</v>
      </c>
      <c r="J114" s="62">
        <v>6.1872601839142359E-2</v>
      </c>
      <c r="K114" s="62">
        <v>6.3997514362162736E-2</v>
      </c>
      <c r="L114" s="62">
        <v>8.6118160693766307E-2</v>
      </c>
      <c r="M114" s="62">
        <v>0.10126732226311091</v>
      </c>
      <c r="N114" s="62">
        <v>9.424996346887736E-2</v>
      </c>
      <c r="O114" s="56">
        <f>SUM(Tableau1362[[#This Row],[JANVIER]:[DECEMBRE]])</f>
        <v>1</v>
      </c>
      <c r="Q114" s="57" t="s">
        <v>251</v>
      </c>
      <c r="R114" s="54" t="s">
        <v>252</v>
      </c>
      <c r="S114" s="64">
        <v>12</v>
      </c>
      <c r="T114" s="57" t="s">
        <v>251</v>
      </c>
      <c r="U114" s="59">
        <v>20462312</v>
      </c>
      <c r="V114" s="74"/>
      <c r="Y114" s="52"/>
      <c r="Z114" s="14"/>
    </row>
    <row r="115" spans="1:26" ht="18" customHeight="1">
      <c r="A115" s="60" t="e" vm="1">
        <v>#REF!</v>
      </c>
      <c r="B115" s="61" t="s">
        <v>252</v>
      </c>
      <c r="C115" s="62">
        <v>0.12722729410172706</v>
      </c>
      <c r="D115" s="62">
        <v>0.10897170524146794</v>
      </c>
      <c r="E115" s="62">
        <v>0.10711813001754092</v>
      </c>
      <c r="F115" s="62">
        <v>7.0366903510355183E-2</v>
      </c>
      <c r="G115" s="62">
        <v>6.3407532752658258E-2</v>
      </c>
      <c r="H115" s="62">
        <v>4.8575864877750868E-2</v>
      </c>
      <c r="I115" s="62">
        <v>5.344135611789564E-2</v>
      </c>
      <c r="J115" s="62">
        <v>4.8124064699970326E-2</v>
      </c>
      <c r="K115" s="62">
        <v>6.0277380891809965E-2</v>
      </c>
      <c r="L115" s="62">
        <v>8.7006730247475753E-2</v>
      </c>
      <c r="M115" s="62">
        <v>9.9089973656192931E-2</v>
      </c>
      <c r="N115" s="62">
        <v>0.12639306388515503</v>
      </c>
      <c r="O115" s="56">
        <f>SUM(Tableau1362[[#This Row],[JANVIER]:[DECEMBRE]])</f>
        <v>0.99999999999999989</v>
      </c>
      <c r="Q115" s="57" t="s">
        <v>253</v>
      </c>
      <c r="R115" s="54" t="s">
        <v>254</v>
      </c>
      <c r="S115" s="64">
        <v>8</v>
      </c>
      <c r="T115" s="57" t="s">
        <v>253</v>
      </c>
      <c r="U115" s="59">
        <v>19712000</v>
      </c>
      <c r="V115" s="74"/>
      <c r="Y115" s="52"/>
      <c r="Z115" s="14"/>
    </row>
    <row r="116" spans="1:26" ht="18" customHeight="1">
      <c r="A116" s="60" t="e" vm="1">
        <v>#REF!</v>
      </c>
      <c r="B116" s="61" t="s">
        <v>254</v>
      </c>
      <c r="C116" s="62">
        <v>0.12066031871729882</v>
      </c>
      <c r="D116" s="62">
        <v>0.10466654824320827</v>
      </c>
      <c r="E116" s="62">
        <v>9.6940081605731684E-2</v>
      </c>
      <c r="F116" s="62">
        <v>7.0417543625606191E-2</v>
      </c>
      <c r="G116" s="62">
        <v>6.7915045783078484E-2</v>
      </c>
      <c r="H116" s="62">
        <v>5.3204546886954716E-2</v>
      </c>
      <c r="I116" s="62">
        <v>5.5945531645804458E-2</v>
      </c>
      <c r="J116" s="62">
        <v>5.3343235921451362E-2</v>
      </c>
      <c r="K116" s="62">
        <v>6.2528370961105112E-2</v>
      </c>
      <c r="L116" s="62">
        <v>9.1679859888350701E-2</v>
      </c>
      <c r="M116" s="62">
        <v>0.1028785559283535</v>
      </c>
      <c r="N116" s="62">
        <v>0.1198203607930565</v>
      </c>
      <c r="O116" s="63">
        <f>SUM(Tableau1362[[#This Row],[JANVIER]:[DECEMBRE]])</f>
        <v>0.99999999999999989</v>
      </c>
      <c r="Q116" s="57" t="s">
        <v>255</v>
      </c>
      <c r="R116" s="54" t="s">
        <v>256</v>
      </c>
      <c r="S116" s="64">
        <v>8.1</v>
      </c>
      <c r="T116" s="57" t="s">
        <v>255</v>
      </c>
      <c r="U116" s="59">
        <v>6001200</v>
      </c>
      <c r="V116" s="74"/>
      <c r="Y116" s="52"/>
      <c r="Z116" s="14"/>
    </row>
    <row r="117" spans="1:26" ht="18" customHeight="1">
      <c r="A117" s="60" t="e" vm="1">
        <v>#REF!</v>
      </c>
      <c r="B117" s="61" t="s">
        <v>256</v>
      </c>
      <c r="C117" s="62">
        <v>0.10165712856049808</v>
      </c>
      <c r="D117" s="62">
        <v>9.6774359537474042E-2</v>
      </c>
      <c r="E117" s="62">
        <v>9.671678788436501E-2</v>
      </c>
      <c r="F117" s="62">
        <v>8.5666560669026115E-2</v>
      </c>
      <c r="G117" s="62">
        <v>8.4932249904987336E-2</v>
      </c>
      <c r="H117" s="62">
        <v>6.8657749837780668E-2</v>
      </c>
      <c r="I117" s="62">
        <v>7.1358470727094142E-2</v>
      </c>
      <c r="J117" s="62">
        <v>6.4476695135660178E-2</v>
      </c>
      <c r="K117" s="62">
        <v>6.7039573981025488E-2</v>
      </c>
      <c r="L117" s="62">
        <v>7.8676537172806205E-2</v>
      </c>
      <c r="M117" s="62">
        <v>9.1270047607331956E-2</v>
      </c>
      <c r="N117" s="62">
        <v>9.2773838981950588E-2</v>
      </c>
      <c r="O117" s="56">
        <f>SUM(Tableau1362[[#This Row],[JANVIER]:[DECEMBRE]])</f>
        <v>0.99999999999999967</v>
      </c>
      <c r="Q117" s="57" t="s">
        <v>257</v>
      </c>
      <c r="R117" s="54" t="s">
        <v>258</v>
      </c>
      <c r="S117" s="64">
        <v>10</v>
      </c>
      <c r="T117" s="57" t="s">
        <v>257</v>
      </c>
      <c r="U117" s="59">
        <v>22055700</v>
      </c>
      <c r="Y117" s="52"/>
      <c r="Z117" s="14"/>
    </row>
    <row r="118" spans="1:26" ht="18" customHeight="1">
      <c r="A118" s="60" t="e" vm="1">
        <v>#REF!</v>
      </c>
      <c r="B118" s="61" t="s">
        <v>258</v>
      </c>
      <c r="C118" s="62">
        <v>0.1084657421055073</v>
      </c>
      <c r="D118" s="62">
        <v>0.10122472180803675</v>
      </c>
      <c r="E118" s="62">
        <v>9.9334866126884122E-2</v>
      </c>
      <c r="F118" s="62">
        <v>7.9908501232553664E-2</v>
      </c>
      <c r="G118" s="62">
        <v>7.1715960372953164E-2</v>
      </c>
      <c r="H118" s="62">
        <v>6.0559774309150924E-2</v>
      </c>
      <c r="I118" s="62">
        <v>6.096331826530229E-2</v>
      </c>
      <c r="J118" s="62">
        <v>5.628166187202413E-2</v>
      </c>
      <c r="K118" s="62">
        <v>6.5513727451862055E-2</v>
      </c>
      <c r="L118" s="62">
        <v>8.3586025410777476E-2</v>
      </c>
      <c r="M118" s="62">
        <v>9.8655251955673692E-2</v>
      </c>
      <c r="N118" s="62">
        <v>0.11379044908927444</v>
      </c>
      <c r="O118" s="63">
        <f>SUM(Tableau1362[[#This Row],[JANVIER]:[DECEMBRE]])</f>
        <v>1</v>
      </c>
      <c r="Q118" s="57" t="s">
        <v>259</v>
      </c>
      <c r="R118" s="75" t="s">
        <v>260</v>
      </c>
      <c r="S118" s="64">
        <v>15</v>
      </c>
      <c r="T118" s="57" t="s">
        <v>259</v>
      </c>
      <c r="U118" s="59">
        <v>30370700</v>
      </c>
      <c r="Y118" s="52"/>
      <c r="Z118" s="14"/>
    </row>
    <row r="119" spans="1:26" ht="18" customHeight="1">
      <c r="A119" s="60" t="e" vm="1">
        <v>#REF!</v>
      </c>
      <c r="B119" s="75" t="s">
        <v>260</v>
      </c>
      <c r="C119" s="62">
        <v>0.11216836296033919</v>
      </c>
      <c r="D119" s="62">
        <v>0.10356294391105141</v>
      </c>
      <c r="E119" s="62">
        <v>0.10132696653569027</v>
      </c>
      <c r="F119" s="62">
        <v>7.8970318967783448E-2</v>
      </c>
      <c r="G119" s="62">
        <v>6.9402465919497586E-2</v>
      </c>
      <c r="H119" s="62">
        <v>5.7425401688010885E-2</v>
      </c>
      <c r="I119" s="62">
        <v>5.6729340270948565E-2</v>
      </c>
      <c r="J119" s="62">
        <v>5.1650258696485422E-2</v>
      </c>
      <c r="K119" s="62">
        <v>6.2690221813131969E-2</v>
      </c>
      <c r="L119" s="62">
        <v>8.5408375027951719E-2</v>
      </c>
      <c r="M119" s="62">
        <v>0.10243180368350999</v>
      </c>
      <c r="N119" s="62">
        <v>0.11823354052559955</v>
      </c>
      <c r="O119" s="56">
        <f>SUM(Tableau1362[[#This Row],[JANVIER]:[DECEMBRE]])</f>
        <v>1.0000000000000002</v>
      </c>
      <c r="Q119" s="57" t="s">
        <v>261</v>
      </c>
      <c r="R119" s="54" t="s">
        <v>262</v>
      </c>
      <c r="S119" s="64">
        <v>17.55</v>
      </c>
      <c r="T119" s="57" t="s">
        <v>261</v>
      </c>
      <c r="U119" s="59">
        <v>29190000</v>
      </c>
      <c r="Y119" s="52"/>
      <c r="Z119" s="14"/>
    </row>
    <row r="120" spans="1:26" ht="18" customHeight="1">
      <c r="A120" s="60" t="e" vm="1">
        <v>#REF!</v>
      </c>
      <c r="B120" s="53" t="s">
        <v>262</v>
      </c>
      <c r="C120" s="62">
        <v>0.10780000000000001</v>
      </c>
      <c r="D120" s="62">
        <v>0.10009999999999999</v>
      </c>
      <c r="E120" s="62">
        <v>0.1007</v>
      </c>
      <c r="F120" s="62">
        <v>7.8799999999999995E-2</v>
      </c>
      <c r="G120" s="62">
        <v>7.46E-2</v>
      </c>
      <c r="H120" s="62">
        <v>5.8000000000000003E-2</v>
      </c>
      <c r="I120" s="62">
        <v>5.4100000000000002E-2</v>
      </c>
      <c r="J120" s="62">
        <v>5.3600000000000002E-2</v>
      </c>
      <c r="K120" s="62">
        <v>6.5799999999999997E-2</v>
      </c>
      <c r="L120" s="62">
        <v>9.4700000000000006E-2</v>
      </c>
      <c r="M120" s="62">
        <v>0.1003</v>
      </c>
      <c r="N120" s="62">
        <v>0.1115</v>
      </c>
      <c r="O120" s="56">
        <f>SUM(Tableau1362[[#This Row],[JANVIER]:[DECEMBRE]])</f>
        <v>1</v>
      </c>
      <c r="Q120" s="57" t="s">
        <v>263</v>
      </c>
      <c r="R120" s="54" t="s">
        <v>264</v>
      </c>
      <c r="S120" s="64">
        <v>21.6</v>
      </c>
      <c r="T120" s="57" t="s">
        <v>263</v>
      </c>
      <c r="U120" s="59">
        <v>48346329</v>
      </c>
      <c r="Y120" s="52"/>
      <c r="Z120" s="14"/>
    </row>
    <row r="121" spans="1:26" ht="18" customHeight="1">
      <c r="A121" s="60" t="e" vm="1">
        <v>#REF!</v>
      </c>
      <c r="B121" s="60" t="s">
        <v>264</v>
      </c>
      <c r="C121" s="62">
        <v>0.1120813397538331</v>
      </c>
      <c r="D121" s="62">
        <v>0.10144039780802218</v>
      </c>
      <c r="E121" s="62">
        <v>9.8209729778588439E-2</v>
      </c>
      <c r="F121" s="62">
        <v>7.6010788918018143E-2</v>
      </c>
      <c r="G121" s="62">
        <v>7.0444385775231821E-2</v>
      </c>
      <c r="H121" s="62">
        <v>5.921371158074714E-2</v>
      </c>
      <c r="I121" s="62">
        <v>6.1732772501611397E-2</v>
      </c>
      <c r="J121" s="62">
        <v>5.7270560724656971E-2</v>
      </c>
      <c r="K121" s="62">
        <v>6.5878229463626176E-2</v>
      </c>
      <c r="L121" s="62">
        <v>8.5340891429725951E-2</v>
      </c>
      <c r="M121" s="62">
        <v>9.7340215987078232E-2</v>
      </c>
      <c r="N121" s="62">
        <v>0.11503697627886031</v>
      </c>
      <c r="O121" s="63">
        <f>SUM(Tableau1362[[#This Row],[JANVIER]:[DECEMBRE]])</f>
        <v>0.99999999999999978</v>
      </c>
      <c r="Q121" s="77" t="s">
        <v>265</v>
      </c>
      <c r="R121" s="54" t="s">
        <v>126</v>
      </c>
      <c r="S121" s="78">
        <v>10.4</v>
      </c>
      <c r="T121" s="77" t="s">
        <v>265</v>
      </c>
      <c r="U121" s="67">
        <v>14747000</v>
      </c>
      <c r="Y121" s="52"/>
      <c r="Z121" s="14"/>
    </row>
    <row r="122" spans="1:26" ht="18" customHeight="1">
      <c r="A122" s="60" t="e" vm="1">
        <v>#REF!</v>
      </c>
      <c r="B122" s="61" t="s">
        <v>266</v>
      </c>
      <c r="C122" s="62">
        <v>8.72E-2</v>
      </c>
      <c r="D122" s="62">
        <v>8.1799999999999998E-2</v>
      </c>
      <c r="E122" s="62">
        <v>8.6599999999999996E-2</v>
      </c>
      <c r="F122" s="62">
        <v>8.1900000000000001E-2</v>
      </c>
      <c r="G122" s="62">
        <v>7.0900000000000005E-2</v>
      </c>
      <c r="H122" s="62">
        <v>6.9400000000000003E-2</v>
      </c>
      <c r="I122" s="62">
        <v>7.1999999999999995E-2</v>
      </c>
      <c r="J122" s="62">
        <v>8.1799999999999998E-2</v>
      </c>
      <c r="K122" s="62">
        <v>8.8900000000000007E-2</v>
      </c>
      <c r="L122" s="62">
        <v>9.5100000000000004E-2</v>
      </c>
      <c r="M122" s="62">
        <v>9.11E-2</v>
      </c>
      <c r="N122" s="62">
        <v>9.3299999999999994E-2</v>
      </c>
      <c r="O122" s="63">
        <f>SUM(Tableau1362[[#This Row],[JANVIER]:[DECEMBRE]])</f>
        <v>1</v>
      </c>
      <c r="Q122" s="57" t="s">
        <v>267</v>
      </c>
      <c r="R122" s="54" t="s">
        <v>266</v>
      </c>
      <c r="S122" s="64">
        <v>3.2160000000000002</v>
      </c>
      <c r="T122" s="57" t="s">
        <v>267</v>
      </c>
      <c r="U122" s="59">
        <v>5283471.5999999996</v>
      </c>
      <c r="Y122" s="52"/>
      <c r="Z122" s="14"/>
    </row>
    <row r="123" spans="1:26" ht="18" customHeight="1">
      <c r="A123" s="60" t="e" vm="1">
        <v>#REF!</v>
      </c>
      <c r="B123" s="61" t="s">
        <v>268</v>
      </c>
      <c r="C123" s="62">
        <v>0.12632645621964439</v>
      </c>
      <c r="D123" s="62">
        <v>9.9050944782783257E-2</v>
      </c>
      <c r="E123" s="62">
        <v>0.10243016590990141</v>
      </c>
      <c r="F123" s="62">
        <v>6.7432770768311112E-2</v>
      </c>
      <c r="G123" s="62">
        <v>7.2029112877993448E-2</v>
      </c>
      <c r="H123" s="62">
        <v>5.6678449274273686E-2</v>
      </c>
      <c r="I123" s="62">
        <v>5.8858707818348344E-2</v>
      </c>
      <c r="J123" s="62">
        <v>6.0439151721043187E-2</v>
      </c>
      <c r="K123" s="62">
        <v>5.9999997917217371E-2</v>
      </c>
      <c r="L123" s="62">
        <v>8.2698354061587764E-2</v>
      </c>
      <c r="M123" s="62">
        <v>9.7550172523741041E-2</v>
      </c>
      <c r="N123" s="62">
        <v>0.11650571612515506</v>
      </c>
      <c r="O123" s="63">
        <f>SUM(Tableau1362[[#This Row],[JANVIER]:[DECEMBRE]])</f>
        <v>1</v>
      </c>
      <c r="Q123" s="57" t="s">
        <v>269</v>
      </c>
      <c r="R123" s="54" t="s">
        <v>268</v>
      </c>
      <c r="S123" s="64">
        <v>12</v>
      </c>
      <c r="T123" s="57" t="s">
        <v>269</v>
      </c>
      <c r="U123" s="59">
        <v>26528043</v>
      </c>
      <c r="Y123" s="52"/>
      <c r="Z123" s="14"/>
    </row>
    <row r="124" spans="1:26" ht="18" customHeight="1">
      <c r="A124" s="60" t="e" vm="1">
        <v>#REF!</v>
      </c>
      <c r="B124" s="61" t="s">
        <v>270</v>
      </c>
      <c r="C124" s="62">
        <v>0.10239065258573499</v>
      </c>
      <c r="D124" s="62">
        <v>9.7312420322499607E-2</v>
      </c>
      <c r="E124" s="62">
        <v>9.7252544005416511E-2</v>
      </c>
      <c r="F124" s="62">
        <v>8.5759962624562716E-2</v>
      </c>
      <c r="G124" s="62">
        <v>8.4996256498878889E-2</v>
      </c>
      <c r="H124" s="62">
        <v>6.8070268208298576E-2</v>
      </c>
      <c r="I124" s="62">
        <v>7.087910227139535E-2</v>
      </c>
      <c r="J124" s="62">
        <v>6.3721840751963008E-2</v>
      </c>
      <c r="K124" s="62">
        <v>6.6387314784817644E-2</v>
      </c>
      <c r="L124" s="62">
        <v>7.8490119903783559E-2</v>
      </c>
      <c r="M124" s="62">
        <v>9.1587764026296703E-2</v>
      </c>
      <c r="N124" s="62">
        <v>9.3151754016352367E-2</v>
      </c>
      <c r="O124" s="63">
        <f>SUM(Tableau1362[[#This Row],[JANVIER]:[DECEMBRE]])</f>
        <v>0.99999999999999967</v>
      </c>
      <c r="Q124" s="57" t="s">
        <v>271</v>
      </c>
      <c r="R124" s="54" t="s">
        <v>270</v>
      </c>
      <c r="S124" s="64">
        <v>11.5</v>
      </c>
      <c r="T124" s="57" t="s">
        <v>271</v>
      </c>
      <c r="U124" s="59">
        <v>27762551.399999999</v>
      </c>
      <c r="Y124" s="52"/>
      <c r="Z124" s="14"/>
    </row>
    <row r="125" spans="1:26" ht="18" customHeight="1">
      <c r="A125" s="60" t="e" vm="1">
        <v>#REF!</v>
      </c>
      <c r="B125" s="61" t="s">
        <v>272</v>
      </c>
      <c r="C125" s="62">
        <v>9.7284645481961016E-2</v>
      </c>
      <c r="D125" s="62">
        <v>9.5094329150793508E-2</v>
      </c>
      <c r="E125" s="62">
        <v>9.3505508745741872E-2</v>
      </c>
      <c r="F125" s="62">
        <v>8.544027010498538E-2</v>
      </c>
      <c r="G125" s="62">
        <v>8.5396828409460987E-2</v>
      </c>
      <c r="H125" s="62">
        <v>7.165616777571035E-2</v>
      </c>
      <c r="I125" s="62">
        <v>7.5264212854322138E-2</v>
      </c>
      <c r="J125" s="62">
        <v>6.8649734932974896E-2</v>
      </c>
      <c r="K125" s="62">
        <v>6.9437937102037217E-2</v>
      </c>
      <c r="L125" s="62">
        <v>7.8092953460545261E-2</v>
      </c>
      <c r="M125" s="62">
        <v>9.1387827859969184E-2</v>
      </c>
      <c r="N125" s="62">
        <v>8.8789584121498191E-2</v>
      </c>
      <c r="O125" s="63">
        <f>SUM(Tableau1362[[#This Row],[JANVIER]:[DECEMBRE]])</f>
        <v>0.99999999999999989</v>
      </c>
      <c r="Q125" s="57" t="s">
        <v>273</v>
      </c>
      <c r="R125" s="54" t="s">
        <v>272</v>
      </c>
      <c r="S125" s="64">
        <v>9.1999999999999993</v>
      </c>
      <c r="T125" s="57" t="s">
        <v>273</v>
      </c>
      <c r="U125" s="59">
        <v>26372756</v>
      </c>
      <c r="Y125" s="52"/>
      <c r="Z125" s="14"/>
    </row>
    <row r="126" spans="1:26" ht="18" customHeight="1">
      <c r="A126" s="72" t="e" vm="1">
        <v>#REF!</v>
      </c>
      <c r="B126" s="79" t="s">
        <v>274</v>
      </c>
      <c r="C126" s="62">
        <v>0.11890000000000001</v>
      </c>
      <c r="D126" s="62">
        <v>9.8799999999999999E-2</v>
      </c>
      <c r="E126" s="62">
        <v>0.10150000000000001</v>
      </c>
      <c r="F126" s="62">
        <v>7.3599999999999999E-2</v>
      </c>
      <c r="G126" s="62">
        <v>7.2700000000000001E-2</v>
      </c>
      <c r="H126" s="62">
        <v>5.6099999999999997E-2</v>
      </c>
      <c r="I126" s="62">
        <v>5.9299999999999999E-2</v>
      </c>
      <c r="J126" s="62">
        <v>6.0299999999999999E-2</v>
      </c>
      <c r="K126" s="62">
        <v>6.25E-2</v>
      </c>
      <c r="L126" s="62">
        <v>8.5300000000000001E-2</v>
      </c>
      <c r="M126" s="62">
        <v>9.64E-2</v>
      </c>
      <c r="N126" s="62">
        <v>0.11459999999999999</v>
      </c>
      <c r="O126" s="63">
        <f>SUM(Tableau1362[[#This Row],[JANVIER]:[DECEMBRE]])</f>
        <v>1.0000000000000002</v>
      </c>
      <c r="Q126" s="57" t="s">
        <v>275</v>
      </c>
      <c r="R126" s="54" t="s">
        <v>274</v>
      </c>
      <c r="S126" s="64">
        <v>21</v>
      </c>
      <c r="T126" s="57" t="s">
        <v>275</v>
      </c>
      <c r="U126" s="59">
        <v>53600000</v>
      </c>
      <c r="Y126" s="52"/>
      <c r="Z126" s="14"/>
    </row>
    <row r="127" spans="1:26" ht="18" customHeight="1">
      <c r="A127" s="60" t="e" vm="1">
        <v>#REF!</v>
      </c>
      <c r="B127" s="80" t="s">
        <v>276</v>
      </c>
      <c r="C127" s="62">
        <v>0.12448477392725041</v>
      </c>
      <c r="D127" s="62">
        <v>0.10740614790251188</v>
      </c>
      <c r="E127" s="62">
        <v>9.8583773463362709E-2</v>
      </c>
      <c r="F127" s="62">
        <v>7.2724106375359643E-2</v>
      </c>
      <c r="G127" s="62">
        <v>6.4476699049238306E-2</v>
      </c>
      <c r="H127" s="62">
        <v>4.8261606664587849E-2</v>
      </c>
      <c r="I127" s="62">
        <v>5.1239911040759215E-2</v>
      </c>
      <c r="J127" s="62">
        <v>5.004783121090757E-2</v>
      </c>
      <c r="K127" s="62">
        <v>5.9869020361002626E-2</v>
      </c>
      <c r="L127" s="62">
        <v>9.0253338395287916E-2</v>
      </c>
      <c r="M127" s="62">
        <v>0.10904553969213789</v>
      </c>
      <c r="N127" s="62">
        <v>0.1236072519175941</v>
      </c>
      <c r="O127" s="81">
        <f>SUM(Tableau1362[[#This Row],[JANVIER]:[DECEMBRE]])</f>
        <v>1.0000000000000002</v>
      </c>
      <c r="Q127" s="57" t="s">
        <v>277</v>
      </c>
      <c r="R127" s="61" t="s">
        <v>276</v>
      </c>
      <c r="S127" s="64">
        <v>6.9</v>
      </c>
      <c r="T127" s="57" t="s">
        <v>277</v>
      </c>
      <c r="U127" s="59">
        <v>10596132</v>
      </c>
      <c r="Y127" s="52"/>
      <c r="Z127" s="14"/>
    </row>
    <row r="128" spans="1:26" ht="18" customHeight="1">
      <c r="A128" s="60" t="e" vm="1">
        <v>#REF!</v>
      </c>
      <c r="B128" s="60" t="s">
        <v>278</v>
      </c>
      <c r="C128" s="62">
        <v>0.1210103346122722</v>
      </c>
      <c r="D128" s="62">
        <v>0.10581066995948624</v>
      </c>
      <c r="E128" s="62">
        <v>0.10237538141789512</v>
      </c>
      <c r="F128" s="62">
        <v>7.667526399572494E-2</v>
      </c>
      <c r="G128" s="62">
        <v>6.7333024222274593E-2</v>
      </c>
      <c r="H128" s="62">
        <v>5.1878420640110168E-2</v>
      </c>
      <c r="I128" s="62">
        <v>5.4012600480127758E-2</v>
      </c>
      <c r="J128" s="62">
        <v>4.8989004519492896E-2</v>
      </c>
      <c r="K128" s="62">
        <v>5.7278525134239727E-2</v>
      </c>
      <c r="L128" s="62">
        <v>8.5951847522606512E-2</v>
      </c>
      <c r="M128" s="62">
        <v>0.10510625908327866</v>
      </c>
      <c r="N128" s="62">
        <v>0.12357866841249118</v>
      </c>
      <c r="O128" s="56">
        <f>SUM(Tableau1362[[#This Row],[JANVIER]:[DECEMBRE]])</f>
        <v>1</v>
      </c>
      <c r="Q128" s="57" t="s">
        <v>279</v>
      </c>
      <c r="R128" s="54" t="s">
        <v>278</v>
      </c>
      <c r="S128" s="64">
        <v>10</v>
      </c>
      <c r="T128" s="57" t="s">
        <v>279</v>
      </c>
      <c r="U128" s="59">
        <v>16746345.000000002</v>
      </c>
      <c r="Y128" s="52"/>
      <c r="Z128" s="14"/>
    </row>
    <row r="129" spans="1:26" ht="18" customHeight="1">
      <c r="A129" s="60" t="e" vm="1">
        <v>#REF!</v>
      </c>
      <c r="B129" s="60" t="s">
        <v>280</v>
      </c>
      <c r="C129" s="62">
        <v>0.11581382659519932</v>
      </c>
      <c r="D129" s="62">
        <v>0.10380151270857081</v>
      </c>
      <c r="E129" s="62">
        <v>9.9964915080996988E-2</v>
      </c>
      <c r="F129" s="62">
        <v>7.517657728588216E-2</v>
      </c>
      <c r="G129" s="62">
        <v>6.8818231832675741E-2</v>
      </c>
      <c r="H129" s="62">
        <v>5.5845589974305228E-2</v>
      </c>
      <c r="I129" s="62">
        <v>5.8654193341256933E-2</v>
      </c>
      <c r="J129" s="62">
        <v>5.3832886925680293E-2</v>
      </c>
      <c r="K129" s="62">
        <v>6.3404500153230292E-2</v>
      </c>
      <c r="L129" s="62">
        <v>8.5974183668609899E-2</v>
      </c>
      <c r="M129" s="62">
        <v>9.9388489727799331E-2</v>
      </c>
      <c r="N129" s="62">
        <v>0.11932509270579286</v>
      </c>
      <c r="O129" s="63">
        <f>SUM(Tableau1362[[#This Row],[JANVIER]:[DECEMBRE]])</f>
        <v>0.99999999999999989</v>
      </c>
      <c r="Q129" s="57" t="s">
        <v>281</v>
      </c>
      <c r="R129" s="54" t="s">
        <v>280</v>
      </c>
      <c r="S129" s="64">
        <v>12.3</v>
      </c>
      <c r="T129" s="57" t="s">
        <v>281</v>
      </c>
      <c r="U129" s="59">
        <v>23065694</v>
      </c>
      <c r="Y129" s="52"/>
      <c r="Z129" s="14"/>
    </row>
    <row r="130" spans="1:26" ht="18" customHeight="1">
      <c r="A130" s="60" t="e" vm="1">
        <v>#REF!</v>
      </c>
      <c r="B130" s="60" t="s">
        <v>282</v>
      </c>
      <c r="C130" s="62">
        <v>0.11836017500102686</v>
      </c>
      <c r="D130" s="62">
        <v>0.10379421014447335</v>
      </c>
      <c r="E130" s="62">
        <v>0.10239240561639122</v>
      </c>
      <c r="F130" s="62">
        <v>7.3277132899938813E-2</v>
      </c>
      <c r="G130" s="62">
        <v>6.8125843457357602E-2</v>
      </c>
      <c r="H130" s="62">
        <v>5.5289790736693392E-2</v>
      </c>
      <c r="I130" s="62">
        <v>5.9648237332493824E-2</v>
      </c>
      <c r="J130" s="62">
        <v>5.5305944500820124E-2</v>
      </c>
      <c r="K130" s="62">
        <v>6.5037102851219233E-2</v>
      </c>
      <c r="L130" s="62">
        <v>8.5906809961151631E-2</v>
      </c>
      <c r="M130" s="62">
        <v>9.4838130532640882E-2</v>
      </c>
      <c r="N130" s="62">
        <v>0.11802421696579304</v>
      </c>
      <c r="O130" s="56">
        <f>SUM(Tableau1362[[#This Row],[JANVIER]:[DECEMBRE]])</f>
        <v>1</v>
      </c>
      <c r="Q130" s="57" t="s">
        <v>283</v>
      </c>
      <c r="R130" s="54" t="s">
        <v>282</v>
      </c>
      <c r="S130" s="64">
        <v>8</v>
      </c>
      <c r="T130" s="57" t="s">
        <v>283</v>
      </c>
      <c r="U130" s="67">
        <v>17236423.1853</v>
      </c>
      <c r="Y130" s="52"/>
      <c r="Z130" s="14"/>
    </row>
    <row r="131" spans="1:26" ht="18" customHeight="1">
      <c r="A131" s="60" t="e" vm="1">
        <v>#REF!</v>
      </c>
      <c r="B131" s="60" t="s">
        <v>284</v>
      </c>
      <c r="C131" s="62">
        <v>6.8199999999999997E-2</v>
      </c>
      <c r="D131" s="62">
        <v>7.5899999999999995E-2</v>
      </c>
      <c r="E131" s="62">
        <v>9.2899999999999996E-2</v>
      </c>
      <c r="F131" s="62">
        <v>9.3700000000000006E-2</v>
      </c>
      <c r="G131" s="62">
        <v>9.8299999999999998E-2</v>
      </c>
      <c r="H131" s="62">
        <v>9.1600000000000001E-2</v>
      </c>
      <c r="I131" s="62">
        <v>9.64E-2</v>
      </c>
      <c r="J131" s="62">
        <v>9.74E-2</v>
      </c>
      <c r="K131" s="62">
        <v>8.48E-2</v>
      </c>
      <c r="L131" s="62">
        <v>7.3700000000000002E-2</v>
      </c>
      <c r="M131" s="62">
        <v>6.2799999999999995E-2</v>
      </c>
      <c r="N131" s="62">
        <v>6.4399999999999999E-2</v>
      </c>
      <c r="O131" s="56">
        <f>SUM(Tableau1362[[#This Row],[JANVIER]:[DECEMBRE]])</f>
        <v>1.0001</v>
      </c>
      <c r="Q131" s="65" t="s">
        <v>285</v>
      </c>
      <c r="R131" s="54" t="s">
        <v>284</v>
      </c>
      <c r="S131" s="64">
        <v>4.5</v>
      </c>
      <c r="T131" s="65" t="s">
        <v>285</v>
      </c>
      <c r="U131" s="59">
        <v>5495000</v>
      </c>
      <c r="Y131" s="52"/>
      <c r="Z131" s="14"/>
    </row>
    <row r="132" spans="1:26" ht="18" customHeight="1">
      <c r="A132" s="60" t="e" vm="1">
        <v>#REF!</v>
      </c>
      <c r="B132" s="60" t="s">
        <v>286</v>
      </c>
      <c r="C132" s="62">
        <v>9.9958110684690571E-2</v>
      </c>
      <c r="D132" s="62">
        <v>9.552808148716177E-2</v>
      </c>
      <c r="E132" s="62">
        <v>9.547584798952477E-2</v>
      </c>
      <c r="F132" s="62">
        <v>8.545021929964719E-2</v>
      </c>
      <c r="G132" s="62">
        <v>8.4783995255582792E-2</v>
      </c>
      <c r="H132" s="62">
        <v>7.0018498437497301E-2</v>
      </c>
      <c r="I132" s="62">
        <v>7.2468803241517027E-2</v>
      </c>
      <c r="J132" s="62">
        <v>6.6225119246402689E-2</v>
      </c>
      <c r="K132" s="62">
        <v>6.8550362988459859E-2</v>
      </c>
      <c r="L132" s="62">
        <v>7.9108324355681908E-2</v>
      </c>
      <c r="M132" s="62">
        <v>9.0534140047814973E-2</v>
      </c>
      <c r="N132" s="62">
        <v>9.1898496966019122E-2</v>
      </c>
      <c r="O132" s="56">
        <f>SUM(Tableau1362[[#This Row],[JANVIER]:[DECEMBRE]])</f>
        <v>1</v>
      </c>
      <c r="Q132" s="57" t="s">
        <v>287</v>
      </c>
      <c r="R132" s="54" t="s">
        <v>288</v>
      </c>
      <c r="S132" s="64">
        <v>5.0999999999999996</v>
      </c>
      <c r="T132" s="57" t="s">
        <v>287</v>
      </c>
      <c r="U132" s="59">
        <v>14571955.049799999</v>
      </c>
      <c r="Y132" s="52"/>
      <c r="Z132" s="14"/>
    </row>
    <row r="133" spans="1:26" ht="18" customHeight="1">
      <c r="A133" s="60" t="s">
        <v>289</v>
      </c>
      <c r="B133" s="82" t="s">
        <v>290</v>
      </c>
      <c r="C133" s="62">
        <v>0.10040476810085626</v>
      </c>
      <c r="D133" s="62">
        <v>9.8792716450535625E-2</v>
      </c>
      <c r="E133" s="62">
        <v>0.10311181147558439</v>
      </c>
      <c r="F133" s="62">
        <v>9.1591082536726945E-2</v>
      </c>
      <c r="G133" s="62">
        <v>8.1222506718275939E-2</v>
      </c>
      <c r="H133" s="62">
        <v>6.1973958172967039E-2</v>
      </c>
      <c r="I133" s="62">
        <v>5.642288463941509E-2</v>
      </c>
      <c r="J133" s="62">
        <v>4.8268861641743564E-2</v>
      </c>
      <c r="K133" s="62">
        <v>6.13313437421577E-2</v>
      </c>
      <c r="L133" s="62">
        <v>9.0452066509084814E-2</v>
      </c>
      <c r="M133" s="62">
        <v>0.10439393155952524</v>
      </c>
      <c r="N133" s="62">
        <v>0.10203406845312743</v>
      </c>
      <c r="O133" s="56">
        <f>SUM(Tableau1362[[#This Row],[JANVIER]:[DECEMBRE]])</f>
        <v>1</v>
      </c>
      <c r="Q133" s="57" t="s">
        <v>289</v>
      </c>
      <c r="R133" s="75" t="s">
        <v>290</v>
      </c>
      <c r="S133" s="64">
        <v>12</v>
      </c>
      <c r="T133" s="57" t="s">
        <v>289</v>
      </c>
      <c r="U133" s="67">
        <v>19660000</v>
      </c>
      <c r="Y133" s="52"/>
      <c r="Z133" s="14"/>
    </row>
    <row r="134" spans="1:26" ht="18" customHeight="1">
      <c r="A134" s="60" t="e" vm="1">
        <v>#REF!</v>
      </c>
      <c r="B134" s="60" t="s">
        <v>291</v>
      </c>
      <c r="C134" s="62">
        <v>7.0999999999999994E-2</v>
      </c>
      <c r="D134" s="62">
        <v>6.7199999999999996E-2</v>
      </c>
      <c r="E134" s="62">
        <v>7.8600000000000003E-2</v>
      </c>
      <c r="F134" s="62">
        <v>7.0999999999999994E-2</v>
      </c>
      <c r="G134" s="62">
        <v>6.7799999999999999E-2</v>
      </c>
      <c r="H134" s="62">
        <v>6.9500000000000006E-2</v>
      </c>
      <c r="I134" s="62">
        <v>8.1699999999999995E-2</v>
      </c>
      <c r="J134" s="62">
        <v>9.4700000000000006E-2</v>
      </c>
      <c r="K134" s="62">
        <v>0.1046</v>
      </c>
      <c r="L134" s="62">
        <v>0.1115</v>
      </c>
      <c r="M134" s="62">
        <v>0.1007</v>
      </c>
      <c r="N134" s="62">
        <v>8.1699999999999995E-2</v>
      </c>
      <c r="O134" s="63">
        <f>SUM(Tableau1362[[#This Row],[JANVIER]:[DECEMBRE]])</f>
        <v>1</v>
      </c>
      <c r="Q134" s="57" t="s">
        <v>292</v>
      </c>
      <c r="R134" s="54" t="s">
        <v>291</v>
      </c>
      <c r="S134" s="64">
        <v>0.54449999999999998</v>
      </c>
      <c r="T134" s="57" t="s">
        <v>292</v>
      </c>
      <c r="U134" s="59">
        <v>793000</v>
      </c>
      <c r="Y134" s="52"/>
      <c r="Z134" s="14"/>
    </row>
    <row r="135" spans="1:26" ht="18" customHeight="1">
      <c r="A135" s="60" t="e" vm="1">
        <v>#REF!</v>
      </c>
      <c r="B135" s="60" t="s">
        <v>293</v>
      </c>
      <c r="C135" s="62">
        <v>0.11964140774886961</v>
      </c>
      <c r="D135" s="62">
        <v>0.10512000513892958</v>
      </c>
      <c r="E135" s="62">
        <v>0.10256655835689742</v>
      </c>
      <c r="F135" s="62">
        <v>7.1730656634343262E-2</v>
      </c>
      <c r="G135" s="62">
        <v>6.4838215305048338E-2</v>
      </c>
      <c r="H135" s="62">
        <v>5.2118790065362998E-2</v>
      </c>
      <c r="I135" s="62">
        <v>5.6036288769620378E-2</v>
      </c>
      <c r="J135" s="62">
        <v>5.1710072804043009E-2</v>
      </c>
      <c r="K135" s="62">
        <v>6.2533038110046846E-2</v>
      </c>
      <c r="L135" s="62">
        <v>8.9708295554035117E-2</v>
      </c>
      <c r="M135" s="62">
        <v>0.10057423439149836</v>
      </c>
      <c r="N135" s="62">
        <v>0.12342243712130485</v>
      </c>
      <c r="O135" s="63">
        <f>SUM(Tableau1362[[#This Row],[JANVIER]:[DECEMBRE]])</f>
        <v>0.99999999999999989</v>
      </c>
      <c r="Q135" s="57" t="s">
        <v>294</v>
      </c>
      <c r="R135" s="54" t="s">
        <v>293</v>
      </c>
      <c r="S135" s="64">
        <v>12</v>
      </c>
      <c r="T135" s="57" t="s">
        <v>294</v>
      </c>
      <c r="U135" s="67">
        <v>20982878</v>
      </c>
      <c r="Y135" s="52"/>
      <c r="Z135" s="14"/>
    </row>
    <row r="136" spans="1:26" ht="18" customHeight="1">
      <c r="A136" s="60" t="e" vm="1">
        <v>#REF!</v>
      </c>
      <c r="B136" s="60" t="s">
        <v>295</v>
      </c>
      <c r="C136" s="62">
        <v>0.12275864282428278</v>
      </c>
      <c r="D136" s="62">
        <v>0.1069905030549483</v>
      </c>
      <c r="E136" s="62">
        <v>0.10421782972344264</v>
      </c>
      <c r="F136" s="62">
        <v>7.0734507117824114E-2</v>
      </c>
      <c r="G136" s="62">
        <v>6.325031422327114E-2</v>
      </c>
      <c r="H136" s="62">
        <v>4.9438860856661035E-2</v>
      </c>
      <c r="I136" s="62">
        <v>5.3692696989035268E-2</v>
      </c>
      <c r="J136" s="62">
        <v>4.8995053114685647E-2</v>
      </c>
      <c r="K136" s="62">
        <v>6.0747225700748898E-2</v>
      </c>
      <c r="L136" s="62">
        <v>9.0255618874225063E-2</v>
      </c>
      <c r="M136" s="62">
        <v>0.10205445449061913</v>
      </c>
      <c r="N136" s="62">
        <v>0.12686429303025606</v>
      </c>
      <c r="O136" s="63">
        <f>SUM(Tableau1362[[#This Row],[JANVIER]:[DECEMBRE]])</f>
        <v>0.99999999999999989</v>
      </c>
      <c r="Q136" s="57" t="s">
        <v>296</v>
      </c>
      <c r="R136" s="54" t="s">
        <v>295</v>
      </c>
      <c r="S136" s="64">
        <v>26</v>
      </c>
      <c r="T136" s="57" t="s">
        <v>296</v>
      </c>
      <c r="U136" s="59">
        <v>47346623.999999993</v>
      </c>
      <c r="Y136" s="52"/>
      <c r="Z136" s="14"/>
    </row>
    <row r="137" spans="1:26" ht="18" customHeight="1">
      <c r="A137" s="60" t="e" vm="1">
        <v>#REF!</v>
      </c>
      <c r="B137" s="60" t="s">
        <v>297</v>
      </c>
      <c r="C137" s="62">
        <v>0.10763414407181167</v>
      </c>
      <c r="D137" s="62">
        <v>9.8493271712340277E-2</v>
      </c>
      <c r="E137" s="62">
        <v>8.3389188868208147E-2</v>
      </c>
      <c r="F137" s="62">
        <v>7.7029419036210411E-2</v>
      </c>
      <c r="G137" s="62">
        <v>8.0073113428910492E-2</v>
      </c>
      <c r="H137" s="62">
        <v>0.10043698972499226</v>
      </c>
      <c r="I137" s="62">
        <v>0.10785387414290765</v>
      </c>
      <c r="J137" s="62">
        <v>8.1341923937069072E-2</v>
      </c>
      <c r="K137" s="62">
        <v>4.8437677296588502E-2</v>
      </c>
      <c r="L137" s="62">
        <v>5.299370270932563E-2</v>
      </c>
      <c r="M137" s="62">
        <v>6.2405747092994825E-2</v>
      </c>
      <c r="N137" s="62">
        <v>9.9910947978641085E-2</v>
      </c>
      <c r="O137" s="63">
        <f>SUM(Tableau1362[[#This Row],[JANVIER]:[DECEMBRE]])</f>
        <v>1</v>
      </c>
      <c r="Q137" s="57" t="s">
        <v>298</v>
      </c>
      <c r="R137" s="54" t="s">
        <v>299</v>
      </c>
      <c r="S137" s="64">
        <v>9</v>
      </c>
      <c r="T137" s="57" t="s">
        <v>298</v>
      </c>
      <c r="U137" s="59">
        <v>14552813</v>
      </c>
      <c r="Y137" s="52"/>
      <c r="Z137" s="14"/>
    </row>
    <row r="138" spans="1:26" ht="18" customHeight="1">
      <c r="A138" s="60" t="e" vm="1">
        <v>#REF!</v>
      </c>
      <c r="B138" s="60" t="s">
        <v>300</v>
      </c>
      <c r="C138" s="62">
        <v>0.11998276518849373</v>
      </c>
      <c r="D138" s="62">
        <v>0.10519140037741412</v>
      </c>
      <c r="E138" s="62">
        <v>9.8251140036897E-2</v>
      </c>
      <c r="F138" s="62">
        <v>7.1508185956967493E-2</v>
      </c>
      <c r="G138" s="62">
        <v>6.739329608119761E-2</v>
      </c>
      <c r="H138" s="62">
        <v>5.3305178480859167E-2</v>
      </c>
      <c r="I138" s="62">
        <v>5.5367465259168823E-2</v>
      </c>
      <c r="J138" s="62">
        <v>5.2500228532440775E-2</v>
      </c>
      <c r="K138" s="62">
        <v>6.2372235294498736E-2</v>
      </c>
      <c r="L138" s="62">
        <v>9.1360984313710217E-2</v>
      </c>
      <c r="M138" s="62">
        <v>0.10252742459349054</v>
      </c>
      <c r="N138" s="62">
        <v>0.12023969588486166</v>
      </c>
      <c r="O138" s="63">
        <f>SUM(Tableau1362[[#This Row],[JANVIER]:[DECEMBRE]])</f>
        <v>0.99999999999999978</v>
      </c>
      <c r="Q138" s="57" t="s">
        <v>301</v>
      </c>
      <c r="R138" s="54" t="s">
        <v>300</v>
      </c>
      <c r="S138" s="64">
        <v>10</v>
      </c>
      <c r="T138" s="57" t="s">
        <v>301</v>
      </c>
      <c r="U138" s="59">
        <v>20799791.999999996</v>
      </c>
      <c r="Y138" s="52"/>
      <c r="Z138" s="14"/>
    </row>
    <row r="139" spans="1:26" ht="18" customHeight="1">
      <c r="A139" s="60" t="e" vm="1">
        <v>#REF!</v>
      </c>
      <c r="B139" s="61" t="s">
        <v>302</v>
      </c>
      <c r="C139" s="62">
        <v>0.10206800645606556</v>
      </c>
      <c r="D139" s="62">
        <v>9.813404705818668E-2</v>
      </c>
      <c r="E139" s="62">
        <v>0.10020016397287064</v>
      </c>
      <c r="F139" s="62">
        <v>8.8381272690342114E-2</v>
      </c>
      <c r="G139" s="62">
        <v>8.4005777082489921E-2</v>
      </c>
      <c r="H139" s="62">
        <v>6.3900876692852535E-2</v>
      </c>
      <c r="I139" s="62">
        <v>6.6744051630283546E-2</v>
      </c>
      <c r="J139" s="62">
        <v>5.9066874107251623E-2</v>
      </c>
      <c r="K139" s="62">
        <v>6.3408512821786708E-2</v>
      </c>
      <c r="L139" s="62">
        <v>8.4046659281170347E-2</v>
      </c>
      <c r="M139" s="62">
        <v>9.4937363833407146E-2</v>
      </c>
      <c r="N139" s="62">
        <v>9.5106394373293282E-2</v>
      </c>
      <c r="O139" s="56">
        <f>SUM(Tableau1362[[#This Row],[JANVIER]:[DECEMBRE]])</f>
        <v>1.0000000000000002</v>
      </c>
      <c r="Q139" s="57" t="s">
        <v>303</v>
      </c>
      <c r="R139" s="54" t="s">
        <v>302</v>
      </c>
      <c r="S139" s="64">
        <v>3.6</v>
      </c>
      <c r="T139" s="57" t="s">
        <v>303</v>
      </c>
      <c r="U139" s="59">
        <v>7189168.0113000004</v>
      </c>
      <c r="Y139" s="52"/>
      <c r="Z139" s="14"/>
    </row>
    <row r="140" spans="1:26" ht="18" customHeight="1">
      <c r="A140" s="60" t="e" vm="1">
        <v>#REF!</v>
      </c>
      <c r="B140" s="60" t="s">
        <v>304</v>
      </c>
      <c r="C140" s="62">
        <v>0.12037062572540461</v>
      </c>
      <c r="D140" s="62">
        <v>0.10626579783130442</v>
      </c>
      <c r="E140" s="62">
        <v>0.10345002144916973</v>
      </c>
      <c r="F140" s="62">
        <v>7.0566877255255067E-2</v>
      </c>
      <c r="G140" s="62">
        <v>6.3868582653716116E-2</v>
      </c>
      <c r="H140" s="62">
        <v>5.0649129585034557E-2</v>
      </c>
      <c r="I140" s="62">
        <v>5.529386841382819E-2</v>
      </c>
      <c r="J140" s="62">
        <v>5.0355211038004583E-2</v>
      </c>
      <c r="K140" s="62">
        <v>6.1721182960561137E-2</v>
      </c>
      <c r="L140" s="62">
        <v>8.9566830364380429E-2</v>
      </c>
      <c r="M140" s="62">
        <v>0.10118675688307005</v>
      </c>
      <c r="N140" s="62">
        <v>0.12670511584027117</v>
      </c>
      <c r="O140" s="63">
        <f>SUM(Tableau1362[[#This Row],[JANVIER]:[DECEMBRE]])</f>
        <v>1.0000000000000002</v>
      </c>
      <c r="Q140" s="65" t="s">
        <v>305</v>
      </c>
      <c r="R140" s="54" t="s">
        <v>304</v>
      </c>
      <c r="S140" s="64">
        <v>11.5</v>
      </c>
      <c r="T140" s="65" t="s">
        <v>305</v>
      </c>
      <c r="U140" s="59">
        <v>19385000</v>
      </c>
      <c r="Y140" s="52"/>
      <c r="Z140" s="14"/>
    </row>
    <row r="141" spans="1:26" ht="18" customHeight="1">
      <c r="A141" s="60" t="e" vm="1">
        <v>#REF!</v>
      </c>
      <c r="B141" s="60" t="s">
        <v>306</v>
      </c>
      <c r="C141" s="62">
        <v>6.8199999999999997E-2</v>
      </c>
      <c r="D141" s="62">
        <v>7.5899999999999995E-2</v>
      </c>
      <c r="E141" s="62">
        <v>9.2899999999999996E-2</v>
      </c>
      <c r="F141" s="62">
        <v>9.3700000000000006E-2</v>
      </c>
      <c r="G141" s="62">
        <v>9.8299999999999998E-2</v>
      </c>
      <c r="H141" s="62">
        <v>9.1600000000000001E-2</v>
      </c>
      <c r="I141" s="62">
        <v>9.64E-2</v>
      </c>
      <c r="J141" s="62">
        <v>9.74E-2</v>
      </c>
      <c r="K141" s="62">
        <v>8.48E-2</v>
      </c>
      <c r="L141" s="62">
        <v>7.3700000000000002E-2</v>
      </c>
      <c r="M141" s="62">
        <v>6.2799999999999995E-2</v>
      </c>
      <c r="N141" s="62">
        <v>6.4299999999999996E-2</v>
      </c>
      <c r="O141" s="63">
        <f>SUM(Tableau1362[[#This Row],[JANVIER]:[DECEMBRE]])</f>
        <v>1</v>
      </c>
      <c r="Q141" s="65" t="s">
        <v>307</v>
      </c>
      <c r="R141" s="54" t="s">
        <v>306</v>
      </c>
      <c r="S141" s="64">
        <v>3.3</v>
      </c>
      <c r="T141" s="65" t="s">
        <v>307</v>
      </c>
      <c r="U141" s="59">
        <v>5072000</v>
      </c>
      <c r="Y141" s="52"/>
      <c r="Z141" s="14"/>
    </row>
    <row r="142" spans="1:26" ht="18" customHeight="1">
      <c r="A142" s="60" t="e" vm="1">
        <v>#REF!</v>
      </c>
      <c r="B142" s="60" t="s">
        <v>308</v>
      </c>
      <c r="C142" s="62">
        <v>0.11710615814925092</v>
      </c>
      <c r="D142" s="62">
        <v>0.10298414648857571</v>
      </c>
      <c r="E142" s="62">
        <v>9.812012914106763E-2</v>
      </c>
      <c r="F142" s="62">
        <v>7.6416663962403472E-2</v>
      </c>
      <c r="G142" s="62">
        <v>6.8184252533048509E-2</v>
      </c>
      <c r="H142" s="62">
        <v>5.5059986885817203E-2</v>
      </c>
      <c r="I142" s="62">
        <v>5.701874663543012E-2</v>
      </c>
      <c r="J142" s="62">
        <v>5.433790997495673E-2</v>
      </c>
      <c r="K142" s="62">
        <v>6.1828771960919959E-2</v>
      </c>
      <c r="L142" s="62">
        <v>8.7908821593231518E-2</v>
      </c>
      <c r="M142" s="62">
        <v>0.1032164892062772</v>
      </c>
      <c r="N142" s="62">
        <v>0.11781792346902102</v>
      </c>
      <c r="O142" s="63">
        <f>SUM(Tableau1362[[#This Row],[JANVIER]:[DECEMBRE]])</f>
        <v>1</v>
      </c>
      <c r="Q142" s="57" t="s">
        <v>309</v>
      </c>
      <c r="R142" s="54" t="s">
        <v>308</v>
      </c>
      <c r="S142" s="64">
        <v>8</v>
      </c>
      <c r="T142" s="57" t="s">
        <v>309</v>
      </c>
      <c r="U142" s="59">
        <v>10748067</v>
      </c>
      <c r="Y142" s="52"/>
      <c r="Z142" s="14"/>
    </row>
    <row r="143" spans="1:26" ht="18" customHeight="1">
      <c r="A143" s="60" t="e" vm="1">
        <v>#REF!</v>
      </c>
      <c r="B143" s="53" t="s">
        <v>310</v>
      </c>
      <c r="C143" s="62">
        <v>8.3299999999999999E-2</v>
      </c>
      <c r="D143" s="62">
        <v>8.3299999999999999E-2</v>
      </c>
      <c r="E143" s="62">
        <v>8.3299999999999999E-2</v>
      </c>
      <c r="F143" s="62">
        <v>8.3299999999999999E-2</v>
      </c>
      <c r="G143" s="62">
        <v>8.3299999999999999E-2</v>
      </c>
      <c r="H143" s="62">
        <v>8.3299999999999999E-2</v>
      </c>
      <c r="I143" s="62">
        <v>8.3299999999999999E-2</v>
      </c>
      <c r="J143" s="62">
        <v>8.3299999999999999E-2</v>
      </c>
      <c r="K143" s="62">
        <v>8.3400000000000002E-2</v>
      </c>
      <c r="L143" s="62">
        <v>8.3400000000000002E-2</v>
      </c>
      <c r="M143" s="62">
        <v>8.3400000000000002E-2</v>
      </c>
      <c r="N143" s="62">
        <v>8.3699999999999997E-2</v>
      </c>
      <c r="O143" s="56">
        <f>SUM(Tableau1362[[#This Row],[JANVIER]:[DECEMBRE]])</f>
        <v>1.0003000000000002</v>
      </c>
      <c r="Q143" s="57" t="s">
        <v>311</v>
      </c>
      <c r="R143" s="61" t="s">
        <v>312</v>
      </c>
      <c r="S143" s="64">
        <v>5</v>
      </c>
      <c r="T143" s="57" t="s">
        <v>311</v>
      </c>
      <c r="U143" s="59">
        <v>15012000</v>
      </c>
      <c r="Y143" s="52"/>
      <c r="Z143" s="14"/>
    </row>
    <row r="144" spans="1:26" ht="18" customHeight="1">
      <c r="A144" s="60" t="e" vm="1">
        <v>#REF!</v>
      </c>
      <c r="B144" s="61" t="s">
        <v>313</v>
      </c>
      <c r="C144" s="62">
        <v>5.3499999999999999E-2</v>
      </c>
      <c r="D144" s="62">
        <v>6.4299999999999996E-2</v>
      </c>
      <c r="E144" s="62">
        <v>8.14E-2</v>
      </c>
      <c r="F144" s="62">
        <v>8.9200000000000002E-2</v>
      </c>
      <c r="G144" s="62">
        <v>0.10489999999999999</v>
      </c>
      <c r="H144" s="62">
        <v>0.11409999999999999</v>
      </c>
      <c r="I144" s="62">
        <v>0.1176</v>
      </c>
      <c r="J144" s="62">
        <v>0.106</v>
      </c>
      <c r="K144" s="62">
        <v>8.9099999999999999E-2</v>
      </c>
      <c r="L144" s="62">
        <v>7.4200000000000002E-2</v>
      </c>
      <c r="M144" s="62">
        <v>5.6399999999999999E-2</v>
      </c>
      <c r="N144" s="62">
        <v>4.9299999999999997E-2</v>
      </c>
      <c r="O144" s="63">
        <f>SUM(Tableau1362[[#This Row],[JANVIER]:[DECEMBRE]])</f>
        <v>1</v>
      </c>
      <c r="Q144" s="77" t="s">
        <v>314</v>
      </c>
      <c r="R144" s="54" t="s">
        <v>310</v>
      </c>
      <c r="S144" s="78">
        <v>5</v>
      </c>
      <c r="T144" s="77" t="s">
        <v>314</v>
      </c>
      <c r="U144" s="59">
        <v>5380000</v>
      </c>
      <c r="Y144" s="52"/>
      <c r="Z144" s="14"/>
    </row>
    <row r="145" spans="1:26" ht="18" customHeight="1">
      <c r="A145" s="60" t="e" vm="1">
        <v>#REF!</v>
      </c>
      <c r="B145" s="60" t="s">
        <v>312</v>
      </c>
      <c r="C145" s="62">
        <v>3.9E-2</v>
      </c>
      <c r="D145" s="62">
        <v>0.06</v>
      </c>
      <c r="E145" s="62">
        <v>8.6999999999999994E-2</v>
      </c>
      <c r="F145" s="62">
        <v>9.9000000000000005E-2</v>
      </c>
      <c r="G145" s="62">
        <v>0.11600000000000001</v>
      </c>
      <c r="H145" s="62">
        <v>0.124</v>
      </c>
      <c r="I145" s="62">
        <v>0.13100000000000001</v>
      </c>
      <c r="J145" s="62">
        <v>0.11700000000000001</v>
      </c>
      <c r="K145" s="62">
        <v>0.09</v>
      </c>
      <c r="L145" s="62">
        <v>6.2E-2</v>
      </c>
      <c r="M145" s="62">
        <v>3.9E-2</v>
      </c>
      <c r="N145" s="62">
        <v>3.5999999999999997E-2</v>
      </c>
      <c r="O145" s="56">
        <f>SUM(Tableau1362[[#This Row],[JANVIER]:[DECEMBRE]])</f>
        <v>1</v>
      </c>
      <c r="Q145" s="57" t="s">
        <v>315</v>
      </c>
      <c r="R145" s="83" t="s">
        <v>313</v>
      </c>
      <c r="S145" s="68">
        <v>4.78</v>
      </c>
      <c r="T145" s="57" t="s">
        <v>315</v>
      </c>
      <c r="U145" s="59">
        <v>7020000</v>
      </c>
      <c r="Y145" s="52"/>
      <c r="Z145" s="14"/>
    </row>
    <row r="146" spans="1:26" ht="18" customHeight="1">
      <c r="A146" s="60" t="e" vm="1">
        <v>#REF!</v>
      </c>
      <c r="B146" s="60" t="s">
        <v>312</v>
      </c>
      <c r="C146" s="62">
        <v>3.9E-2</v>
      </c>
      <c r="D146" s="62">
        <v>0.06</v>
      </c>
      <c r="E146" s="62">
        <v>8.6999999999999994E-2</v>
      </c>
      <c r="F146" s="62">
        <v>9.9000000000000005E-2</v>
      </c>
      <c r="G146" s="62">
        <v>0.11600000000000001</v>
      </c>
      <c r="H146" s="62">
        <v>0.124</v>
      </c>
      <c r="I146" s="62">
        <v>0.13100000000000001</v>
      </c>
      <c r="J146" s="62">
        <v>0.11700000000000001</v>
      </c>
      <c r="K146" s="62">
        <v>0.09</v>
      </c>
      <c r="L146" s="62">
        <v>6.2E-2</v>
      </c>
      <c r="M146" s="62">
        <v>3.9E-2</v>
      </c>
      <c r="N146" s="62">
        <v>3.5999999999999997E-2</v>
      </c>
      <c r="O146" s="63">
        <f>SUM(Tableau1362[[#This Row],[JANVIER]:[DECEMBRE]])</f>
        <v>1</v>
      </c>
      <c r="Q146" s="57" t="s">
        <v>316</v>
      </c>
      <c r="R146" s="54" t="s">
        <v>312</v>
      </c>
      <c r="S146" s="68">
        <v>10.664</v>
      </c>
      <c r="T146" s="57" t="s">
        <v>316</v>
      </c>
      <c r="U146" s="59">
        <v>15012000</v>
      </c>
      <c r="Y146" s="52"/>
      <c r="Z146" s="14"/>
    </row>
    <row r="147" spans="1:26" ht="18" customHeight="1">
      <c r="A147" s="60" t="e" vm="1">
        <v>#REF!</v>
      </c>
      <c r="B147" s="60" t="s">
        <v>317</v>
      </c>
      <c r="C147" s="62">
        <v>0.12542112690267071</v>
      </c>
      <c r="D147" s="62">
        <v>0.10620534636342582</v>
      </c>
      <c r="E147" s="62">
        <v>9.6183725186407887E-2</v>
      </c>
      <c r="F147" s="62">
        <v>6.9301864843741914E-2</v>
      </c>
      <c r="G147" s="62">
        <v>6.5343129253789101E-2</v>
      </c>
      <c r="H147" s="62">
        <v>4.9295579527611183E-2</v>
      </c>
      <c r="I147" s="62">
        <v>5.3292733733239395E-2</v>
      </c>
      <c r="J147" s="62">
        <v>5.0382106002180571E-2</v>
      </c>
      <c r="K147" s="62">
        <v>5.9716942224794969E-2</v>
      </c>
      <c r="L147" s="62">
        <v>9.2130248037418636E-2</v>
      </c>
      <c r="M147" s="62">
        <v>0.10663588541517929</v>
      </c>
      <c r="N147" s="62">
        <v>0.12609131250954059</v>
      </c>
      <c r="O147" s="63">
        <f>SUM(Tableau1362[[#This Row],[JANVIER]:[DECEMBRE]])</f>
        <v>1</v>
      </c>
      <c r="Q147" s="57" t="s">
        <v>318</v>
      </c>
      <c r="R147" s="61" t="s">
        <v>317</v>
      </c>
      <c r="S147" s="68">
        <v>8</v>
      </c>
      <c r="T147" s="57" t="s">
        <v>318</v>
      </c>
      <c r="U147" s="59">
        <v>13759310.931299999</v>
      </c>
      <c r="Y147" s="52"/>
      <c r="Z147" s="14"/>
    </row>
    <row r="148" spans="1:26" ht="18" customHeight="1">
      <c r="A148" s="60" t="e" vm="1">
        <v>#REF!</v>
      </c>
      <c r="B148" s="60" t="s">
        <v>319</v>
      </c>
      <c r="C148" s="62">
        <v>0.04</v>
      </c>
      <c r="D148" s="62">
        <v>5.8000000000000003E-2</v>
      </c>
      <c r="E148" s="62">
        <v>8.3000000000000004E-2</v>
      </c>
      <c r="F148" s="62">
        <v>0.10100000000000001</v>
      </c>
      <c r="G148" s="62">
        <v>0.11600000000000001</v>
      </c>
      <c r="H148" s="62">
        <v>0.123</v>
      </c>
      <c r="I148" s="62">
        <v>0.127</v>
      </c>
      <c r="J148" s="62">
        <v>0.115</v>
      </c>
      <c r="K148" s="62">
        <v>9.4E-2</v>
      </c>
      <c r="L148" s="62">
        <v>6.6000000000000003E-2</v>
      </c>
      <c r="M148" s="62">
        <v>4.2999999999999997E-2</v>
      </c>
      <c r="N148" s="62">
        <v>3.4000000000000002E-2</v>
      </c>
      <c r="O148" s="63">
        <f>SUM(Tableau1362[[#This Row],[JANVIER]:[DECEMBRE]])</f>
        <v>1</v>
      </c>
      <c r="Q148" s="57" t="s">
        <v>320</v>
      </c>
      <c r="R148" s="61" t="s">
        <v>319</v>
      </c>
      <c r="S148" s="68">
        <v>4.2</v>
      </c>
      <c r="T148" s="57" t="s">
        <v>320</v>
      </c>
      <c r="U148" s="59">
        <v>4656000</v>
      </c>
      <c r="Y148" s="52"/>
      <c r="Z148" s="14"/>
    </row>
    <row r="149" spans="1:26" ht="18" customHeight="1">
      <c r="A149" s="60" t="e" vm="1">
        <v>#REF!</v>
      </c>
      <c r="B149" s="82" t="s">
        <v>321</v>
      </c>
      <c r="C149" s="62">
        <v>0.04</v>
      </c>
      <c r="D149" s="62">
        <v>5.8000000000000003E-2</v>
      </c>
      <c r="E149" s="62">
        <v>8.3000000000000004E-2</v>
      </c>
      <c r="F149" s="62">
        <v>0.10100000000000001</v>
      </c>
      <c r="G149" s="62">
        <v>0.11600000000000001</v>
      </c>
      <c r="H149" s="62">
        <v>0.124</v>
      </c>
      <c r="I149" s="62">
        <v>0.126</v>
      </c>
      <c r="J149" s="62">
        <v>0.115</v>
      </c>
      <c r="K149" s="62">
        <v>9.4E-2</v>
      </c>
      <c r="L149" s="62">
        <v>6.6000000000000003E-2</v>
      </c>
      <c r="M149" s="62">
        <v>4.2999999999999997E-2</v>
      </c>
      <c r="N149" s="62">
        <v>3.4000000000000002E-2</v>
      </c>
      <c r="O149" s="56">
        <f>SUM(Tableau1362[[#This Row],[JANVIER]:[DECEMBRE]])</f>
        <v>1</v>
      </c>
      <c r="Q149" s="57" t="s">
        <v>322</v>
      </c>
      <c r="R149" s="75" t="s">
        <v>321</v>
      </c>
      <c r="S149" s="68">
        <v>2.9</v>
      </c>
      <c r="T149" s="57" t="s">
        <v>322</v>
      </c>
      <c r="U149" s="59">
        <v>3094000</v>
      </c>
      <c r="Y149" s="52"/>
      <c r="Z149" s="14"/>
    </row>
    <row r="150" spans="1:26" ht="18" customHeight="1">
      <c r="A150" s="60" t="e" vm="1">
        <v>#REF!</v>
      </c>
      <c r="B150" s="54" t="s">
        <v>323</v>
      </c>
      <c r="C150" s="62">
        <v>0.03</v>
      </c>
      <c r="D150" s="62">
        <v>4.7E-2</v>
      </c>
      <c r="E150" s="62">
        <v>9.0999999999999998E-2</v>
      </c>
      <c r="F150" s="62">
        <v>0.109</v>
      </c>
      <c r="G150" s="62">
        <v>0.11700000000000001</v>
      </c>
      <c r="H150" s="62">
        <v>0.13100000000000001</v>
      </c>
      <c r="I150" s="66">
        <v>0.13200000000000001</v>
      </c>
      <c r="J150" s="66">
        <v>0.123</v>
      </c>
      <c r="K150" s="62">
        <v>9.5000000000000001E-2</v>
      </c>
      <c r="L150" s="62">
        <v>6.4000000000000001E-2</v>
      </c>
      <c r="M150" s="62">
        <v>3.5999999999999997E-2</v>
      </c>
      <c r="N150" s="62">
        <v>2.5000000000000001E-2</v>
      </c>
      <c r="O150" s="56">
        <f>SUM(Tableau1362[[#This Row],[JANVIER]:[DECEMBRE]])</f>
        <v>0.99999999999999989</v>
      </c>
      <c r="Q150" s="14" t="s">
        <v>324</v>
      </c>
      <c r="R150" s="54" t="s">
        <v>323</v>
      </c>
      <c r="S150" s="84">
        <v>2.7</v>
      </c>
      <c r="T150" s="14" t="s">
        <v>324</v>
      </c>
      <c r="U150" s="59">
        <v>3024000</v>
      </c>
      <c r="Y150" s="52"/>
      <c r="Z150" s="14"/>
    </row>
    <row r="151" spans="1:26" ht="18" customHeight="1">
      <c r="A151" s="60" t="e" vm="1">
        <v>#REF!</v>
      </c>
      <c r="B151" s="60" t="s">
        <v>325</v>
      </c>
      <c r="C151" s="62">
        <v>9.8203784574149244E-2</v>
      </c>
      <c r="D151" s="62">
        <v>9.5070421805581992E-2</v>
      </c>
      <c r="E151" s="62">
        <v>9.7484308224458693E-2</v>
      </c>
      <c r="F151" s="62">
        <v>8.6522772624667607E-2</v>
      </c>
      <c r="G151" s="62">
        <v>8.2838226390318057E-2</v>
      </c>
      <c r="H151" s="62">
        <v>6.9712225653569979E-2</v>
      </c>
      <c r="I151" s="62">
        <v>6.966026464527024E-2</v>
      </c>
      <c r="J151" s="62">
        <v>6.4089462051951998E-2</v>
      </c>
      <c r="K151" s="62">
        <v>7.0832827480004995E-2</v>
      </c>
      <c r="L151" s="62">
        <v>7.9099017681762057E-2</v>
      </c>
      <c r="M151" s="62">
        <v>9.401541494819475E-2</v>
      </c>
      <c r="N151" s="62">
        <v>9.2471273920070388E-2</v>
      </c>
      <c r="O151" s="63">
        <f>SUM(Tableau1362[[#This Row],[JANVIER]:[DECEMBRE]])</f>
        <v>1</v>
      </c>
      <c r="Q151" s="57" t="s">
        <v>326</v>
      </c>
      <c r="R151" s="54" t="s">
        <v>325</v>
      </c>
      <c r="S151" s="68">
        <v>27.2</v>
      </c>
      <c r="T151" s="57" t="s">
        <v>326</v>
      </c>
      <c r="U151" s="59">
        <v>56178134</v>
      </c>
      <c r="Y151" s="52"/>
      <c r="Z151" s="14"/>
    </row>
    <row r="152" spans="1:26" ht="18" customHeight="1">
      <c r="A152" s="60" t="e" vm="1">
        <v>#REF!</v>
      </c>
      <c r="B152" s="54" t="s">
        <v>327</v>
      </c>
      <c r="C152" s="62">
        <v>0.04</v>
      </c>
      <c r="D152" s="62">
        <v>5.8000000000000003E-2</v>
      </c>
      <c r="E152" s="62">
        <v>8.3000000000000004E-2</v>
      </c>
      <c r="F152" s="62">
        <v>0.10100000000000001</v>
      </c>
      <c r="G152" s="62">
        <v>0.11600000000000001</v>
      </c>
      <c r="H152" s="62">
        <v>0.124</v>
      </c>
      <c r="I152" s="62">
        <v>0.126</v>
      </c>
      <c r="J152" s="62">
        <v>0.115</v>
      </c>
      <c r="K152" s="62">
        <v>9.4E-2</v>
      </c>
      <c r="L152" s="62">
        <v>6.6000000000000003E-2</v>
      </c>
      <c r="M152" s="62">
        <v>4.2999999999999997E-2</v>
      </c>
      <c r="N152" s="62">
        <v>3.4000000000000002E-2</v>
      </c>
      <c r="O152" s="56">
        <f>SUM(Tableau1362[[#This Row],[JANVIER]:[DECEMBRE]])</f>
        <v>1</v>
      </c>
      <c r="Q152" s="77" t="s">
        <v>328</v>
      </c>
      <c r="R152" s="54" t="s">
        <v>327</v>
      </c>
      <c r="S152" s="84">
        <v>10.3</v>
      </c>
      <c r="T152" s="77" t="s">
        <v>328</v>
      </c>
      <c r="U152" s="59">
        <v>11248000</v>
      </c>
      <c r="Y152" s="52"/>
      <c r="Z152" s="14"/>
    </row>
    <row r="153" spans="1:26" ht="18" customHeight="1">
      <c r="A153" s="60" t="e" vm="1">
        <v>#REF!</v>
      </c>
      <c r="B153" s="60" t="s">
        <v>329</v>
      </c>
      <c r="C153" s="62">
        <v>9.2721791264308184E-2</v>
      </c>
      <c r="D153" s="62">
        <v>9.0646661997268396E-2</v>
      </c>
      <c r="E153" s="62">
        <v>9.4298737283208339E-2</v>
      </c>
      <c r="F153" s="62">
        <v>8.7675889482882172E-2</v>
      </c>
      <c r="G153" s="62">
        <v>8.4365066467127339E-2</v>
      </c>
      <c r="H153" s="62">
        <v>7.1863466058690789E-2</v>
      </c>
      <c r="I153" s="62">
        <v>7.2307269267883834E-2</v>
      </c>
      <c r="J153" s="62">
        <v>6.8315318738527697E-2</v>
      </c>
      <c r="K153" s="62">
        <v>7.1576418569499867E-2</v>
      </c>
      <c r="L153" s="62">
        <v>8.5907586816804854E-2</v>
      </c>
      <c r="M153" s="62">
        <v>8.9653525254683453E-2</v>
      </c>
      <c r="N153" s="62">
        <v>9.0668268799115034E-2</v>
      </c>
      <c r="O153" s="56">
        <f>SUM(Tableau1362[[#This Row],[JANVIER]:[DECEMBRE]])</f>
        <v>1</v>
      </c>
      <c r="Q153" s="57" t="s">
        <v>330</v>
      </c>
      <c r="R153" s="54" t="s">
        <v>329</v>
      </c>
      <c r="S153" s="68">
        <v>12</v>
      </c>
      <c r="T153" s="57" t="s">
        <v>330</v>
      </c>
      <c r="U153" s="59">
        <v>44440692.624899998</v>
      </c>
      <c r="Y153" s="52"/>
      <c r="Z153" s="14"/>
    </row>
    <row r="154" spans="1:26" ht="18" customHeight="1">
      <c r="A154" s="60" t="e" vm="1">
        <v>#REF!</v>
      </c>
      <c r="B154" s="60" t="s">
        <v>331</v>
      </c>
      <c r="C154" s="62">
        <v>0.1118</v>
      </c>
      <c r="D154" s="62">
        <v>0.10390000000000001</v>
      </c>
      <c r="E154" s="62">
        <v>8.5099999999999995E-2</v>
      </c>
      <c r="F154" s="62">
        <v>9.4100000000000003E-2</v>
      </c>
      <c r="G154" s="62">
        <v>6.9900000000000004E-2</v>
      </c>
      <c r="H154" s="62">
        <v>6.4500000000000002E-2</v>
      </c>
      <c r="I154" s="62">
        <v>6.2300000000000001E-2</v>
      </c>
      <c r="J154" s="62">
        <v>4.7300000000000002E-2</v>
      </c>
      <c r="K154" s="62">
        <v>7.8E-2</v>
      </c>
      <c r="L154" s="62">
        <v>8.9200000000000002E-2</v>
      </c>
      <c r="M154" s="62">
        <v>9.2700000000000005E-2</v>
      </c>
      <c r="N154" s="62">
        <v>0.1012</v>
      </c>
      <c r="O154" s="56">
        <f>SUM(Tableau1362[[#This Row],[JANVIER]:[DECEMBRE]])</f>
        <v>1</v>
      </c>
      <c r="Q154" s="57" t="s">
        <v>332</v>
      </c>
      <c r="R154" s="54" t="s">
        <v>331</v>
      </c>
      <c r="S154" s="68">
        <v>12</v>
      </c>
      <c r="T154" s="57" t="s">
        <v>332</v>
      </c>
      <c r="U154" s="85">
        <v>23972998.960752003</v>
      </c>
      <c r="Y154" s="52"/>
      <c r="Z154" s="14"/>
    </row>
    <row r="155" spans="1:26" ht="18" customHeight="1">
      <c r="A155" s="60" t="e" vm="1">
        <v>#REF!</v>
      </c>
      <c r="B155" s="60" t="s">
        <v>333</v>
      </c>
      <c r="C155" s="62">
        <v>0.1118</v>
      </c>
      <c r="D155" s="62">
        <v>0.10390000000000001</v>
      </c>
      <c r="E155" s="62">
        <v>8.5099999999999995E-2</v>
      </c>
      <c r="F155" s="62">
        <v>9.4100000000000003E-2</v>
      </c>
      <c r="G155" s="62">
        <v>6.9900000000000004E-2</v>
      </c>
      <c r="H155" s="62">
        <v>6.4500000000000002E-2</v>
      </c>
      <c r="I155" s="62">
        <v>6.2300000000000001E-2</v>
      </c>
      <c r="J155" s="62">
        <v>4.7300000000000002E-2</v>
      </c>
      <c r="K155" s="62">
        <v>7.8E-2</v>
      </c>
      <c r="L155" s="62">
        <v>8.9200000000000002E-2</v>
      </c>
      <c r="M155" s="62">
        <v>9.2700000000000005E-2</v>
      </c>
      <c r="N155" s="62">
        <v>0.1012</v>
      </c>
      <c r="O155" s="56">
        <f>SUM(Tableau1362[[#This Row],[JANVIER]:[DECEMBRE]])</f>
        <v>1</v>
      </c>
      <c r="Q155" s="57" t="s">
        <v>334</v>
      </c>
      <c r="R155" s="54" t="s">
        <v>333</v>
      </c>
      <c r="S155" s="68">
        <v>6</v>
      </c>
      <c r="T155" s="57" t="s">
        <v>334</v>
      </c>
      <c r="U155" s="85">
        <v>12681369.015470261</v>
      </c>
      <c r="Y155" s="52"/>
      <c r="Z155" s="14"/>
    </row>
    <row r="156" spans="1:26" ht="18" customHeight="1">
      <c r="A156" s="60" t="e" vm="1">
        <v>#REF!</v>
      </c>
      <c r="B156" s="60" t="s">
        <v>335</v>
      </c>
      <c r="C156" s="62">
        <v>9.6088507175795229E-2</v>
      </c>
      <c r="D156" s="62">
        <v>9.3082553202394877E-2</v>
      </c>
      <c r="E156" s="62">
        <v>0.10286616746383168</v>
      </c>
      <c r="F156" s="62">
        <v>9.5274351053426146E-2</v>
      </c>
      <c r="G156" s="62">
        <v>8.4267975853656266E-2</v>
      </c>
      <c r="H156" s="62">
        <v>6.0975861496025061E-2</v>
      </c>
      <c r="I156" s="62">
        <v>5.9030097350260338E-2</v>
      </c>
      <c r="J156" s="62">
        <v>5.2543368667278663E-2</v>
      </c>
      <c r="K156" s="62">
        <v>6.0362558446767162E-2</v>
      </c>
      <c r="L156" s="62">
        <v>9.82560465897869E-2</v>
      </c>
      <c r="M156" s="62">
        <v>0.10004856979294706</v>
      </c>
      <c r="N156" s="62">
        <v>9.7203942907830396E-2</v>
      </c>
      <c r="O156" s="56">
        <f>SUM(Tableau1362[[#This Row],[JANVIER]:[DECEMBRE]])</f>
        <v>0.99999999999999989</v>
      </c>
      <c r="Q156" s="57" t="s">
        <v>336</v>
      </c>
      <c r="R156" s="54" t="s">
        <v>335</v>
      </c>
      <c r="S156" s="68">
        <v>60</v>
      </c>
      <c r="T156" s="57" t="s">
        <v>336</v>
      </c>
      <c r="U156" s="59">
        <v>119831441.94599999</v>
      </c>
      <c r="Y156" s="52"/>
      <c r="Z156" s="14"/>
    </row>
    <row r="157" spans="1:26" ht="18" customHeight="1">
      <c r="A157" s="60" t="e" vm="1">
        <v>#REF!</v>
      </c>
      <c r="B157" s="60" t="s">
        <v>337</v>
      </c>
      <c r="C157" s="62">
        <v>9.5882645454186288E-2</v>
      </c>
      <c r="D157" s="62">
        <v>9.2925205979112968E-2</v>
      </c>
      <c r="E157" s="62">
        <v>0.10255091791006933</v>
      </c>
      <c r="F157" s="62">
        <v>9.5081629378599736E-2</v>
      </c>
      <c r="G157" s="62">
        <v>8.425289122049491E-2</v>
      </c>
      <c r="H157" s="62">
        <v>6.1336699200010683E-2</v>
      </c>
      <c r="I157" s="62">
        <v>5.9422338652647629E-2</v>
      </c>
      <c r="J157" s="62">
        <v>5.3040302320454875E-2</v>
      </c>
      <c r="K157" s="62">
        <v>6.0733294535764835E-2</v>
      </c>
      <c r="L157" s="62">
        <v>9.8015201934904206E-2</v>
      </c>
      <c r="M157" s="62">
        <v>9.9778794766970713E-2</v>
      </c>
      <c r="N157" s="62">
        <v>9.6980078646783888E-2</v>
      </c>
      <c r="O157" s="56">
        <f>SUM(Tableau1362[[#This Row],[JANVIER]:[DECEMBRE]])</f>
        <v>1</v>
      </c>
      <c r="Q157" s="57" t="s">
        <v>338</v>
      </c>
      <c r="R157" s="54" t="s">
        <v>337</v>
      </c>
      <c r="S157" s="68">
        <v>9</v>
      </c>
      <c r="T157" s="57" t="s">
        <v>338</v>
      </c>
      <c r="U157" s="59">
        <v>17381000</v>
      </c>
      <c r="Y157" s="52"/>
      <c r="Z157" s="14"/>
    </row>
    <row r="158" spans="1:26" ht="18" customHeight="1">
      <c r="A158" s="60" t="e" vm="1">
        <v>#REF!</v>
      </c>
      <c r="B158" s="60" t="s">
        <v>339</v>
      </c>
      <c r="C158" s="62">
        <v>0.11780271006080177</v>
      </c>
      <c r="D158" s="62">
        <v>0.10335321194845555</v>
      </c>
      <c r="E158" s="62">
        <v>0.10081830915391088</v>
      </c>
      <c r="F158" s="62">
        <v>7.7635934772578241E-2</v>
      </c>
      <c r="G158" s="62">
        <v>6.8279281627234997E-2</v>
      </c>
      <c r="H158" s="62">
        <v>5.4314181675283159E-2</v>
      </c>
      <c r="I158" s="62">
        <v>5.6015906305385353E-2</v>
      </c>
      <c r="J158" s="62">
        <v>5.1488954157836803E-2</v>
      </c>
      <c r="K158" s="62">
        <v>5.9636611187055572E-2</v>
      </c>
      <c r="L158" s="62">
        <v>8.624352252366467E-2</v>
      </c>
      <c r="M158" s="62">
        <v>0.10381504675114298</v>
      </c>
      <c r="N158" s="62">
        <v>0.12059632983665015</v>
      </c>
      <c r="O158" s="63">
        <f>SUM(Tableau1362[[#This Row],[JANVIER]:[DECEMBRE]])</f>
        <v>1</v>
      </c>
      <c r="Q158" s="57" t="s">
        <v>340</v>
      </c>
      <c r="R158" s="61" t="s">
        <v>339</v>
      </c>
      <c r="S158" s="68">
        <v>9</v>
      </c>
      <c r="T158" s="57" t="s">
        <v>340</v>
      </c>
      <c r="U158" s="59">
        <v>15627297.114</v>
      </c>
      <c r="Y158" s="52"/>
      <c r="Z158" s="14"/>
    </row>
    <row r="159" spans="1:26" ht="18" customHeight="1">
      <c r="A159" s="60" t="e" vm="1">
        <v>#REF!</v>
      </c>
      <c r="B159" s="60" t="s">
        <v>341</v>
      </c>
      <c r="C159" s="62">
        <v>0.12134122895207736</v>
      </c>
      <c r="D159" s="62">
        <v>0.10600160098676369</v>
      </c>
      <c r="E159" s="62">
        <v>9.880408994125095E-2</v>
      </c>
      <c r="F159" s="62">
        <v>7.1069869906849395E-2</v>
      </c>
      <c r="G159" s="62">
        <v>6.6802455735219132E-2</v>
      </c>
      <c r="H159" s="62">
        <v>5.2192141847288077E-2</v>
      </c>
      <c r="I159" s="62">
        <v>5.4330870243288365E-2</v>
      </c>
      <c r="J159" s="62">
        <v>5.1357355274369028E-2</v>
      </c>
      <c r="K159" s="62">
        <v>6.1595282127988225E-2</v>
      </c>
      <c r="L159" s="62">
        <v>9.1658540712582601E-2</v>
      </c>
      <c r="M159" s="62">
        <v>0.10323888111906206</v>
      </c>
      <c r="N159" s="62">
        <v>0.12160768315326105</v>
      </c>
      <c r="O159" s="63">
        <f>SUM(Tableau1362[[#This Row],[JANVIER]:[DECEMBRE]])</f>
        <v>1</v>
      </c>
      <c r="Q159" s="57" t="s">
        <v>342</v>
      </c>
      <c r="R159" s="86" t="s">
        <v>341</v>
      </c>
      <c r="S159" s="68">
        <v>8</v>
      </c>
      <c r="T159" s="57" t="s">
        <v>342</v>
      </c>
      <c r="U159" s="59">
        <v>17090523</v>
      </c>
      <c r="Y159" s="52"/>
      <c r="Z159" s="14"/>
    </row>
    <row r="160" spans="1:26" ht="18" customHeight="1">
      <c r="A160" s="72" t="e" vm="1">
        <v>#REF!</v>
      </c>
      <c r="B160" s="72" t="s">
        <v>343</v>
      </c>
      <c r="C160" s="62">
        <v>0.11604432760730456</v>
      </c>
      <c r="D160" s="62">
        <v>9.7812872513945562E-2</v>
      </c>
      <c r="E160" s="62">
        <v>0.10086384854425498</v>
      </c>
      <c r="F160" s="62">
        <v>6.9580482593919149E-2</v>
      </c>
      <c r="G160" s="62">
        <v>7.2979965694268498E-2</v>
      </c>
      <c r="H160" s="62">
        <v>5.8920000166501681E-2</v>
      </c>
      <c r="I160" s="62">
        <v>6.2927676301758842E-2</v>
      </c>
      <c r="J160" s="62">
        <v>6.4434566334487062E-2</v>
      </c>
      <c r="K160" s="62">
        <v>6.3751339914799421E-2</v>
      </c>
      <c r="L160" s="62">
        <v>8.3228125061459712E-2</v>
      </c>
      <c r="M160" s="62">
        <v>9.6073023292623377E-2</v>
      </c>
      <c r="N160" s="62">
        <v>0.11338377197467718</v>
      </c>
      <c r="O160" s="63">
        <f>SUM(Tableau1362[[#This Row],[JANVIER]:[DECEMBRE]])</f>
        <v>1</v>
      </c>
      <c r="Q160" s="57" t="s">
        <v>344</v>
      </c>
      <c r="R160" s="86" t="s">
        <v>343</v>
      </c>
      <c r="S160" s="68">
        <v>15</v>
      </c>
      <c r="T160" s="57" t="s">
        <v>344</v>
      </c>
      <c r="U160" s="59">
        <v>41188900</v>
      </c>
      <c r="Y160" s="52"/>
      <c r="Z160" s="14"/>
    </row>
    <row r="161" spans="1:26" ht="18" customHeight="1">
      <c r="A161" s="60" t="e" vm="1">
        <v>#REF!</v>
      </c>
      <c r="B161" s="87" t="s">
        <v>345</v>
      </c>
      <c r="C161" s="62">
        <v>6.4699999999999994E-2</v>
      </c>
      <c r="D161" s="62">
        <v>6.4799999999999996E-2</v>
      </c>
      <c r="E161" s="62">
        <v>7.7700000000000005E-2</v>
      </c>
      <c r="F161" s="62">
        <v>7.4300000000000005E-2</v>
      </c>
      <c r="G161" s="62">
        <v>7.5399999999999995E-2</v>
      </c>
      <c r="H161" s="62">
        <v>7.8700000000000006E-2</v>
      </c>
      <c r="I161" s="62">
        <v>8.9700000000000002E-2</v>
      </c>
      <c r="J161" s="62">
        <v>0.10050000000000001</v>
      </c>
      <c r="K161" s="62">
        <v>0.104</v>
      </c>
      <c r="L161" s="62">
        <v>0.1047</v>
      </c>
      <c r="M161" s="62">
        <v>9.1700000000000004E-2</v>
      </c>
      <c r="N161" s="62">
        <v>7.3800000000000004E-2</v>
      </c>
      <c r="O161" s="56">
        <f>SUM(Tableau1362[[#This Row],[JANVIER]:[DECEMBRE]])</f>
        <v>1</v>
      </c>
      <c r="Q161" s="57" t="s">
        <v>346</v>
      </c>
      <c r="R161" s="86" t="s">
        <v>345</v>
      </c>
      <c r="S161" s="68">
        <v>1.1359999999999999</v>
      </c>
      <c r="T161" s="57" t="s">
        <v>346</v>
      </c>
      <c r="U161" s="59">
        <v>1624000</v>
      </c>
      <c r="Y161" s="52"/>
      <c r="Z161" s="14"/>
    </row>
    <row r="162" spans="1:26" ht="18" customHeight="1">
      <c r="A162" s="60" t="s">
        <v>347</v>
      </c>
      <c r="B162" s="60" t="s">
        <v>348</v>
      </c>
      <c r="C162" s="62">
        <v>8.9200000000000002E-2</v>
      </c>
      <c r="D162" s="62">
        <v>9.1766666666666663E-2</v>
      </c>
      <c r="E162" s="62">
        <v>0.10783333333333334</v>
      </c>
      <c r="F162" s="62">
        <v>8.6233333333333329E-2</v>
      </c>
      <c r="G162" s="62">
        <v>8.5166666666666668E-2</v>
      </c>
      <c r="H162" s="62">
        <v>6.4766666666666667E-2</v>
      </c>
      <c r="I162" s="62">
        <v>6.083333333333333E-2</v>
      </c>
      <c r="J162" s="62">
        <v>5.7866666666666657E-2</v>
      </c>
      <c r="K162" s="62">
        <v>7.0366666666666675E-2</v>
      </c>
      <c r="L162" s="62">
        <v>8.5500000000000007E-2</v>
      </c>
      <c r="M162" s="62">
        <v>0.10663333333333334</v>
      </c>
      <c r="N162" s="62">
        <v>9.3833333333333324E-2</v>
      </c>
      <c r="O162" s="63">
        <f>SUM(Tableau1362[[#This Row],[JANVIER]:[DECEMBRE]])</f>
        <v>1</v>
      </c>
      <c r="Q162" s="57" t="s">
        <v>347</v>
      </c>
      <c r="R162" s="86" t="s">
        <v>348</v>
      </c>
      <c r="S162" s="68">
        <v>15.1</v>
      </c>
      <c r="T162" s="57" t="e">
        <v>#N/A</v>
      </c>
      <c r="U162" s="85">
        <v>29112073.584000003</v>
      </c>
      <c r="Y162" s="52"/>
      <c r="Z162" s="14"/>
    </row>
    <row r="163" spans="1:26" ht="18" customHeight="1">
      <c r="A163" s="60" t="e" vm="1">
        <v>#REF!</v>
      </c>
      <c r="B163" s="60" t="s">
        <v>349</v>
      </c>
      <c r="C163" s="62">
        <v>0.10065428044415108</v>
      </c>
      <c r="D163" s="62">
        <v>9.6336305644127554E-2</v>
      </c>
      <c r="E163" s="62">
        <v>0.1022742058555232</v>
      </c>
      <c r="F163" s="62">
        <v>9.2213186584586326E-2</v>
      </c>
      <c r="G163" s="62">
        <v>8.4068967443402837E-2</v>
      </c>
      <c r="H163" s="62">
        <v>6.0969760459471424E-2</v>
      </c>
      <c r="I163" s="62">
        <v>6.385363556470354E-2</v>
      </c>
      <c r="J163" s="62">
        <v>5.5480977110999412E-2</v>
      </c>
      <c r="K163" s="62">
        <v>6.0408732176734217E-2</v>
      </c>
      <c r="L163" s="62">
        <v>8.8449594375552262E-2</v>
      </c>
      <c r="M163" s="62">
        <v>9.7932996499618175E-2</v>
      </c>
      <c r="N163" s="62">
        <v>9.7357357841130157E-2</v>
      </c>
      <c r="O163" s="63">
        <f>SUM(Tableau1362[[#This Row],[JANVIER]:[DECEMBRE]])</f>
        <v>1.0000000000000002</v>
      </c>
      <c r="Q163" s="57" t="s">
        <v>350</v>
      </c>
      <c r="R163" s="88" t="s">
        <v>349</v>
      </c>
      <c r="S163" s="68">
        <v>13.8</v>
      </c>
      <c r="T163" s="57" t="s">
        <v>350</v>
      </c>
      <c r="U163" s="59">
        <v>23821648.9267</v>
      </c>
      <c r="Y163" s="52"/>
      <c r="Z163" s="14"/>
    </row>
    <row r="164" spans="1:26" ht="18" customHeight="1">
      <c r="A164" s="60" t="e" vm="1">
        <v>#REF!</v>
      </c>
      <c r="B164" s="60" t="s">
        <v>351</v>
      </c>
      <c r="C164" s="62">
        <v>0.12393208529010485</v>
      </c>
      <c r="D164" s="62">
        <v>0.10539614786959575</v>
      </c>
      <c r="E164" s="62">
        <v>9.5729085810374315E-2</v>
      </c>
      <c r="F164" s="62">
        <v>6.9798290022980283E-2</v>
      </c>
      <c r="G164" s="62">
        <v>6.5979612191504902E-2</v>
      </c>
      <c r="H164" s="62">
        <v>5.0499815423975754E-2</v>
      </c>
      <c r="I164" s="62">
        <v>5.4355552642889861E-2</v>
      </c>
      <c r="J164" s="62">
        <v>5.1547901224977342E-2</v>
      </c>
      <c r="K164" s="62">
        <v>6.0552476381302886E-2</v>
      </c>
      <c r="L164" s="62">
        <v>9.1819018321016757E-2</v>
      </c>
      <c r="M164" s="62">
        <v>0.10581145470056674</v>
      </c>
      <c r="N164" s="62">
        <v>0.12457856012071063</v>
      </c>
      <c r="O164" s="56">
        <f>SUM(Tableau1362[[#This Row],[JANVIER]:[DECEMBRE]])</f>
        <v>1</v>
      </c>
      <c r="Q164" s="57" t="s">
        <v>352</v>
      </c>
      <c r="R164" s="54" t="s">
        <v>351</v>
      </c>
      <c r="S164" s="68">
        <v>6</v>
      </c>
      <c r="T164" s="57" t="s">
        <v>352</v>
      </c>
      <c r="U164" s="59">
        <v>11509274</v>
      </c>
      <c r="Y164" s="52"/>
      <c r="Z164" s="14"/>
    </row>
    <row r="165" spans="1:26" ht="18" customHeight="1">
      <c r="A165" s="60" t="e" vm="1">
        <v>#REF!</v>
      </c>
      <c r="B165" s="60" t="s">
        <v>353</v>
      </c>
      <c r="C165" s="62">
        <v>3.9E-2</v>
      </c>
      <c r="D165" s="62">
        <v>0.06</v>
      </c>
      <c r="E165" s="62">
        <v>8.6999999999999994E-2</v>
      </c>
      <c r="F165" s="62">
        <v>9.9000000000000005E-2</v>
      </c>
      <c r="G165" s="62">
        <v>0.11600000000000001</v>
      </c>
      <c r="H165" s="62">
        <v>0.124</v>
      </c>
      <c r="I165" s="62">
        <v>0.13100000000000001</v>
      </c>
      <c r="J165" s="62">
        <v>0.11700000000000001</v>
      </c>
      <c r="K165" s="62">
        <v>0.09</v>
      </c>
      <c r="L165" s="62">
        <v>6.2E-2</v>
      </c>
      <c r="M165" s="62">
        <v>3.9E-2</v>
      </c>
      <c r="N165" s="62">
        <v>3.5999999999999997E-2</v>
      </c>
      <c r="O165" s="56">
        <f>SUM(Tableau1362[[#This Row],[JANVIER]:[DECEMBRE]])</f>
        <v>1</v>
      </c>
      <c r="Q165" s="57" t="s">
        <v>354</v>
      </c>
      <c r="R165" s="60" t="s">
        <v>353</v>
      </c>
      <c r="S165" s="68">
        <v>5</v>
      </c>
      <c r="T165" s="57" t="s">
        <v>354</v>
      </c>
      <c r="U165" s="59">
        <v>6061000</v>
      </c>
      <c r="Y165" s="52"/>
      <c r="Z165" s="14"/>
    </row>
    <row r="166" spans="1:26" ht="18" customHeight="1">
      <c r="A166" s="60" t="e" vm="1">
        <v>#REF!</v>
      </c>
      <c r="B166" s="60" t="s">
        <v>355</v>
      </c>
      <c r="C166" s="62">
        <v>0.11921023598373337</v>
      </c>
      <c r="D166" s="62">
        <v>0.10462804530072664</v>
      </c>
      <c r="E166" s="62">
        <v>9.7638860663881374E-2</v>
      </c>
      <c r="F166" s="62">
        <v>7.1689674374313381E-2</v>
      </c>
      <c r="G166" s="62">
        <v>6.8127753172194508E-2</v>
      </c>
      <c r="H166" s="62">
        <v>5.4131194524688682E-2</v>
      </c>
      <c r="I166" s="62">
        <v>5.6601424291126995E-2</v>
      </c>
      <c r="J166" s="62">
        <v>5.368266430680859E-2</v>
      </c>
      <c r="K166" s="62">
        <v>6.2914688036917202E-2</v>
      </c>
      <c r="L166" s="62">
        <v>9.0422896366418787E-2</v>
      </c>
      <c r="M166" s="62">
        <v>0.10173334981096439</v>
      </c>
      <c r="N166" s="62">
        <v>0.1192192131682262</v>
      </c>
      <c r="O166" s="56">
        <f>SUM(Tableau1362[[#This Row],[JANVIER]:[DECEMBRE]])</f>
        <v>1.0000000000000002</v>
      </c>
      <c r="Q166" s="57" t="s">
        <v>356</v>
      </c>
      <c r="R166" s="54" t="s">
        <v>357</v>
      </c>
      <c r="S166" s="68">
        <v>10</v>
      </c>
      <c r="T166" s="57" t="s">
        <v>356</v>
      </c>
      <c r="U166" s="59">
        <v>15835000</v>
      </c>
      <c r="Y166" s="52"/>
      <c r="Z166" s="14"/>
    </row>
    <row r="167" spans="1:26" ht="18" customHeight="1">
      <c r="A167" s="60" t="e" vm="1">
        <v>#REF!</v>
      </c>
      <c r="B167" s="60" t="s">
        <v>357</v>
      </c>
      <c r="C167" s="62">
        <v>0.1226415000988085</v>
      </c>
      <c r="D167" s="62">
        <v>0.10602123689072365</v>
      </c>
      <c r="E167" s="62">
        <v>0.10379280200665664</v>
      </c>
      <c r="F167" s="62">
        <v>7.1766598608651269E-2</v>
      </c>
      <c r="G167" s="62">
        <v>6.5189059464911034E-2</v>
      </c>
      <c r="H167" s="62">
        <v>5.1515474830169002E-2</v>
      </c>
      <c r="I167" s="62">
        <v>5.4764812860350114E-2</v>
      </c>
      <c r="J167" s="62">
        <v>4.9959481978140798E-2</v>
      </c>
      <c r="K167" s="62">
        <v>6.1989629447442143E-2</v>
      </c>
      <c r="L167" s="62">
        <v>9.0110530850714757E-2</v>
      </c>
      <c r="M167" s="62">
        <v>9.9912032853616342E-2</v>
      </c>
      <c r="N167" s="62">
        <v>0.12233684010981574</v>
      </c>
      <c r="O167" s="63">
        <f>SUM(Tableau1362[[#This Row],[JANVIER]:[DECEMBRE]])</f>
        <v>1</v>
      </c>
      <c r="Q167" s="77" t="s">
        <v>358</v>
      </c>
      <c r="R167" s="54" t="s">
        <v>359</v>
      </c>
      <c r="S167" s="84">
        <v>10.1</v>
      </c>
      <c r="T167" s="77" t="s">
        <v>358</v>
      </c>
      <c r="U167" s="59">
        <v>10617000</v>
      </c>
      <c r="Y167" s="52"/>
      <c r="Z167" s="14"/>
    </row>
    <row r="168" spans="1:26" ht="18" customHeight="1">
      <c r="A168" s="60" t="e" vm="1">
        <v>#REF!</v>
      </c>
      <c r="B168" s="54" t="s">
        <v>359</v>
      </c>
      <c r="C168" s="62">
        <v>0.04</v>
      </c>
      <c r="D168" s="62">
        <v>5.8000000000000003E-2</v>
      </c>
      <c r="E168" s="62">
        <v>8.3000000000000004E-2</v>
      </c>
      <c r="F168" s="62">
        <v>0.10100000000000001</v>
      </c>
      <c r="G168" s="62">
        <v>0.11600000000000001</v>
      </c>
      <c r="H168" s="62">
        <v>0.124</v>
      </c>
      <c r="I168" s="62">
        <v>0.126</v>
      </c>
      <c r="J168" s="62">
        <v>0.115</v>
      </c>
      <c r="K168" s="62">
        <v>9.4E-2</v>
      </c>
      <c r="L168" s="62">
        <v>6.6000000000000003E-2</v>
      </c>
      <c r="M168" s="62">
        <v>4.2999999999999997E-2</v>
      </c>
      <c r="N168" s="62">
        <v>3.4000000000000002E-2</v>
      </c>
      <c r="O168" s="56">
        <f>SUM(Tableau1362[[#This Row],[JANVIER]:[DECEMBRE]])</f>
        <v>1</v>
      </c>
      <c r="Q168" s="77" t="s">
        <v>360</v>
      </c>
      <c r="R168" s="54" t="s">
        <v>361</v>
      </c>
      <c r="S168" s="84">
        <v>21.6</v>
      </c>
      <c r="T168" s="77" t="s">
        <v>360</v>
      </c>
      <c r="U168" s="59">
        <v>60955000</v>
      </c>
      <c r="Y168" s="52"/>
      <c r="Z168" s="14"/>
    </row>
    <row r="169" spans="1:26" ht="18" customHeight="1">
      <c r="A169" s="60" t="e" vm="1">
        <v>#REF!</v>
      </c>
      <c r="B169" s="54" t="s">
        <v>361</v>
      </c>
      <c r="C169" s="62">
        <v>0.115</v>
      </c>
      <c r="D169" s="62">
        <v>0.10100000000000001</v>
      </c>
      <c r="E169" s="62">
        <v>0.1</v>
      </c>
      <c r="F169" s="62">
        <v>6.6000000000000003E-2</v>
      </c>
      <c r="G169" s="62">
        <v>7.0000000000000007E-2</v>
      </c>
      <c r="H169" s="62">
        <v>6.0999999999999999E-2</v>
      </c>
      <c r="I169" s="62">
        <v>5.8999999999999997E-2</v>
      </c>
      <c r="J169" s="62">
        <v>0.06</v>
      </c>
      <c r="K169" s="62">
        <v>6.4000000000000001E-2</v>
      </c>
      <c r="L169" s="62">
        <v>8.4000000000000005E-2</v>
      </c>
      <c r="M169" s="62">
        <v>0.1</v>
      </c>
      <c r="N169" s="62">
        <v>0.12</v>
      </c>
      <c r="O169" s="56">
        <f>SUM(Tableau1362[[#This Row],[JANVIER]:[DECEMBRE]])</f>
        <v>1</v>
      </c>
      <c r="Q169" s="57" t="s">
        <v>362</v>
      </c>
      <c r="R169" s="75" t="s">
        <v>363</v>
      </c>
      <c r="S169" s="68">
        <v>14.4</v>
      </c>
      <c r="T169" s="57" t="s">
        <v>362</v>
      </c>
      <c r="U169" s="59">
        <v>30020001.699999999</v>
      </c>
      <c r="Y169" s="52"/>
      <c r="Z169" s="14"/>
    </row>
    <row r="170" spans="1:26" ht="18" customHeight="1">
      <c r="A170" s="60" t="s">
        <v>362</v>
      </c>
      <c r="B170" s="82" t="s">
        <v>363</v>
      </c>
      <c r="C170" s="62">
        <v>0.11367070706798715</v>
      </c>
      <c r="D170" s="62">
        <v>0.10336371358724225</v>
      </c>
      <c r="E170" s="62">
        <v>9.8625711589397938E-2</v>
      </c>
      <c r="F170" s="62">
        <v>7.6751016350733475E-2</v>
      </c>
      <c r="G170" s="62">
        <v>6.8643991678839056E-2</v>
      </c>
      <c r="H170" s="62">
        <v>5.7065510142115389E-2</v>
      </c>
      <c r="I170" s="62">
        <v>5.8386164506297134E-2</v>
      </c>
      <c r="J170" s="62">
        <v>5.3306364643941992E-2</v>
      </c>
      <c r="K170" s="62">
        <v>6.2776111109496061E-2</v>
      </c>
      <c r="L170" s="62">
        <v>8.5109078408039163E-2</v>
      </c>
      <c r="M170" s="62">
        <v>0.10193704930077573</v>
      </c>
      <c r="N170" s="62">
        <v>0.12036458161513461</v>
      </c>
      <c r="O170" s="56">
        <f>SUM(Tableau1362[[#This Row],[JANVIER]:[DECEMBRE]])</f>
        <v>1</v>
      </c>
      <c r="Q170" s="57" t="s">
        <v>364</v>
      </c>
      <c r="R170" s="54" t="s">
        <v>365</v>
      </c>
      <c r="S170" s="68">
        <v>4.46</v>
      </c>
      <c r="T170" s="57" t="s">
        <v>364</v>
      </c>
      <c r="U170" s="59">
        <v>3764000</v>
      </c>
      <c r="Y170" s="52"/>
      <c r="Z170" s="14"/>
    </row>
    <row r="171" spans="1:26" ht="18" customHeight="1">
      <c r="A171" s="60" t="e" vm="1">
        <v>#REF!</v>
      </c>
      <c r="B171" s="60" t="s">
        <v>365</v>
      </c>
      <c r="C171" s="422">
        <v>6.83E-2</v>
      </c>
      <c r="D171" s="422">
        <v>6.3100000000000003E-2</v>
      </c>
      <c r="E171" s="422">
        <v>7.8100000000000003E-2</v>
      </c>
      <c r="F171" s="422">
        <v>7.0499999999999993E-2</v>
      </c>
      <c r="G171" s="422">
        <v>7.1599999999999997E-2</v>
      </c>
      <c r="H171" s="422">
        <v>7.4700000000000003E-2</v>
      </c>
      <c r="I171" s="422">
        <v>8.77E-2</v>
      </c>
      <c r="J171" s="422">
        <v>9.6799999999999997E-2</v>
      </c>
      <c r="K171" s="422">
        <v>0.1046</v>
      </c>
      <c r="L171" s="422">
        <v>0.1103</v>
      </c>
      <c r="M171" s="422">
        <v>9.3899999999999997E-2</v>
      </c>
      <c r="N171" s="422">
        <v>8.0399999999999999E-2</v>
      </c>
      <c r="O171" s="63">
        <f>SUM(Tableau1362[[#This Row],[JANVIER]:[DECEMBRE]])</f>
        <v>1</v>
      </c>
      <c r="Q171" s="57" t="s">
        <v>366</v>
      </c>
      <c r="R171" s="54" t="s">
        <v>367</v>
      </c>
      <c r="S171" s="68">
        <v>5</v>
      </c>
      <c r="T171" s="57" t="s">
        <v>366</v>
      </c>
      <c r="U171" s="59">
        <v>7090000</v>
      </c>
      <c r="Y171" s="52"/>
      <c r="Z171" s="14"/>
    </row>
    <row r="172" spans="1:26" ht="18" customHeight="1">
      <c r="A172" s="60" t="e" vm="1">
        <v>#REF!</v>
      </c>
      <c r="B172" s="60" t="s">
        <v>367</v>
      </c>
      <c r="C172" s="89">
        <v>6.9000000000000006E-2</v>
      </c>
      <c r="D172" s="89">
        <v>6.0999999999999999E-2</v>
      </c>
      <c r="E172" s="89">
        <v>7.2999999999999995E-2</v>
      </c>
      <c r="F172" s="89">
        <v>7.3999999999999996E-2</v>
      </c>
      <c r="G172" s="89">
        <v>7.1999999999999995E-2</v>
      </c>
      <c r="H172" s="89">
        <v>7.8E-2</v>
      </c>
      <c r="I172" s="89">
        <v>9.1999999999999998E-2</v>
      </c>
      <c r="J172" s="89">
        <v>0.10100000000000001</v>
      </c>
      <c r="K172" s="89">
        <v>0.105</v>
      </c>
      <c r="L172" s="89">
        <v>0.106</v>
      </c>
      <c r="M172" s="89">
        <v>9.2999999999999999E-2</v>
      </c>
      <c r="N172" s="89">
        <v>7.5999999999999998E-2</v>
      </c>
      <c r="O172" s="63">
        <f>SUM(Tableau1362[[#This Row],[JANVIER]:[DECEMBRE]])</f>
        <v>0.99999999999999989</v>
      </c>
      <c r="Q172" s="57" t="s">
        <v>368</v>
      </c>
      <c r="R172" s="54" t="s">
        <v>369</v>
      </c>
      <c r="S172" s="68">
        <v>54.9</v>
      </c>
      <c r="T172" s="57" t="s">
        <v>368</v>
      </c>
      <c r="U172" s="73">
        <v>56265236.913599998</v>
      </c>
      <c r="Y172" s="52"/>
      <c r="Z172" s="14"/>
    </row>
    <row r="173" spans="1:26" ht="18" customHeight="1">
      <c r="A173" s="60" t="e" vm="1">
        <v>#REF!</v>
      </c>
      <c r="B173" s="60" t="s">
        <v>369</v>
      </c>
      <c r="C173" s="62">
        <v>3.1300000000000001E-2</v>
      </c>
      <c r="D173" s="62">
        <v>4.9599999999999998E-2</v>
      </c>
      <c r="E173" s="62">
        <v>7.8799999999999995E-2</v>
      </c>
      <c r="F173" s="62">
        <v>0.1105</v>
      </c>
      <c r="G173" s="62">
        <v>0.12740000000000001</v>
      </c>
      <c r="H173" s="62">
        <v>0.1381</v>
      </c>
      <c r="I173" s="62">
        <v>0.13120000000000001</v>
      </c>
      <c r="J173" s="62">
        <v>0.11749999999999999</v>
      </c>
      <c r="K173" s="62">
        <v>9.4700000000000006E-2</v>
      </c>
      <c r="L173" s="62">
        <v>6.4600000000000005E-2</v>
      </c>
      <c r="M173" s="62">
        <v>3.2800000000000003E-2</v>
      </c>
      <c r="N173" s="66">
        <v>2.35E-2</v>
      </c>
      <c r="O173" s="63">
        <f>SUM(Tableau1362[[#This Row],[JANVIER]:[DECEMBRE]])</f>
        <v>1</v>
      </c>
      <c r="Q173" s="57" t="s">
        <v>370</v>
      </c>
      <c r="R173" s="90" t="s">
        <v>371</v>
      </c>
      <c r="S173" s="68">
        <v>12</v>
      </c>
      <c r="T173" s="57" t="s">
        <v>370</v>
      </c>
      <c r="U173" s="59">
        <v>12291695.7075</v>
      </c>
      <c r="Y173" s="52"/>
      <c r="Z173" s="14"/>
    </row>
    <row r="174" spans="1:26" ht="18" customHeight="1">
      <c r="A174" s="60" t="e" vm="1">
        <v>#REF!</v>
      </c>
      <c r="B174" s="60" t="s">
        <v>371</v>
      </c>
      <c r="C174" s="62">
        <v>3.1300000000000001E-2</v>
      </c>
      <c r="D174" s="62">
        <v>4.9599999999999998E-2</v>
      </c>
      <c r="E174" s="62">
        <v>7.8799999999999995E-2</v>
      </c>
      <c r="F174" s="62">
        <v>0.1105</v>
      </c>
      <c r="G174" s="62">
        <v>0.12740000000000001</v>
      </c>
      <c r="H174" s="62">
        <v>0.1381</v>
      </c>
      <c r="I174" s="62">
        <v>0.13120000000000001</v>
      </c>
      <c r="J174" s="62">
        <v>0.11749999999999999</v>
      </c>
      <c r="K174" s="62">
        <v>9.4700000000000006E-2</v>
      </c>
      <c r="L174" s="62">
        <v>6.4600000000000005E-2</v>
      </c>
      <c r="M174" s="62">
        <v>3.2800000000000003E-2</v>
      </c>
      <c r="N174" s="62">
        <v>2.35E-2</v>
      </c>
      <c r="O174" s="56">
        <f>SUM(Tableau1362[[#This Row],[JANVIER]:[DECEMBRE]])</f>
        <v>1</v>
      </c>
      <c r="Q174" s="57" t="s">
        <v>372</v>
      </c>
      <c r="R174" s="90" t="s">
        <v>373</v>
      </c>
      <c r="S174" s="68">
        <v>12</v>
      </c>
      <c r="T174" s="57" t="s">
        <v>372</v>
      </c>
      <c r="U174" s="59">
        <v>12291695.7075</v>
      </c>
      <c r="Y174" s="52"/>
      <c r="Z174" s="14"/>
    </row>
    <row r="175" spans="1:26" ht="18" customHeight="1">
      <c r="A175" s="60" t="e" vm="1">
        <v>#REF!</v>
      </c>
      <c r="B175" s="60" t="s">
        <v>373</v>
      </c>
      <c r="C175" s="62">
        <v>3.1300000000000001E-2</v>
      </c>
      <c r="D175" s="62">
        <v>4.9599999999999998E-2</v>
      </c>
      <c r="E175" s="62">
        <v>7.8799999999999995E-2</v>
      </c>
      <c r="F175" s="62">
        <v>0.1105</v>
      </c>
      <c r="G175" s="62">
        <v>0.12740000000000001</v>
      </c>
      <c r="H175" s="62">
        <v>0.1381</v>
      </c>
      <c r="I175" s="62">
        <v>0.13120000000000001</v>
      </c>
      <c r="J175" s="62">
        <v>0.11749999999999999</v>
      </c>
      <c r="K175" s="62">
        <v>9.4700000000000006E-2</v>
      </c>
      <c r="L175" s="62">
        <v>6.4600000000000005E-2</v>
      </c>
      <c r="M175" s="62">
        <v>3.2800000000000003E-2</v>
      </c>
      <c r="N175" s="62">
        <v>2.35E-2</v>
      </c>
      <c r="O175" s="56">
        <f>SUM(Tableau1362[[#This Row],[JANVIER]:[DECEMBRE]])</f>
        <v>1</v>
      </c>
      <c r="Q175" s="57" t="s">
        <v>374</v>
      </c>
      <c r="R175" s="91" t="s">
        <v>375</v>
      </c>
      <c r="S175" s="68">
        <v>12</v>
      </c>
      <c r="T175" s="57" t="s">
        <v>374</v>
      </c>
      <c r="U175" s="59">
        <v>12291695.7075</v>
      </c>
      <c r="Y175" s="52"/>
      <c r="Z175" s="14"/>
    </row>
    <row r="176" spans="1:26" ht="18" customHeight="1">
      <c r="A176" s="60" t="e" vm="1">
        <v>#REF!</v>
      </c>
      <c r="B176" s="60" t="s">
        <v>375</v>
      </c>
      <c r="C176" s="62">
        <v>3.1300000000000001E-2</v>
      </c>
      <c r="D176" s="62">
        <v>4.9599999999999998E-2</v>
      </c>
      <c r="E176" s="62">
        <v>7.8799999999999995E-2</v>
      </c>
      <c r="F176" s="62">
        <v>0.1105</v>
      </c>
      <c r="G176" s="62">
        <v>0.12740000000000001</v>
      </c>
      <c r="H176" s="62">
        <v>0.1381</v>
      </c>
      <c r="I176" s="62">
        <v>0.13120000000000001</v>
      </c>
      <c r="J176" s="62">
        <v>0.11749999999999999</v>
      </c>
      <c r="K176" s="62">
        <v>9.4700000000000006E-2</v>
      </c>
      <c r="L176" s="62">
        <v>6.4600000000000005E-2</v>
      </c>
      <c r="M176" s="62">
        <v>3.2800000000000003E-2</v>
      </c>
      <c r="N176" s="62">
        <v>2.35E-2</v>
      </c>
      <c r="O176" s="56">
        <f>SUM(Tableau1362[[#This Row],[JANVIER]:[DECEMBRE]])</f>
        <v>1</v>
      </c>
      <c r="Q176" s="57" t="s">
        <v>376</v>
      </c>
      <c r="R176" s="91" t="s">
        <v>377</v>
      </c>
      <c r="S176" s="68">
        <v>12</v>
      </c>
      <c r="T176" s="57" t="s">
        <v>376</v>
      </c>
      <c r="U176" s="59">
        <v>12291695.7075</v>
      </c>
      <c r="Y176" s="52"/>
      <c r="Z176" s="14"/>
    </row>
    <row r="177" spans="1:26" ht="18" customHeight="1">
      <c r="A177" s="60" t="e" vm="1">
        <v>#REF!</v>
      </c>
      <c r="B177" s="60" t="s">
        <v>377</v>
      </c>
      <c r="C177" s="62">
        <v>3.1300000000000001E-2</v>
      </c>
      <c r="D177" s="62">
        <v>4.9599999999999998E-2</v>
      </c>
      <c r="E177" s="62">
        <v>7.8799999999999995E-2</v>
      </c>
      <c r="F177" s="62">
        <v>0.1105</v>
      </c>
      <c r="G177" s="62">
        <v>0.12740000000000001</v>
      </c>
      <c r="H177" s="62">
        <v>0.1381</v>
      </c>
      <c r="I177" s="62">
        <v>0.13120000000000001</v>
      </c>
      <c r="J177" s="62">
        <v>0.11749999999999999</v>
      </c>
      <c r="K177" s="62">
        <v>9.4700000000000006E-2</v>
      </c>
      <c r="L177" s="62">
        <v>6.4600000000000005E-2</v>
      </c>
      <c r="M177" s="62">
        <v>3.2800000000000003E-2</v>
      </c>
      <c r="N177" s="62">
        <v>2.35E-2</v>
      </c>
      <c r="O177" s="56">
        <f>SUM(Tableau1362[[#This Row],[JANVIER]:[DECEMBRE]])</f>
        <v>1</v>
      </c>
      <c r="Q177" s="57" t="s">
        <v>378</v>
      </c>
      <c r="R177" s="91" t="s">
        <v>379</v>
      </c>
      <c r="S177" s="68">
        <v>6.93</v>
      </c>
      <c r="T177" s="57" t="s">
        <v>378</v>
      </c>
      <c r="U177" s="59">
        <v>7098454.0835999995</v>
      </c>
      <c r="Y177" s="52"/>
      <c r="Z177" s="14"/>
    </row>
    <row r="178" spans="1:26" ht="18" customHeight="1">
      <c r="A178" s="60" t="e" vm="1">
        <v>#REF!</v>
      </c>
      <c r="B178" s="60" t="s">
        <v>379</v>
      </c>
      <c r="C178" s="62">
        <v>3.1300000000000001E-2</v>
      </c>
      <c r="D178" s="62">
        <v>4.9599999999999998E-2</v>
      </c>
      <c r="E178" s="62">
        <v>7.8799999999999995E-2</v>
      </c>
      <c r="F178" s="62">
        <v>0.1105</v>
      </c>
      <c r="G178" s="62">
        <v>0.12740000000000001</v>
      </c>
      <c r="H178" s="62">
        <v>0.1381</v>
      </c>
      <c r="I178" s="62">
        <v>0.13120000000000001</v>
      </c>
      <c r="J178" s="62">
        <v>0.11749999999999999</v>
      </c>
      <c r="K178" s="62">
        <v>9.4700000000000006E-2</v>
      </c>
      <c r="L178" s="62">
        <v>6.4600000000000005E-2</v>
      </c>
      <c r="M178" s="62">
        <v>3.2800000000000003E-2</v>
      </c>
      <c r="N178" s="62">
        <v>2.35E-2</v>
      </c>
      <c r="O178" s="56">
        <f>SUM(Tableau1362[[#This Row],[JANVIER]:[DECEMBRE]])</f>
        <v>1</v>
      </c>
      <c r="Q178" s="57" t="s">
        <v>380</v>
      </c>
      <c r="R178" s="54" t="s">
        <v>381</v>
      </c>
      <c r="S178" s="68">
        <v>10</v>
      </c>
      <c r="T178" s="57" t="s">
        <v>380</v>
      </c>
      <c r="U178" s="59">
        <v>12183248</v>
      </c>
      <c r="Y178" s="52"/>
      <c r="Z178" s="14"/>
    </row>
    <row r="179" spans="1:26" ht="18" customHeight="1">
      <c r="A179" s="60" t="e" vm="1">
        <v>#REF!</v>
      </c>
      <c r="B179" s="60" t="s">
        <v>381</v>
      </c>
      <c r="C179" s="62">
        <v>0.11712253658792166</v>
      </c>
      <c r="D179" s="62">
        <v>0.10720872224930376</v>
      </c>
      <c r="E179" s="62">
        <v>0.1044313220914253</v>
      </c>
      <c r="F179" s="62">
        <v>7.8285836716351614E-2</v>
      </c>
      <c r="G179" s="62">
        <v>6.8230757000398046E-2</v>
      </c>
      <c r="H179" s="62">
        <v>5.2715686696244456E-2</v>
      </c>
      <c r="I179" s="62">
        <v>5.4172004313504926E-2</v>
      </c>
      <c r="J179" s="62">
        <v>4.8436406649206537E-2</v>
      </c>
      <c r="K179" s="62">
        <v>6.0007101939230464E-2</v>
      </c>
      <c r="L179" s="62">
        <v>8.2730224162907942E-2</v>
      </c>
      <c r="M179" s="62">
        <v>0.10273948773044926</v>
      </c>
      <c r="N179" s="62">
        <v>0.12391991386305608</v>
      </c>
      <c r="O179" s="63">
        <f>SUM(Tableau1362[[#This Row],[JANVIER]:[DECEMBRE]])</f>
        <v>1</v>
      </c>
      <c r="Q179" s="57" t="s">
        <v>382</v>
      </c>
      <c r="R179" s="54" t="s">
        <v>383</v>
      </c>
      <c r="S179" s="68">
        <v>0.54400000000000004</v>
      </c>
      <c r="T179" s="57" t="s">
        <v>382</v>
      </c>
      <c r="U179" s="59">
        <v>784000</v>
      </c>
      <c r="Y179" s="52"/>
      <c r="Z179" s="14"/>
    </row>
    <row r="180" spans="1:26" ht="18" customHeight="1">
      <c r="A180" s="60" t="e" vm="1">
        <v>#REF!</v>
      </c>
      <c r="B180" s="60" t="s">
        <v>383</v>
      </c>
      <c r="C180" s="62">
        <v>7.0800000000000002E-2</v>
      </c>
      <c r="D180" s="62">
        <v>6.7000000000000004E-2</v>
      </c>
      <c r="E180" s="62">
        <v>7.9200000000000007E-2</v>
      </c>
      <c r="F180" s="62">
        <v>7.1599999999999997E-2</v>
      </c>
      <c r="G180" s="62">
        <v>6.7799999999999999E-2</v>
      </c>
      <c r="H180" s="66">
        <v>7.0199999999999999E-2</v>
      </c>
      <c r="I180" s="62">
        <v>8.1500000000000003E-2</v>
      </c>
      <c r="J180" s="62">
        <v>9.4399999999999998E-2</v>
      </c>
      <c r="K180" s="62">
        <v>0.1043</v>
      </c>
      <c r="L180" s="62">
        <v>0.11119999999999999</v>
      </c>
      <c r="M180" s="62">
        <v>0.10050000000000001</v>
      </c>
      <c r="N180" s="62">
        <v>8.1500000000000003E-2</v>
      </c>
      <c r="O180" s="63">
        <f>SUM(Tableau1362[[#This Row],[JANVIER]:[DECEMBRE]])</f>
        <v>1</v>
      </c>
      <c r="Q180" s="57" t="s">
        <v>384</v>
      </c>
      <c r="R180" s="54" t="s">
        <v>385</v>
      </c>
      <c r="S180" s="68">
        <v>24</v>
      </c>
      <c r="T180" s="57" t="s">
        <v>384</v>
      </c>
      <c r="U180" s="59">
        <v>43531387</v>
      </c>
      <c r="Y180" s="52"/>
      <c r="Z180" s="14"/>
    </row>
    <row r="181" spans="1:26" ht="18" customHeight="1">
      <c r="A181" s="60" t="e" vm="1">
        <v>#REF!</v>
      </c>
      <c r="B181" s="60" t="s">
        <v>385</v>
      </c>
      <c r="C181" s="62">
        <v>0.11761345650008712</v>
      </c>
      <c r="D181" s="62">
        <v>0.10565097090426061</v>
      </c>
      <c r="E181" s="62">
        <v>0.10264752657266082</v>
      </c>
      <c r="F181" s="62">
        <v>7.1966694383504018E-2</v>
      </c>
      <c r="G181" s="62">
        <v>6.4809185215233225E-2</v>
      </c>
      <c r="H181" s="62">
        <v>5.1980033835191265E-2</v>
      </c>
      <c r="I181" s="62">
        <v>5.5349252962868946E-2</v>
      </c>
      <c r="J181" s="62">
        <v>5.0184977448706453E-2</v>
      </c>
      <c r="K181" s="62">
        <v>6.2392769086640557E-2</v>
      </c>
      <c r="L181" s="62">
        <v>8.9730490564082513E-2</v>
      </c>
      <c r="M181" s="62">
        <v>0.10160128833692139</v>
      </c>
      <c r="N181" s="62">
        <v>0.12607335418984306</v>
      </c>
      <c r="O181" s="63">
        <f>SUM(Tableau1362[[#This Row],[JANVIER]:[DECEMBRE]])</f>
        <v>1</v>
      </c>
      <c r="Q181" s="57" t="s">
        <v>386</v>
      </c>
      <c r="R181" s="54" t="s">
        <v>387</v>
      </c>
      <c r="S181" s="68">
        <v>14</v>
      </c>
      <c r="T181" s="57" t="s">
        <v>386</v>
      </c>
      <c r="U181" s="59">
        <v>32731784</v>
      </c>
      <c r="Y181" s="52"/>
      <c r="Z181" s="14"/>
    </row>
    <row r="182" spans="1:26" ht="18" customHeight="1">
      <c r="A182" s="60" t="e" vm="1">
        <v>#REF!</v>
      </c>
      <c r="B182" s="60" t="s">
        <v>387</v>
      </c>
      <c r="C182" s="62">
        <v>0.10001481250323578</v>
      </c>
      <c r="D182" s="62">
        <v>9.4111043236216718E-2</v>
      </c>
      <c r="E182" s="62">
        <v>9.544381691500424E-2</v>
      </c>
      <c r="F182" s="62">
        <v>8.7309363888237249E-2</v>
      </c>
      <c r="G182" s="62">
        <v>8.2382559373015141E-2</v>
      </c>
      <c r="H182" s="62">
        <v>6.347276598654901E-2</v>
      </c>
      <c r="I182" s="62">
        <v>6.9585600258406349E-2</v>
      </c>
      <c r="J182" s="62">
        <v>6.2281326122466604E-2</v>
      </c>
      <c r="K182" s="62">
        <v>6.4365769225871006E-2</v>
      </c>
      <c r="L182" s="62">
        <v>8.6065123053023163E-2</v>
      </c>
      <c r="M182" s="62">
        <v>0.10092576555641379</v>
      </c>
      <c r="N182" s="62">
        <v>9.4042053881560964E-2</v>
      </c>
      <c r="O182" s="63">
        <f>SUM(Tableau1362[[#This Row],[JANVIER]:[DECEMBRE]])</f>
        <v>1</v>
      </c>
      <c r="Q182" s="57" t="s">
        <v>388</v>
      </c>
      <c r="R182" s="54" t="s">
        <v>389</v>
      </c>
      <c r="S182" s="68">
        <v>8.5</v>
      </c>
      <c r="T182" s="57" t="s">
        <v>388</v>
      </c>
      <c r="U182" s="59">
        <v>13790137</v>
      </c>
      <c r="Y182" s="52"/>
      <c r="Z182" s="14"/>
    </row>
    <row r="183" spans="1:26" ht="18" customHeight="1">
      <c r="A183" s="60" t="e" vm="1">
        <v>#REF!</v>
      </c>
      <c r="B183" s="60" t="s">
        <v>389</v>
      </c>
      <c r="C183" s="62">
        <v>0.1172438228322101</v>
      </c>
      <c r="D183" s="62">
        <v>0.1045635865506363</v>
      </c>
      <c r="E183" s="62">
        <v>0.10148323719404975</v>
      </c>
      <c r="F183" s="62">
        <v>7.4392901157242702E-2</v>
      </c>
      <c r="G183" s="62">
        <v>6.6511404696555643E-2</v>
      </c>
      <c r="H183" s="62">
        <v>5.3875882420207896E-2</v>
      </c>
      <c r="I183" s="62">
        <v>5.6908803175603914E-2</v>
      </c>
      <c r="J183" s="62">
        <v>5.2020481687889718E-2</v>
      </c>
      <c r="K183" s="62">
        <v>6.2778681589036336E-2</v>
      </c>
      <c r="L183" s="62">
        <v>8.8133878616630412E-2</v>
      </c>
      <c r="M183" s="62">
        <v>0.10097950037686966</v>
      </c>
      <c r="N183" s="62">
        <v>0.12110781970306767</v>
      </c>
      <c r="O183" s="63">
        <f>SUM(Tableau1362[[#This Row],[JANVIER]:[DECEMBRE]])</f>
        <v>1</v>
      </c>
      <c r="Q183" s="14" t="s">
        <v>390</v>
      </c>
      <c r="R183" s="75" t="s">
        <v>391</v>
      </c>
      <c r="S183" s="68">
        <v>8.8000000000000007</v>
      </c>
      <c r="T183" s="14" t="s">
        <v>390</v>
      </c>
      <c r="U183" s="59">
        <v>19562000</v>
      </c>
      <c r="Y183" s="52"/>
      <c r="Z183" s="14"/>
    </row>
    <row r="184" spans="1:26" ht="18" customHeight="1">
      <c r="A184" s="60" t="e" vm="1">
        <v>#REF!</v>
      </c>
      <c r="B184" s="60" t="s">
        <v>391</v>
      </c>
      <c r="C184" s="62">
        <v>0.1086</v>
      </c>
      <c r="D184" s="62">
        <v>0.1032</v>
      </c>
      <c r="E184" s="62">
        <v>0.111</v>
      </c>
      <c r="F184" s="62">
        <v>8.3500000000000005E-2</v>
      </c>
      <c r="G184" s="62">
        <v>7.0000000000000007E-2</v>
      </c>
      <c r="H184" s="62">
        <v>5.96E-2</v>
      </c>
      <c r="I184" s="62">
        <v>5.16E-2</v>
      </c>
      <c r="J184" s="62">
        <v>4.5499999999999999E-2</v>
      </c>
      <c r="K184" s="62">
        <v>6.6100000000000006E-2</v>
      </c>
      <c r="L184" s="62">
        <v>8.3500000000000005E-2</v>
      </c>
      <c r="M184" s="62">
        <v>0.10349999999999999</v>
      </c>
      <c r="N184" s="62">
        <v>0.1139</v>
      </c>
      <c r="O184" s="56">
        <f>SUM(Tableau1362[[#This Row],[JANVIER]:[DECEMBRE]])</f>
        <v>1</v>
      </c>
      <c r="Q184" s="57" t="s">
        <v>392</v>
      </c>
      <c r="R184" s="54" t="s">
        <v>393</v>
      </c>
      <c r="S184" s="68">
        <v>8</v>
      </c>
      <c r="T184" s="57" t="s">
        <v>392</v>
      </c>
      <c r="U184" s="59">
        <v>23071447.914099999</v>
      </c>
      <c r="Y184" s="52"/>
      <c r="Z184" s="14"/>
    </row>
    <row r="185" spans="1:26" ht="18" customHeight="1">
      <c r="A185" s="60" t="e" vm="1">
        <v>#REF!</v>
      </c>
      <c r="B185" s="61" t="s">
        <v>393</v>
      </c>
      <c r="C185" s="62">
        <v>0.11426537202771085</v>
      </c>
      <c r="D185" s="62">
        <v>9.8455994485742465E-2</v>
      </c>
      <c r="E185" s="62">
        <v>9.2059544084321224E-2</v>
      </c>
      <c r="F185" s="62">
        <v>7.1043405664167655E-2</v>
      </c>
      <c r="G185" s="62">
        <v>7.1388123506876733E-2</v>
      </c>
      <c r="H185" s="62">
        <v>5.9083855536814237E-2</v>
      </c>
      <c r="I185" s="62">
        <v>6.0286702008397114E-2</v>
      </c>
      <c r="J185" s="62">
        <v>5.9118138950679286E-2</v>
      </c>
      <c r="K185" s="62">
        <v>6.7313063046987698E-2</v>
      </c>
      <c r="L185" s="62">
        <v>9.2111853097023175E-2</v>
      </c>
      <c r="M185" s="62">
        <v>0.10138613961886331</v>
      </c>
      <c r="N185" s="62">
        <v>0.11348780797241641</v>
      </c>
      <c r="O185" s="63">
        <f>SUM(Tableau1362[[#This Row],[JANVIER]:[DECEMBRE]])</f>
        <v>1.0000000000000002</v>
      </c>
      <c r="Q185" s="57" t="s">
        <v>394</v>
      </c>
      <c r="R185" s="54" t="s">
        <v>395</v>
      </c>
      <c r="S185" s="68">
        <v>6</v>
      </c>
      <c r="T185" s="57" t="s">
        <v>394</v>
      </c>
      <c r="U185" s="59">
        <v>11439540</v>
      </c>
      <c r="Y185" s="52"/>
      <c r="Z185" s="14"/>
    </row>
    <row r="186" spans="1:26" ht="18" customHeight="1">
      <c r="A186" s="60" t="e" vm="1">
        <v>#REF!</v>
      </c>
      <c r="B186" s="61" t="s">
        <v>395</v>
      </c>
      <c r="C186" s="62">
        <v>0.11786978983868779</v>
      </c>
      <c r="D186" s="62">
        <v>0.10393120193720165</v>
      </c>
      <c r="E186" s="62">
        <v>9.7391073284365373E-2</v>
      </c>
      <c r="F186" s="62">
        <v>7.2189949456408123E-2</v>
      </c>
      <c r="G186" s="62">
        <v>6.8312298207120439E-2</v>
      </c>
      <c r="H186" s="62">
        <v>5.5036412712652742E-2</v>
      </c>
      <c r="I186" s="62">
        <v>5.6979801027705987E-2</v>
      </c>
      <c r="J186" s="62">
        <v>5.427787110708554E-2</v>
      </c>
      <c r="K186" s="62">
        <v>6.3580720152762352E-2</v>
      </c>
      <c r="L186" s="62">
        <v>9.0898160532281849E-2</v>
      </c>
      <c r="M186" s="62">
        <v>0.10142081421396498</v>
      </c>
      <c r="N186" s="62">
        <v>0.11811190752976332</v>
      </c>
      <c r="O186" s="56">
        <f>SUM(Tableau1362[[#This Row],[JANVIER]:[DECEMBRE]])</f>
        <v>1</v>
      </c>
      <c r="Q186" s="57" t="s">
        <v>396</v>
      </c>
      <c r="R186" s="54" t="s">
        <v>397</v>
      </c>
      <c r="S186" s="68">
        <v>50.6</v>
      </c>
      <c r="T186" s="57" t="s">
        <v>396</v>
      </c>
      <c r="U186" s="59">
        <v>136990766</v>
      </c>
      <c r="Y186" s="52"/>
      <c r="Z186" s="14"/>
    </row>
    <row r="187" spans="1:26" ht="18" customHeight="1">
      <c r="A187" s="60" t="e" vm="1">
        <v>#REF!</v>
      </c>
      <c r="B187" s="61" t="s">
        <v>397</v>
      </c>
      <c r="C187" s="62">
        <v>0.10240691229348277</v>
      </c>
      <c r="D187" s="62">
        <v>9.8134438123825954E-2</v>
      </c>
      <c r="E187" s="62">
        <v>9.7254828930868203E-2</v>
      </c>
      <c r="F187" s="62">
        <v>8.5048529628334382E-2</v>
      </c>
      <c r="G187" s="62">
        <v>8.6509715722988878E-2</v>
      </c>
      <c r="H187" s="62">
        <v>6.9278260842804015E-2</v>
      </c>
      <c r="I187" s="62">
        <v>7.2922840352854276E-2</v>
      </c>
      <c r="J187" s="62">
        <v>6.4987302390715748E-2</v>
      </c>
      <c r="K187" s="62">
        <v>6.7175370402633924E-2</v>
      </c>
      <c r="L187" s="62">
        <v>7.4769912606236777E-2</v>
      </c>
      <c r="M187" s="62">
        <v>9.0442014864795792E-2</v>
      </c>
      <c r="N187" s="62">
        <v>9.1069873840459434E-2</v>
      </c>
      <c r="O187" s="56">
        <f>SUM(Tableau1362[[#This Row],[JANVIER]:[DECEMBRE]])</f>
        <v>0.99999999999999989</v>
      </c>
      <c r="Q187" s="57" t="s">
        <v>398</v>
      </c>
      <c r="R187" s="54" t="s">
        <v>399</v>
      </c>
      <c r="S187" s="68">
        <v>8.4</v>
      </c>
      <c r="T187" s="57" t="s">
        <v>398</v>
      </c>
      <c r="U187" s="59">
        <v>8351000</v>
      </c>
      <c r="Y187" s="52"/>
      <c r="Z187" s="14"/>
    </row>
    <row r="188" spans="1:26" ht="18" customHeight="1">
      <c r="A188" s="92" t="e" vm="1">
        <v>#REF!</v>
      </c>
      <c r="B188" s="60" t="s">
        <v>400</v>
      </c>
      <c r="C188" s="62">
        <v>2.63E-2</v>
      </c>
      <c r="D188" s="62">
        <v>4.36E-2</v>
      </c>
      <c r="E188" s="62">
        <v>8.6699999999999999E-2</v>
      </c>
      <c r="F188" s="62">
        <v>0.1037</v>
      </c>
      <c r="G188" s="62">
        <v>0.12659999999999999</v>
      </c>
      <c r="H188" s="62">
        <v>0.13850000000000001</v>
      </c>
      <c r="I188" s="62">
        <v>0.13850000000000001</v>
      </c>
      <c r="J188" s="62">
        <v>0.12520000000000001</v>
      </c>
      <c r="K188" s="62">
        <v>9.6299999999999997E-2</v>
      </c>
      <c r="L188" s="62">
        <v>6.1699999999999998E-2</v>
      </c>
      <c r="M188" s="66">
        <v>3.1800000000000002E-2</v>
      </c>
      <c r="N188" s="62">
        <v>2.1100000000000001E-2</v>
      </c>
      <c r="O188" s="56">
        <f>SUM(Tableau1362[[#This Row],[JANVIER]:[DECEMBRE]])</f>
        <v>1.0000000000000002</v>
      </c>
      <c r="Q188" s="57" t="s">
        <v>401</v>
      </c>
      <c r="R188" s="54" t="s">
        <v>402</v>
      </c>
      <c r="S188" s="68">
        <v>13.4</v>
      </c>
      <c r="T188" s="57" t="s">
        <v>401</v>
      </c>
      <c r="U188" s="59">
        <v>14949000</v>
      </c>
      <c r="Y188" s="52"/>
      <c r="Z188" s="14"/>
    </row>
    <row r="189" spans="1:26" ht="18" customHeight="1">
      <c r="A189" s="92" t="e" vm="1">
        <v>#REF!</v>
      </c>
      <c r="B189" s="60" t="s">
        <v>403</v>
      </c>
      <c r="C189" s="62">
        <v>2.7400000000000001E-2</v>
      </c>
      <c r="D189" s="62">
        <v>4.3400000000000001E-2</v>
      </c>
      <c r="E189" s="62">
        <v>8.6800000000000002E-2</v>
      </c>
      <c r="F189" s="62">
        <v>0.1084</v>
      </c>
      <c r="G189" s="62">
        <v>0.1227</v>
      </c>
      <c r="H189" s="62">
        <v>0.13450000000000001</v>
      </c>
      <c r="I189" s="62">
        <v>0.13850000000000001</v>
      </c>
      <c r="J189" s="62">
        <v>0.1232</v>
      </c>
      <c r="K189" s="62">
        <v>9.5399999999999999E-2</v>
      </c>
      <c r="L189" s="62">
        <v>6.4199999999999993E-2</v>
      </c>
      <c r="M189" s="66">
        <v>3.44E-2</v>
      </c>
      <c r="N189" s="62">
        <v>2.1100000000000001E-2</v>
      </c>
      <c r="O189" s="56">
        <f>SUM(Tableau1362[[#This Row],[JANVIER]:[DECEMBRE]])</f>
        <v>1.0000000000000002</v>
      </c>
      <c r="Q189" s="72"/>
      <c r="R189" s="93">
        <f>SUBTOTAL(103,Tableau7[Centrale])</f>
        <v>187</v>
      </c>
      <c r="S189" s="68">
        <f>SUBTOTAL(109,Tableau7[Puissance])</f>
        <v>2435.7094999999999</v>
      </c>
      <c r="T189" s="94"/>
      <c r="U189" s="95">
        <f>SUBTOTAL(109,Tableau7[Production Th 2023])/1000</f>
        <v>4531603.5591108222</v>
      </c>
    </row>
    <row r="190" spans="1:26" ht="18" customHeight="1">
      <c r="A190" s="72">
        <f>SUBTOTAL(103,Tableau1362[Quadri])</f>
        <v>188</v>
      </c>
      <c r="B190" s="96">
        <f>SUBTOTAL(103,Tableau1362[SITES])</f>
        <v>188</v>
      </c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48"/>
    </row>
    <row r="192" spans="1:26" ht="18" customHeight="1">
      <c r="B192" s="47" t="s">
        <v>404</v>
      </c>
    </row>
    <row r="193" spans="1:15" ht="18" customHeight="1">
      <c r="B193" s="47" t="s">
        <v>405</v>
      </c>
    </row>
    <row r="194" spans="1:15" ht="18" customHeight="1">
      <c r="A194" s="98"/>
      <c r="B194" s="99" t="s">
        <v>406</v>
      </c>
      <c r="D194" s="100">
        <v>6.8599999999999994E-2</v>
      </c>
      <c r="E194" s="100">
        <v>7.9899999999999999E-2</v>
      </c>
      <c r="F194" s="100">
        <v>7.9200000000000007E-2</v>
      </c>
      <c r="G194" s="100">
        <v>8.1299999999999997E-2</v>
      </c>
      <c r="H194" s="100">
        <v>6.2899999999999998E-2</v>
      </c>
      <c r="I194" s="100">
        <v>6.6900000000000001E-2</v>
      </c>
      <c r="J194" s="100">
        <v>6.9199999999999998E-2</v>
      </c>
      <c r="K194" s="100">
        <v>5.8700000000000002E-2</v>
      </c>
      <c r="L194" s="100">
        <v>5.5E-2</v>
      </c>
      <c r="M194" s="100">
        <v>0.06</v>
      </c>
      <c r="N194" s="100">
        <v>0.16569999999999999</v>
      </c>
      <c r="O194" s="100">
        <v>0.1525</v>
      </c>
    </row>
    <row r="196" spans="1:15" ht="18" customHeight="1">
      <c r="A196" s="101"/>
      <c r="B196" s="101"/>
    </row>
    <row r="197" spans="1:15" ht="18" customHeight="1">
      <c r="A197" s="72"/>
      <c r="B197" s="7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</row>
    <row r="198" spans="1:15" ht="18" customHeight="1">
      <c r="A198" s="72"/>
      <c r="B198" s="7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</row>
    <row r="212" spans="14:14" ht="18" customHeight="1">
      <c r="N212" s="103"/>
    </row>
  </sheetData>
  <conditionalFormatting sqref="W2:W187">
    <cfRule type="containsText" dxfId="739" priority="1" operator="containsText" text="faux">
      <formula>NOT(ISERROR(SEARCH("faux",W2)))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9">
    <tabColor rgb="FF00B050"/>
  </sheetPr>
  <dimension ref="A1:AN316"/>
  <sheetViews>
    <sheetView showGridLines="0" zoomScale="85" zoomScaleNormal="85" workbookViewId="0">
      <pane xSplit="9" ySplit="5" topLeftCell="AE117" activePane="bottomRight" state="frozen"/>
      <selection pane="topRight" activeCell="J1" sqref="J1"/>
      <selection pane="bottomLeft" activeCell="A6" sqref="A6"/>
      <selection pane="bottomRight" activeCell="A122" sqref="A122:AN122"/>
    </sheetView>
  </sheetViews>
  <sheetFormatPr baseColWidth="10" defaultColWidth="12" defaultRowHeight="12"/>
  <cols>
    <col min="1" max="1" width="24.6640625" style="6" bestFit="1" customWidth="1"/>
    <col min="2" max="2" width="11.6640625" style="6" customWidth="1"/>
    <col min="3" max="3" width="13.5" style="6" customWidth="1"/>
    <col min="4" max="4" width="13.1640625" style="6" customWidth="1"/>
    <col min="5" max="5" width="7" style="6" customWidth="1"/>
    <col min="6" max="6" width="10.33203125" style="6" customWidth="1"/>
    <col min="7" max="7" width="13.1640625" style="6" customWidth="1"/>
    <col min="8" max="8" width="16" style="6" customWidth="1"/>
    <col min="9" max="10" width="19.33203125" style="6" customWidth="1"/>
    <col min="11" max="11" width="17.33203125" style="6" customWidth="1"/>
    <col min="12" max="12" width="12.6640625" style="6" customWidth="1"/>
    <col min="13" max="16" width="12.5" style="6" customWidth="1"/>
    <col min="17" max="17" width="18.83203125" style="122" bestFit="1" customWidth="1"/>
    <col min="18" max="18" width="18" style="122" bestFit="1" customWidth="1"/>
    <col min="19" max="19" width="17.5" style="6" customWidth="1"/>
    <col min="20" max="25" width="13.6640625" style="6" customWidth="1"/>
    <col min="26" max="26" width="12.5" style="6" customWidth="1"/>
    <col min="27" max="27" width="12.5" style="20" customWidth="1"/>
    <col min="28" max="28" width="16.5" style="6" bestFit="1" customWidth="1"/>
    <col min="29" max="35" width="12.5" style="6" customWidth="1"/>
    <col min="36" max="36" width="15.5" style="6" bestFit="1" customWidth="1"/>
    <col min="37" max="37" width="12.5" style="6" customWidth="1"/>
    <col min="38" max="38" width="21.6640625" style="20" customWidth="1"/>
    <col min="39" max="39" width="15.33203125" style="20" bestFit="1" customWidth="1"/>
    <col min="40" max="40" width="76.6640625" style="6" customWidth="1"/>
    <col min="41" max="16384" width="12" style="6"/>
  </cols>
  <sheetData>
    <row r="1" spans="1:40" ht="22.5" customHeight="1" thickBot="1">
      <c r="A1" s="343" t="s">
        <v>878</v>
      </c>
      <c r="B1" s="344">
        <v>2.5000000000000001E-2</v>
      </c>
      <c r="J1" s="519" t="s">
        <v>777</v>
      </c>
      <c r="K1" s="520"/>
      <c r="L1" s="520"/>
      <c r="M1" s="520"/>
      <c r="N1" s="520"/>
      <c r="O1" s="520"/>
      <c r="P1" s="520"/>
      <c r="Q1" s="520"/>
      <c r="R1" s="521"/>
      <c r="S1" s="522" t="s">
        <v>778</v>
      </c>
      <c r="T1" s="523"/>
      <c r="U1" s="523"/>
      <c r="V1" s="523"/>
      <c r="W1" s="523"/>
      <c r="X1" s="523"/>
      <c r="Y1" s="523"/>
      <c r="Z1" s="523"/>
      <c r="AA1" s="523"/>
      <c r="AB1" s="524"/>
      <c r="AC1" s="525" t="s">
        <v>779</v>
      </c>
      <c r="AD1" s="526"/>
      <c r="AE1" s="527" t="s">
        <v>780</v>
      </c>
      <c r="AF1" s="527"/>
      <c r="AG1" s="527"/>
      <c r="AH1" s="527"/>
      <c r="AI1" s="527"/>
      <c r="AJ1" s="527"/>
      <c r="AK1" s="20"/>
      <c r="AM1" s="6"/>
    </row>
    <row r="2" spans="1:40">
      <c r="A2" s="161" t="s">
        <v>781</v>
      </c>
      <c r="B2" s="162" t="s">
        <v>782</v>
      </c>
      <c r="C2" s="163" t="s">
        <v>783</v>
      </c>
      <c r="D2" s="163" t="s">
        <v>784</v>
      </c>
      <c r="E2" s="163" t="s">
        <v>785</v>
      </c>
      <c r="F2" s="163" t="s">
        <v>786</v>
      </c>
      <c r="G2" s="163" t="s">
        <v>787</v>
      </c>
      <c r="H2" s="163" t="s">
        <v>788</v>
      </c>
      <c r="I2" s="303"/>
      <c r="J2" s="165" t="s">
        <v>789</v>
      </c>
      <c r="K2" s="166" t="s">
        <v>790</v>
      </c>
      <c r="L2" s="167" t="s">
        <v>791</v>
      </c>
      <c r="M2" s="168" t="s">
        <v>792</v>
      </c>
      <c r="N2" s="168" t="s">
        <v>793</v>
      </c>
      <c r="O2" s="168" t="s">
        <v>794</v>
      </c>
      <c r="P2" s="168" t="s">
        <v>795</v>
      </c>
      <c r="Q2" s="168" t="s">
        <v>796</v>
      </c>
      <c r="R2" s="169" t="s">
        <v>797</v>
      </c>
      <c r="S2" s="165" t="s">
        <v>798</v>
      </c>
      <c r="T2" s="170" t="s">
        <v>799</v>
      </c>
      <c r="U2" s="171" t="s">
        <v>800</v>
      </c>
      <c r="V2" s="172" t="s">
        <v>801</v>
      </c>
      <c r="W2" s="173" t="s">
        <v>802</v>
      </c>
      <c r="X2" s="173" t="s">
        <v>803</v>
      </c>
      <c r="Y2" s="173" t="s">
        <v>804</v>
      </c>
      <c r="Z2" s="172" t="s">
        <v>805</v>
      </c>
      <c r="AA2" s="173" t="s">
        <v>806</v>
      </c>
      <c r="AB2" s="174" t="s">
        <v>807</v>
      </c>
      <c r="AC2" s="175" t="s">
        <v>808</v>
      </c>
      <c r="AD2" s="176" t="s">
        <v>809</v>
      </c>
      <c r="AE2" s="177" t="s">
        <v>810</v>
      </c>
      <c r="AF2" s="177" t="s">
        <v>811</v>
      </c>
      <c r="AG2" s="177" t="s">
        <v>812</v>
      </c>
      <c r="AH2" s="177" t="s">
        <v>813</v>
      </c>
      <c r="AI2" s="177" t="s">
        <v>814</v>
      </c>
      <c r="AJ2" s="178" t="s">
        <v>815</v>
      </c>
      <c r="AK2" s="179" t="s">
        <v>816</v>
      </c>
      <c r="AL2" s="180" t="s">
        <v>817</v>
      </c>
      <c r="AM2" s="181" t="s">
        <v>818</v>
      </c>
    </row>
    <row r="3" spans="1:40" ht="46.5" thickTop="1" thickBot="1">
      <c r="A3" s="182" t="s">
        <v>879</v>
      </c>
      <c r="B3" s="183" t="s">
        <v>628</v>
      </c>
      <c r="C3" s="183" t="s">
        <v>629</v>
      </c>
      <c r="D3" s="183" t="s">
        <v>414</v>
      </c>
      <c r="E3" s="183" t="s">
        <v>630</v>
      </c>
      <c r="F3" s="183" t="s">
        <v>631</v>
      </c>
      <c r="G3" s="183" t="s">
        <v>417</v>
      </c>
      <c r="H3" s="183" t="s">
        <v>632</v>
      </c>
      <c r="I3" s="304" t="s">
        <v>418</v>
      </c>
      <c r="J3" s="185" t="s">
        <v>820</v>
      </c>
      <c r="K3" s="186" t="s">
        <v>821</v>
      </c>
      <c r="L3" s="187" t="s">
        <v>822</v>
      </c>
      <c r="M3" s="188" t="s">
        <v>823</v>
      </c>
      <c r="N3" s="188" t="s">
        <v>824</v>
      </c>
      <c r="O3" s="188" t="s">
        <v>825</v>
      </c>
      <c r="P3" s="188" t="s">
        <v>826</v>
      </c>
      <c r="Q3" s="188" t="s">
        <v>827</v>
      </c>
      <c r="R3" s="189" t="s">
        <v>688</v>
      </c>
      <c r="S3" s="185" t="s">
        <v>828</v>
      </c>
      <c r="T3" s="190" t="s">
        <v>829</v>
      </c>
      <c r="U3" s="191" t="s">
        <v>822</v>
      </c>
      <c r="V3" s="192" t="s">
        <v>823</v>
      </c>
      <c r="W3" s="193" t="s">
        <v>824</v>
      </c>
      <c r="X3" s="193" t="s">
        <v>825</v>
      </c>
      <c r="Y3" s="193" t="s">
        <v>826</v>
      </c>
      <c r="Z3" s="192" t="s">
        <v>827</v>
      </c>
      <c r="AA3" s="193" t="s">
        <v>830</v>
      </c>
      <c r="AB3" s="194" t="s">
        <v>690</v>
      </c>
      <c r="AC3" s="195" t="s">
        <v>831</v>
      </c>
      <c r="AD3" s="196" t="s">
        <v>832</v>
      </c>
      <c r="AE3" s="197" t="s">
        <v>833</v>
      </c>
      <c r="AF3" s="197" t="s">
        <v>834</v>
      </c>
      <c r="AG3" s="197" t="s">
        <v>835</v>
      </c>
      <c r="AH3" s="197" t="s">
        <v>836</v>
      </c>
      <c r="AI3" s="197" t="s">
        <v>837</v>
      </c>
      <c r="AJ3" s="198" t="s">
        <v>691</v>
      </c>
      <c r="AK3" s="199" t="s">
        <v>692</v>
      </c>
      <c r="AL3" s="200" t="s">
        <v>838</v>
      </c>
      <c r="AM3" s="201" t="s">
        <v>839</v>
      </c>
    </row>
    <row r="4" spans="1:40" ht="12.75" thickBot="1">
      <c r="A4" s="256"/>
      <c r="B4" s="257"/>
      <c r="C4" s="257"/>
      <c r="D4" s="257"/>
      <c r="E4" s="258"/>
      <c r="F4" s="259"/>
      <c r="G4" s="260"/>
      <c r="H4" s="260"/>
      <c r="I4" s="305"/>
      <c r="J4" s="202"/>
      <c r="K4" s="203" t="s">
        <v>840</v>
      </c>
      <c r="L4" s="203" t="s">
        <v>840</v>
      </c>
      <c r="M4" s="204" t="s">
        <v>840</v>
      </c>
      <c r="N4" s="204" t="s">
        <v>840</v>
      </c>
      <c r="O4" s="204" t="s">
        <v>840</v>
      </c>
      <c r="P4" s="204" t="s">
        <v>840</v>
      </c>
      <c r="Q4" s="204" t="s">
        <v>840</v>
      </c>
      <c r="R4" s="205">
        <f>SUM('OPX_BN+1'!$K4:$Q4)</f>
        <v>0</v>
      </c>
      <c r="S4" s="206"/>
      <c r="T4" s="207" t="s">
        <v>841</v>
      </c>
      <c r="U4" s="207" t="s">
        <v>841</v>
      </c>
      <c r="V4" s="207" t="s">
        <v>841</v>
      </c>
      <c r="W4" s="207" t="s">
        <v>841</v>
      </c>
      <c r="X4" s="207" t="s">
        <v>841</v>
      </c>
      <c r="Y4" s="207" t="s">
        <v>841</v>
      </c>
      <c r="Z4" s="207" t="s">
        <v>841</v>
      </c>
      <c r="AA4" s="207" t="s">
        <v>841</v>
      </c>
      <c r="AB4" s="208">
        <f>SUM('OPX_BN+1'!$T4:$AA4)</f>
        <v>0</v>
      </c>
      <c r="AC4" s="209"/>
      <c r="AD4" s="209"/>
      <c r="AE4" s="210"/>
      <c r="AF4" s="211"/>
      <c r="AG4" s="211"/>
      <c r="AH4" s="210"/>
      <c r="AI4" s="211"/>
      <c r="AJ4" s="212">
        <f>SUM('OPX_BN+1'!$AE4:$AI4)</f>
        <v>0</v>
      </c>
      <c r="AK4" s="213"/>
      <c r="AL4" s="214">
        <f>SUM('OPX_BN+1'!$J4,'OPX_BN+1'!$AB4,'OPX_BN+1'!$S4,'OPX_BN+1'!$AJ4,'OPX_BN+1'!$R4,'OPX_BN+1'!$AK4)</f>
        <v>0</v>
      </c>
      <c r="AM4" s="215"/>
    </row>
    <row r="5" spans="1:40" ht="105.75" customHeight="1">
      <c r="A5" s="242" t="s">
        <v>880</v>
      </c>
      <c r="B5" s="216" t="s">
        <v>628</v>
      </c>
      <c r="C5" s="216" t="s">
        <v>629</v>
      </c>
      <c r="D5" s="217" t="s">
        <v>414</v>
      </c>
      <c r="E5" s="217" t="s">
        <v>630</v>
      </c>
      <c r="F5" s="218" t="s">
        <v>631</v>
      </c>
      <c r="G5" s="218" t="s">
        <v>417</v>
      </c>
      <c r="H5" s="218" t="s">
        <v>632</v>
      </c>
      <c r="I5" s="218" t="s">
        <v>418</v>
      </c>
      <c r="J5" s="219" t="s">
        <v>843</v>
      </c>
      <c r="K5" s="249" t="s">
        <v>844</v>
      </c>
      <c r="L5" s="250" t="s">
        <v>845</v>
      </c>
      <c r="M5" s="251" t="s">
        <v>846</v>
      </c>
      <c r="N5" s="251" t="s">
        <v>847</v>
      </c>
      <c r="O5" s="251" t="s">
        <v>848</v>
      </c>
      <c r="P5" s="251" t="s">
        <v>849</v>
      </c>
      <c r="Q5" s="251" t="s">
        <v>850</v>
      </c>
      <c r="R5" s="220" t="s">
        <v>688</v>
      </c>
      <c r="S5" s="221" t="s">
        <v>851</v>
      </c>
      <c r="T5" s="222" t="s">
        <v>852</v>
      </c>
      <c r="U5" s="207" t="s">
        <v>853</v>
      </c>
      <c r="V5" s="207" t="s">
        <v>854</v>
      </c>
      <c r="W5" s="207" t="s">
        <v>855</v>
      </c>
      <c r="X5" s="207" t="s">
        <v>856</v>
      </c>
      <c r="Y5" s="223" t="s">
        <v>857</v>
      </c>
      <c r="Z5" s="207" t="s">
        <v>858</v>
      </c>
      <c r="AA5" s="207" t="s">
        <v>859</v>
      </c>
      <c r="AB5" s="224" t="s">
        <v>690</v>
      </c>
      <c r="AC5" s="266" t="s">
        <v>860</v>
      </c>
      <c r="AD5" s="267" t="s">
        <v>861</v>
      </c>
      <c r="AE5" s="268" t="s">
        <v>862</v>
      </c>
      <c r="AF5" s="268" t="s">
        <v>863</v>
      </c>
      <c r="AG5" s="268" t="s">
        <v>864</v>
      </c>
      <c r="AH5" s="268" t="s">
        <v>865</v>
      </c>
      <c r="AI5" s="211" t="s">
        <v>866</v>
      </c>
      <c r="AJ5" s="198" t="s">
        <v>691</v>
      </c>
      <c r="AK5" s="225" t="s">
        <v>867</v>
      </c>
      <c r="AL5" s="226" t="s">
        <v>838</v>
      </c>
      <c r="AM5" s="227" t="s">
        <v>868</v>
      </c>
      <c r="AN5" s="375" t="s">
        <v>645</v>
      </c>
    </row>
    <row r="6" spans="1:40" ht="15">
      <c r="A6" s="319" t="s">
        <v>575</v>
      </c>
      <c r="B6" s="320" t="str">
        <f>VLOOKUP('OPX_BN+1'!$A6,Tableau106[],3,FALSE)</f>
        <v>A893</v>
      </c>
      <c r="C6" s="320" t="str">
        <f>VLOOKUP('OPX_BN+1'!$A6,Tableau106[],2,FALSE)</f>
        <v>FR34E97E</v>
      </c>
      <c r="D6" s="320" t="str">
        <f>VLOOKUP('OPX_BN+1'!$A6,Tableau106[],8,FALSE)</f>
        <v>EOLIEN</v>
      </c>
      <c r="E6" s="321">
        <f>VLOOKUP('OPX_BN+1'!$A6,Tableau106[],4,FALSE)</f>
        <v>10</v>
      </c>
      <c r="F6" s="322" t="str">
        <f>VLOOKUP('OPX_BN+1'!$A6,Tableau106[],5,FALSE)</f>
        <v>AUQB</v>
      </c>
      <c r="G6" s="322" t="str">
        <f>VLOOKUP('OPX_BN+1'!$A6,Tableau106[],7,FALSE)</f>
        <v>GROUPE</v>
      </c>
      <c r="H6" s="322" t="str">
        <f>VLOOKUP('OPX_BN+1'!$A6,Tableau106[],6,FALSE)</f>
        <v>S</v>
      </c>
      <c r="I6" s="322" t="str">
        <f>VLOOKUP(Tableau17[[#This Row],[OPEX VARIABLES en €
BN 2024]],Tableau106[],9,FALSE)</f>
        <v>KéD</v>
      </c>
      <c r="J6" s="360">
        <f>VLOOKUP(Tableau17[[#This Row],[CODE PI]],Tableau16[[CODE PI]:[(mesures compensatoires du PC ou autres)]],5,FALSE)*(1+$B$1)</f>
        <v>-513837.62499999994</v>
      </c>
      <c r="K6" s="228">
        <v>-20680</v>
      </c>
      <c r="L6" s="228"/>
      <c r="M6" s="229">
        <v>0</v>
      </c>
      <c r="N6" s="229">
        <v>0</v>
      </c>
      <c r="O6" s="229">
        <v>0</v>
      </c>
      <c r="P6" s="229">
        <f>-3500-5000</f>
        <v>-8500</v>
      </c>
      <c r="Q6" s="229">
        <f>-250*'OPX_BN+1'!$E6</f>
        <v>-2500</v>
      </c>
      <c r="R6" s="274">
        <f>SUM('OPX_BN+1'!$K6:$Q6)</f>
        <v>-31680</v>
      </c>
      <c r="S6" s="336">
        <f>VLOOKUP(Tableau17[[#This Row],[CODE PI]],Tableau16[[CODE PI]:[(mesures compensatoires du PC ou autres)]],14,FALSE)*(1+$B$1)</f>
        <v>0</v>
      </c>
      <c r="T6" s="423">
        <v>0</v>
      </c>
      <c r="U6" s="437">
        <v>0</v>
      </c>
      <c r="V6" s="423">
        <v>-12500</v>
      </c>
      <c r="W6" s="423">
        <v>0</v>
      </c>
      <c r="X6" s="423">
        <v>0</v>
      </c>
      <c r="Y6" s="423">
        <v>0</v>
      </c>
      <c r="Z6" s="264">
        <f>-250*Tableau17[[#This Row],[MW]]</f>
        <v>-2500</v>
      </c>
      <c r="AA6" s="423"/>
      <c r="AB6" s="272">
        <f>SUM('OPX_BN+1'!$T6:$AA6)</f>
        <v>-15000</v>
      </c>
      <c r="AC6" s="426">
        <f>-((6184*5)+1500)</f>
        <v>-32420</v>
      </c>
      <c r="AD6" s="231"/>
      <c r="AE6" s="417">
        <v>-3647</v>
      </c>
      <c r="AF6" s="417">
        <v>0</v>
      </c>
      <c r="AG6" s="417">
        <v>-25270</v>
      </c>
      <c r="AH6" s="417"/>
      <c r="AI6" s="417">
        <v>0</v>
      </c>
      <c r="AJ6" s="371">
        <f>SUM('OPX_BN+1'!$AC6:$AI6)</f>
        <v>-61337</v>
      </c>
      <c r="AK6" s="424"/>
      <c r="AL6" s="275">
        <f>SUM('OPX_BN+1'!$J6,'OPX_BN+1'!$AB6,'OPX_BN+1'!$S6,'OPX_BN+1'!$AJ6,'OPX_BN+1'!$R6,'OPX_BN+1'!$AK6)</f>
        <v>-621854.625</v>
      </c>
      <c r="AM6" s="425"/>
    </row>
    <row r="7" spans="1:40" ht="15">
      <c r="A7" s="243" t="s">
        <v>435</v>
      </c>
      <c r="B7" s="320" t="str">
        <f>VLOOKUP('OPX_BN+1'!$A7,Tableau106[],3,FALSE)</f>
        <v>A763</v>
      </c>
      <c r="C7" s="320" t="str">
        <f>VLOOKUP('OPX_BN+1'!$A7,Tableau106[],2,FALSE)</f>
        <v>FR51E05E</v>
      </c>
      <c r="D7" s="320" t="str">
        <f>VLOOKUP('OPX_BN+1'!$A7,Tableau106[],8,FALSE)</f>
        <v>EOLIEN</v>
      </c>
      <c r="E7" s="321">
        <f>VLOOKUP('OPX_BN+1'!$A7,Tableau106[],4,FALSE)</f>
        <v>16</v>
      </c>
      <c r="F7" s="322" t="str">
        <f>VLOOKUP('OPX_BN+1'!$A7,Tableau106[],5,FALSE)</f>
        <v>QVA3</v>
      </c>
      <c r="G7" s="322" t="str">
        <f>VLOOKUP('OPX_BN+1'!$A7,Tableau106[],7,FALSE)</f>
        <v>GROUPE</v>
      </c>
      <c r="H7" s="322" t="str">
        <f>VLOOKUP('OPX_BN+1'!$A7,Tableau106[],6,FALSE)</f>
        <v>S</v>
      </c>
      <c r="I7" s="232" t="str">
        <f>VLOOKUP(Tableau17[[#This Row],[OPEX VARIABLES en €
BN 2024]],Tableau106[],9,FALSE)</f>
        <v>BaB</v>
      </c>
      <c r="J7" s="360">
        <f>VLOOKUP(Tableau17[[#This Row],[CODE PI]],Tableau16[[CODE PI]:[(mesures compensatoires du PC ou autres)]],5,FALSE)*(1+$B$1)</f>
        <v>-18526.875</v>
      </c>
      <c r="K7" s="228">
        <v>-4420</v>
      </c>
      <c r="L7" s="228"/>
      <c r="M7" s="229">
        <v>0</v>
      </c>
      <c r="N7" s="229">
        <v>0</v>
      </c>
      <c r="O7" s="229">
        <v>0</v>
      </c>
      <c r="P7" s="229">
        <v>0</v>
      </c>
      <c r="Q7" s="229">
        <f>-250*'OPX_BN+1'!$E7</f>
        <v>-4000</v>
      </c>
      <c r="R7" s="274">
        <f>SUM('OPX_BN+1'!$K7:$Q7)</f>
        <v>-8420</v>
      </c>
      <c r="S7" s="337">
        <f>VLOOKUP(Tableau17[[#This Row],[CODE PI]],Tableau16[[CODE PI]:[(mesures compensatoires du PC ou autres)]],14,FALSE)*(1+$B$1)</f>
        <v>-482878.52499999997</v>
      </c>
      <c r="T7" s="423">
        <v>0</v>
      </c>
      <c r="U7" s="341">
        <v>0</v>
      </c>
      <c r="V7" s="423">
        <v>-1500</v>
      </c>
      <c r="W7" s="423">
        <v>0</v>
      </c>
      <c r="X7" s="423">
        <v>0</v>
      </c>
      <c r="Y7" s="263">
        <v>0</v>
      </c>
      <c r="Z7" s="264">
        <f>-250*Tableau17[[#This Row],[MW]]</f>
        <v>-4000</v>
      </c>
      <c r="AA7" s="423"/>
      <c r="AB7" s="273">
        <f>SUM('OPX_BN+1'!$T7:$AA7)</f>
        <v>-5500</v>
      </c>
      <c r="AC7" s="426"/>
      <c r="AD7" s="426"/>
      <c r="AE7" s="417">
        <v>0</v>
      </c>
      <c r="AF7" s="417">
        <v>0</v>
      </c>
      <c r="AG7" s="417">
        <v>0</v>
      </c>
      <c r="AH7" s="417">
        <v>0</v>
      </c>
      <c r="AI7" s="417">
        <v>-1100</v>
      </c>
      <c r="AJ7" s="371">
        <f>SUM('OPX_BN+1'!$AC7:$AI7)</f>
        <v>-1100</v>
      </c>
      <c r="AK7" s="424"/>
      <c r="AL7" s="276">
        <f>SUM('OPX_BN+1'!$J7,'OPX_BN+1'!$AB7,'OPX_BN+1'!$S7,'OPX_BN+1'!$AJ7,'OPX_BN+1'!$R7,'OPX_BN+1'!$AK7)</f>
        <v>-516425.39999999997</v>
      </c>
      <c r="AM7" s="427"/>
    </row>
    <row r="8" spans="1:40" ht="15">
      <c r="A8" s="325" t="s">
        <v>448</v>
      </c>
      <c r="B8" s="320" t="str">
        <f>VLOOKUP('OPX_BN+1'!$A8,Tableau106[],3,FALSE)</f>
        <v>A099</v>
      </c>
      <c r="C8" s="320" t="str">
        <f>VLOOKUP('OPX_BN+1'!$A8,Tableau106[],2,FALSE)</f>
        <v>FR28E96E</v>
      </c>
      <c r="D8" s="320" t="str">
        <f>VLOOKUP('OPX_BN+1'!$A8,Tableau106[],8,FALSE)</f>
        <v>EOLIEN</v>
      </c>
      <c r="E8" s="321">
        <f>VLOOKUP('OPX_BN+1'!$A8,Tableau106[],4,FALSE)</f>
        <v>52</v>
      </c>
      <c r="F8" s="322" t="str">
        <f>VLOOKUP('OPX_BN+1'!$A8,Tableau106[],5,FALSE)</f>
        <v>CHAB</v>
      </c>
      <c r="G8" s="322" t="str">
        <f>VLOOKUP('OPX_BN+1'!$A8,Tableau106[],7,FALSE)</f>
        <v>GROUPE</v>
      </c>
      <c r="H8" s="322" t="str">
        <f>VLOOKUP('OPX_BN+1'!$A8,Tableau106[],6,FALSE)</f>
        <v>N</v>
      </c>
      <c r="I8" s="372" t="str">
        <f>VLOOKUP(Tableau17[[#This Row],[OPEX VARIABLES en €
BN 2024]],Tableau106[],9,FALSE)</f>
        <v>HuB</v>
      </c>
      <c r="J8" s="360">
        <f>VLOOKUP(Tableau17[[#This Row],[CODE PI]],Tableau16[[CODE PI]:[(mesures compensatoires du PC ou autres)]],5,FALSE)*(1+$B$1)</f>
        <v>-33451.899999999994</v>
      </c>
      <c r="K8" s="228">
        <v>-120460.00000000001</v>
      </c>
      <c r="L8" s="228"/>
      <c r="M8" s="229">
        <v>0</v>
      </c>
      <c r="N8" s="229">
        <v>0</v>
      </c>
      <c r="O8" s="229">
        <v>-3000</v>
      </c>
      <c r="P8" s="229">
        <v>-18200</v>
      </c>
      <c r="Q8" s="229">
        <f>-250*'OPX_BN+1'!$E8</f>
        <v>-13000</v>
      </c>
      <c r="R8" s="274">
        <f>SUM('OPX_BN+1'!$K8:$Q8)</f>
        <v>-154660</v>
      </c>
      <c r="S8" s="337">
        <f>VLOOKUP(Tableau17[[#This Row],[CODE PI]],Tableau16[[CODE PI]:[(mesures compensatoires du PC ou autres)]],14,FALSE)*(1+$B$1)</f>
        <v>-1481739.9999999998</v>
      </c>
      <c r="T8" s="423">
        <v>0</v>
      </c>
      <c r="U8" s="341">
        <v>0</v>
      </c>
      <c r="V8" s="423">
        <v>-9000</v>
      </c>
      <c r="W8" s="423">
        <v>0</v>
      </c>
      <c r="X8" s="423">
        <v>-4000</v>
      </c>
      <c r="Y8" s="423">
        <v>0</v>
      </c>
      <c r="Z8" s="264">
        <f>-250*Tableau17[[#This Row],[MW]]</f>
        <v>-13000</v>
      </c>
      <c r="AA8" s="423"/>
      <c r="AB8" s="273">
        <f>SUM('OPX_BN+1'!$T8:$AA8)</f>
        <v>-26000</v>
      </c>
      <c r="AC8" s="426"/>
      <c r="AD8" s="426"/>
      <c r="AE8" s="417">
        <v>-5000</v>
      </c>
      <c r="AF8" s="417">
        <v>0</v>
      </c>
      <c r="AG8" s="417">
        <v>0</v>
      </c>
      <c r="AH8" s="417">
        <v>0</v>
      </c>
      <c r="AI8" s="417">
        <v>0</v>
      </c>
      <c r="AJ8" s="371">
        <f>SUM('OPX_BN+1'!$AC8:$AI8)</f>
        <v>-5000</v>
      </c>
      <c r="AK8" s="424"/>
      <c r="AL8" s="276">
        <f>SUM('OPX_BN+1'!$J8,'OPX_BN+1'!$AB8,'OPX_BN+1'!$S8,'OPX_BN+1'!$AJ8,'OPX_BN+1'!$R8,'OPX_BN+1'!$AK8)</f>
        <v>-1700851.8999999997</v>
      </c>
      <c r="AM8" s="427"/>
    </row>
    <row r="9" spans="1:40" ht="15">
      <c r="A9" s="323" t="s">
        <v>504</v>
      </c>
      <c r="B9" s="320" t="str">
        <f>VLOOKUP('OPX_BN+1'!$A9,Tableau106[],3,FALSE)</f>
        <v>A418</v>
      </c>
      <c r="C9" s="320" t="str">
        <f>VLOOKUP('OPX_BN+1'!$A9,Tableau106[],2,FALSE)</f>
        <v>FR78E01E</v>
      </c>
      <c r="D9" s="320" t="str">
        <f>VLOOKUP('OPX_BN+1'!$A9,Tableau106[],8,FALSE)</f>
        <v>EOLIEN</v>
      </c>
      <c r="E9" s="321">
        <f>VLOOKUP('OPX_BN+1'!$A9,Tableau106[],4,FALSE)</f>
        <v>16.95</v>
      </c>
      <c r="F9" s="322" t="str">
        <f>VLOOKUP('OPX_BN+1'!$A9,Tableau106[],5,FALSE)</f>
        <v>ALVI</v>
      </c>
      <c r="G9" s="322" t="str">
        <f>VLOOKUP('OPX_BN+1'!$A9,Tableau106[],7,FALSE)</f>
        <v>GROUPE</v>
      </c>
      <c r="H9" s="322" t="str">
        <f>VLOOKUP('OPX_BN+1'!$A9,Tableau106[],6,FALSE)</f>
        <v>N</v>
      </c>
      <c r="I9" s="372" t="str">
        <f>VLOOKUP(Tableau17[[#This Row],[OPEX VARIABLES en €
BN 2024]],Tableau106[],9,FALSE)</f>
        <v>AyB</v>
      </c>
      <c r="J9" s="381">
        <f>VLOOKUP(Tableau17[[#This Row],[CODE PI]],Tableau16[[CODE PI]:[(mesures compensatoires du PC ou autres)]],5,FALSE)*(1+$B$1)</f>
        <v>-10646.674999999999</v>
      </c>
      <c r="K9" s="228">
        <v>-4770.0000000000009</v>
      </c>
      <c r="L9" s="228"/>
      <c r="M9" s="229">
        <v>0</v>
      </c>
      <c r="N9" s="229">
        <v>0</v>
      </c>
      <c r="O9" s="229">
        <v>0</v>
      </c>
      <c r="P9" s="229">
        <f>-440*Tableau17[[#This Row],[MW]]</f>
        <v>-7458</v>
      </c>
      <c r="Q9" s="229">
        <f>-250*'OPX_BN+1'!$E9</f>
        <v>-4237.5</v>
      </c>
      <c r="R9" s="274">
        <f>SUM('OPX_BN+1'!$K9:$Q9)</f>
        <v>-16465.5</v>
      </c>
      <c r="S9" s="337">
        <f>VLOOKUP(Tableau17[[#This Row],[CODE PI]],Tableau16[[CODE PI]:[(mesures compensatoires du PC ou autres)]],14,FALSE)*(1+$B$1)</f>
        <v>-263425</v>
      </c>
      <c r="T9" s="423">
        <v>0</v>
      </c>
      <c r="U9" s="341">
        <v>0</v>
      </c>
      <c r="V9" s="423">
        <v>-1800</v>
      </c>
      <c r="W9" s="423">
        <v>-3050</v>
      </c>
      <c r="X9" s="423">
        <v>0</v>
      </c>
      <c r="Y9" s="423">
        <v>0</v>
      </c>
      <c r="Z9" s="264">
        <f>-250*Tableau17[[#This Row],[MW]]</f>
        <v>-4237.5</v>
      </c>
      <c r="AA9" s="423"/>
      <c r="AB9" s="273">
        <f>SUM('OPX_BN+1'!$T9:$AA9)</f>
        <v>-9087.5</v>
      </c>
      <c r="AC9" s="426"/>
      <c r="AD9" s="426">
        <f t="shared" ref="AD9:AD32" si="0">-4924*1.025</f>
        <v>-5047.0999999999995</v>
      </c>
      <c r="AE9" s="417">
        <v>-5000</v>
      </c>
      <c r="AF9" s="417">
        <v>0</v>
      </c>
      <c r="AG9" s="417">
        <v>0</v>
      </c>
      <c r="AH9" s="417">
        <v>0</v>
      </c>
      <c r="AI9" s="417">
        <v>-5000</v>
      </c>
      <c r="AJ9" s="371">
        <f>SUM('OPX_BN+1'!$AC9:$AI9)</f>
        <v>-15047.099999999999</v>
      </c>
      <c r="AK9" s="424"/>
      <c r="AL9" s="276">
        <f>SUM('OPX_BN+1'!$J9,'OPX_BN+1'!$AB9,'OPX_BN+1'!$S9,'OPX_BN+1'!$AJ9,'OPX_BN+1'!$R9,'OPX_BN+1'!$AK9)</f>
        <v>-314671.77499999997</v>
      </c>
      <c r="AM9" s="427"/>
    </row>
    <row r="10" spans="1:40" ht="14.65" customHeight="1">
      <c r="A10" s="243" t="s">
        <v>530</v>
      </c>
      <c r="B10" s="320" t="str">
        <f>VLOOKUP('OPX_BN+1'!$A10,Tableau106[],3,FALSE)</f>
        <v>A109</v>
      </c>
      <c r="C10" s="320" t="str">
        <f>VLOOKUP('OPX_BN+1'!$A10,Tableau106[],2,FALSE)</f>
        <v>FR15E01E</v>
      </c>
      <c r="D10" s="320" t="str">
        <f>VLOOKUP('OPX_BN+1'!$A10,Tableau106[],8,FALSE)</f>
        <v>EOLIEN</v>
      </c>
      <c r="E10" s="321">
        <f>VLOOKUP('OPX_BN+1'!$A10,Tableau106[],4,FALSE)</f>
        <v>12</v>
      </c>
      <c r="F10" s="322" t="str">
        <f>VLOOKUP('OPX_BN+1'!$A10,Tableau106[],5,FALSE)</f>
        <v>ALLA</v>
      </c>
      <c r="G10" s="322" t="str">
        <f>VLOOKUP('OPX_BN+1'!$A10,Tableau106[],7,FALSE)</f>
        <v>FUTUREN</v>
      </c>
      <c r="H10" s="322" t="str">
        <f>VLOOKUP('OPX_BN+1'!$A10,Tableau106[],6,FALSE)</f>
        <v>S</v>
      </c>
      <c r="I10" s="372" t="str">
        <f>VLOOKUP(Tableau17[[#This Row],[OPEX VARIABLES en €
BN 2024]],Tableau106[],9,FALSE)</f>
        <v>AuE</v>
      </c>
      <c r="J10" s="360">
        <f>VLOOKUP(Tableau17[[#This Row],[CODE PI]],Tableau16[[CODE PI]:[(mesures compensatoires du PC ou autres)]],5,FALSE)*(1+$B$1)</f>
        <v>-78776.375</v>
      </c>
      <c r="K10" s="228">
        <v>-11340</v>
      </c>
      <c r="L10" s="228"/>
      <c r="M10" s="229">
        <v>0</v>
      </c>
      <c r="N10" s="229">
        <v>0</v>
      </c>
      <c r="O10" s="229">
        <v>0</v>
      </c>
      <c r="P10" s="229">
        <f>-4200-5000</f>
        <v>-9200</v>
      </c>
      <c r="Q10" s="229">
        <f>-250*'OPX_BN+1'!$E10</f>
        <v>-3000</v>
      </c>
      <c r="R10" s="274">
        <f>SUM('OPX_BN+1'!$K10:$Q10)</f>
        <v>-23540</v>
      </c>
      <c r="S10" s="337">
        <f>VLOOKUP(Tableau17[[#This Row],[CODE PI]],Tableau16[[CODE PI]:[(mesures compensatoires du PC ou autres)]],14,FALSE)*(1+$B$1)</f>
        <v>-274678.47499999998</v>
      </c>
      <c r="T10" s="379">
        <f>-1800-5000</f>
        <v>-6800</v>
      </c>
      <c r="U10" s="341">
        <v>0</v>
      </c>
      <c r="V10" s="379">
        <v>-2000</v>
      </c>
      <c r="W10" s="423">
        <v>0</v>
      </c>
      <c r="X10" s="423">
        <v>0</v>
      </c>
      <c r="Y10" s="423">
        <v>-5280</v>
      </c>
      <c r="Z10" s="264">
        <f>-250*Tableau17[[#This Row],[MW]]</f>
        <v>-3000</v>
      </c>
      <c r="AA10" s="423">
        <f>-(0.2*CA_LE3!M5)/100</f>
        <v>-4937.9256206400005</v>
      </c>
      <c r="AB10" s="273">
        <f>SUM('OPX_BN+1'!$T10:$AA10)</f>
        <v>-22017.925620640002</v>
      </c>
      <c r="AC10" s="426">
        <f>-2500-32000</f>
        <v>-34500</v>
      </c>
      <c r="AD10" s="426">
        <f t="shared" si="0"/>
        <v>-5047.0999999999995</v>
      </c>
      <c r="AE10" s="417">
        <v>-10000</v>
      </c>
      <c r="AF10" s="417"/>
      <c r="AG10" s="417">
        <v>-25000</v>
      </c>
      <c r="AH10" s="417">
        <v>0</v>
      </c>
      <c r="AI10" s="417">
        <v>0</v>
      </c>
      <c r="AJ10" s="371">
        <f>SUM('OPX_BN+1'!$AC10:$AI10)</f>
        <v>-74547.100000000006</v>
      </c>
      <c r="AK10" s="424"/>
      <c r="AL10" s="276">
        <f>SUM('OPX_BN+1'!$J10,'OPX_BN+1'!$AB10,'OPX_BN+1'!$S10,'OPX_BN+1'!$AJ10,'OPX_BN+1'!$R10,'OPX_BN+1'!$AK10)</f>
        <v>-473559.87562064</v>
      </c>
      <c r="AM10" s="427"/>
    </row>
    <row r="11" spans="1:40" ht="15">
      <c r="A11" s="323" t="s">
        <v>440</v>
      </c>
      <c r="B11" s="320" t="str">
        <f>VLOOKUP('OPX_BN+1'!$A11,Tableau106[],3,FALSE)</f>
        <v>A353</v>
      </c>
      <c r="C11" s="320" t="str">
        <f>VLOOKUP('OPX_BN+1'!$A11,Tableau106[],2,FALSE)</f>
        <v>FR33S12E</v>
      </c>
      <c r="D11" s="320" t="str">
        <f>VLOOKUP('OPX_BN+1'!$A11,Tableau106[],8,FALSE)</f>
        <v>SOLAIRE</v>
      </c>
      <c r="E11" s="321">
        <f>VLOOKUP('OPX_BN+1'!$A11,Tableau106[],4,FALSE)</f>
        <v>9.6999999999999993</v>
      </c>
      <c r="F11" s="322" t="str">
        <f>VLOOKUP('OPX_BN+1'!$A11,Tableau106[],5,FALSE)</f>
        <v>AMBE</v>
      </c>
      <c r="G11" s="322" t="str">
        <f>VLOOKUP('OPX_BN+1'!$A11,Tableau106[],7,FALSE)</f>
        <v>GROUPE</v>
      </c>
      <c r="H11" s="322" t="str">
        <f>VLOOKUP('OPX_BN+1'!$A11,Tableau106[],6,FALSE)</f>
        <v>S</v>
      </c>
      <c r="I11" s="372" t="str">
        <f>VLOOKUP(Tableau17[[#This Row],[OPEX VARIABLES en €
BN 2024]],Tableau106[],9,FALSE)</f>
        <v>BaA</v>
      </c>
      <c r="J11" s="360">
        <f>VLOOKUP(Tableau17[[#This Row],[CODE PI]],Tableau16[[CODE PI]:[(mesures compensatoires du PC ou autres)]],5,FALSE)*(1+$B$1)</f>
        <v>-85508.574999999997</v>
      </c>
      <c r="K11" s="228">
        <v>-9290.0000000000018</v>
      </c>
      <c r="L11" s="228"/>
      <c r="M11" s="229">
        <v>0</v>
      </c>
      <c r="N11" s="229">
        <v>0</v>
      </c>
      <c r="O11" s="229">
        <v>0</v>
      </c>
      <c r="P11" s="229">
        <v>0</v>
      </c>
      <c r="Q11" s="229">
        <f>-250*'OPX_BN+1'!$E11</f>
        <v>-2425</v>
      </c>
      <c r="R11" s="274">
        <f>SUM('OPX_BN+1'!$K11:$Q11)</f>
        <v>-11715.000000000002</v>
      </c>
      <c r="S11" s="337">
        <f>VLOOKUP(Tableau17[[#This Row],[CODE PI]],Tableau16[[CODE PI]:[(mesures compensatoires du PC ou autres)]],14,FALSE)*(1+$B$1)</f>
        <v>0</v>
      </c>
      <c r="T11" s="423">
        <v>0</v>
      </c>
      <c r="U11" s="341">
        <v>0</v>
      </c>
      <c r="V11" s="379"/>
      <c r="W11" s="423">
        <v>0</v>
      </c>
      <c r="X11" s="423">
        <v>0</v>
      </c>
      <c r="Y11" s="423">
        <v>0</v>
      </c>
      <c r="Z11" s="264">
        <f>-250*Tableau17[[#This Row],[MW]]</f>
        <v>-2425</v>
      </c>
      <c r="AA11" s="423"/>
      <c r="AB11" s="273">
        <f>SUM('OPX_BN+1'!$T11:$AA11)</f>
        <v>-2425</v>
      </c>
      <c r="AC11" s="426"/>
      <c r="AD11" s="426">
        <v>0</v>
      </c>
      <c r="AE11" s="417">
        <v>0</v>
      </c>
      <c r="AF11" s="417">
        <v>0</v>
      </c>
      <c r="AG11" s="417">
        <v>0</v>
      </c>
      <c r="AH11" s="417">
        <v>0</v>
      </c>
      <c r="AI11" s="417">
        <v>0</v>
      </c>
      <c r="AJ11" s="371">
        <f>SUM('OPX_BN+1'!$AC11:$AI11)</f>
        <v>0</v>
      </c>
      <c r="AK11" s="424"/>
      <c r="AL11" s="276">
        <f>SUM('OPX_BN+1'!$J11,'OPX_BN+1'!$AB11,'OPX_BN+1'!$S11,'OPX_BN+1'!$AJ11,'OPX_BN+1'!$R11,'OPX_BN+1'!$AK11)</f>
        <v>-99648.574999999997</v>
      </c>
      <c r="AM11" s="427"/>
    </row>
    <row r="12" spans="1:40" ht="14.25" customHeight="1">
      <c r="A12" s="244" t="s">
        <v>479</v>
      </c>
      <c r="B12" s="320" t="str">
        <f>VLOOKUP('OPX_BN+1'!$A12,Tableau106[],3,FALSE)</f>
        <v>A541</v>
      </c>
      <c r="C12" s="320" t="str">
        <f>VLOOKUP('OPX_BN+1'!$A12,Tableau106[],2,FALSE)</f>
        <v>FR57E04E</v>
      </c>
      <c r="D12" s="320" t="str">
        <f>VLOOKUP('OPX_BN+1'!$A12,Tableau106[],8,FALSE)</f>
        <v>EOLIEN</v>
      </c>
      <c r="E12" s="321">
        <f>VLOOKUP('OPX_BN+1'!$A12,Tableau106[],4,FALSE)</f>
        <v>12</v>
      </c>
      <c r="F12" s="322" t="str">
        <f>VLOOKUP('OPX_BN+1'!$A12,Tableau106[],5,FALSE)</f>
        <v>AMEL</v>
      </c>
      <c r="G12" s="322" t="str">
        <f>VLOOKUP('OPX_BN+1'!$A12,Tableau106[],7,FALSE)</f>
        <v>EGM</v>
      </c>
      <c r="H12" s="322" t="str">
        <f>VLOOKUP('OPX_BN+1'!$A12,Tableau106[],6,FALSE)</f>
        <v>N</v>
      </c>
      <c r="I12" s="372" t="str">
        <f>VLOOKUP(Tableau17[[#This Row],[OPEX VARIABLES en €
BN 2024]],Tableau106[],9,FALSE)</f>
        <v>NoS</v>
      </c>
      <c r="J12" s="360">
        <f>VLOOKUP(Tableau17[[#This Row],[CODE PI]],Tableau16[[CODE PI]:[(mesures compensatoires du PC ou autres)]],5,FALSE)*(1+$B$1)</f>
        <v>-317286.69999999995</v>
      </c>
      <c r="K12" s="228">
        <v>-150000</v>
      </c>
      <c r="L12" s="228"/>
      <c r="M12" s="229">
        <v>0</v>
      </c>
      <c r="N12" s="229">
        <v>0</v>
      </c>
      <c r="O12" s="229">
        <v>0</v>
      </c>
      <c r="P12" s="229">
        <v>-4200</v>
      </c>
      <c r="Q12" s="229">
        <f>-250*'OPX_BN+1'!$E12</f>
        <v>-3000</v>
      </c>
      <c r="R12" s="274">
        <f>SUM('OPX_BN+1'!$K12:$Q12)</f>
        <v>-157200</v>
      </c>
      <c r="S12" s="337">
        <f>VLOOKUP(Tableau17[[#This Row],[CODE PI]],Tableau16[[CODE PI]:[(mesures compensatoires du PC ou autres)]],14,FALSE)*(1+$B$1)</f>
        <v>0</v>
      </c>
      <c r="T12" s="423">
        <v>0</v>
      </c>
      <c r="U12" s="341">
        <v>0</v>
      </c>
      <c r="V12" s="379">
        <v>-2000</v>
      </c>
      <c r="W12" s="423">
        <v>0</v>
      </c>
      <c r="X12" s="423">
        <v>0</v>
      </c>
      <c r="Y12" s="423">
        <v>0</v>
      </c>
      <c r="Z12" s="264">
        <f>-250*Tableau17[[#This Row],[MW]]</f>
        <v>-3000</v>
      </c>
      <c r="AA12" s="423"/>
      <c r="AB12" s="273">
        <f>SUM('OPX_BN+1'!$T12:$AA12)</f>
        <v>-5000</v>
      </c>
      <c r="AC12" s="426"/>
      <c r="AD12" s="426"/>
      <c r="AE12" s="417">
        <v>0</v>
      </c>
      <c r="AF12" s="417">
        <v>0</v>
      </c>
      <c r="AG12" s="417">
        <v>0</v>
      </c>
      <c r="AH12" s="417">
        <v>0</v>
      </c>
      <c r="AI12" s="417">
        <v>0</v>
      </c>
      <c r="AJ12" s="371">
        <f>SUM('OPX_BN+1'!$AC12:$AI12)</f>
        <v>0</v>
      </c>
      <c r="AK12" s="424"/>
      <c r="AL12" s="276">
        <f>SUM('OPX_BN+1'!$J12,'OPX_BN+1'!$AB12,'OPX_BN+1'!$S12,'OPX_BN+1'!$AJ12,'OPX_BN+1'!$R12,'OPX_BN+1'!$AK12)</f>
        <v>-479486.69999999995</v>
      </c>
      <c r="AM12" s="427"/>
    </row>
    <row r="13" spans="1:40" ht="15">
      <c r="A13" s="325" t="s">
        <v>508</v>
      </c>
      <c r="B13" s="320" t="str">
        <f>VLOOKUP('OPX_BN+1'!$A13,Tableau106[],3,FALSE)</f>
        <v>F245</v>
      </c>
      <c r="C13" s="320" t="str">
        <f>VLOOKUP('OPX_BN+1'!$A13,Tableau106[],2,FALSE)</f>
        <v>FR17E07E</v>
      </c>
      <c r="D13" s="320" t="str">
        <f>VLOOKUP('OPX_BN+1'!$A13,Tableau106[],8,FALSE)</f>
        <v>EOLIEN</v>
      </c>
      <c r="E13" s="321">
        <f>VLOOKUP('OPX_BN+1'!$A13,Tableau106[],4,FALSE)</f>
        <v>12</v>
      </c>
      <c r="F13" s="322" t="str">
        <f>VLOOKUP('OPX_BN+1'!$A13,Tableau106[],5,FALSE)</f>
        <v>ANPA</v>
      </c>
      <c r="G13" s="322" t="str">
        <f>VLOOKUP('OPX_BN+1'!$A13,Tableau106[],7,FALSE)</f>
        <v>FUTUREN</v>
      </c>
      <c r="H13" s="322" t="str">
        <f>VLOOKUP('OPX_BN+1'!$A13,Tableau106[],6,FALSE)</f>
        <v>N</v>
      </c>
      <c r="I13" s="372" t="str">
        <f>VLOOKUP(Tableau17[[#This Row],[OPEX VARIABLES en €
BN 2024]],Tableau106[],9,FALSE)</f>
        <v>KéC</v>
      </c>
      <c r="J13" s="360">
        <f>VLOOKUP(Tableau17[[#This Row],[CODE PI]],Tableau16[[CODE PI]:[(mesures compensatoires du PC ou autres)]],5,FALSE)*(1+$B$1)</f>
        <v>0</v>
      </c>
      <c r="K13" s="228">
        <v>0</v>
      </c>
      <c r="L13" s="228"/>
      <c r="M13" s="229">
        <v>0</v>
      </c>
      <c r="N13" s="229">
        <v>0</v>
      </c>
      <c r="O13" s="229">
        <v>0</v>
      </c>
      <c r="P13" s="229">
        <f>-440*12</f>
        <v>-5280</v>
      </c>
      <c r="Q13" s="229">
        <f>-250*'OPX_BN+1'!$E13</f>
        <v>-3000</v>
      </c>
      <c r="R13" s="274">
        <f>SUM('OPX_BN+1'!$K13:$Q13)</f>
        <v>-8280</v>
      </c>
      <c r="S13" s="337">
        <f>VLOOKUP(Tableau17[[#This Row],[CODE PI]],Tableau16[[CODE PI]:[(mesures compensatoires du PC ou autres)]],14,FALSE)*(1+$B$1)</f>
        <v>-166633.28485999999</v>
      </c>
      <c r="T13" s="423">
        <v>0</v>
      </c>
      <c r="U13" s="341">
        <v>0</v>
      </c>
      <c r="V13" s="379">
        <v>-3500</v>
      </c>
      <c r="W13" s="423">
        <f>-3*400</f>
        <v>-1200</v>
      </c>
      <c r="X13" s="423">
        <v>0</v>
      </c>
      <c r="Y13" s="423">
        <f>-3233.15*1.03</f>
        <v>-3330.1445000000003</v>
      </c>
      <c r="Z13" s="264">
        <f>-250*Tableau17[[#This Row],[MW]]</f>
        <v>-3000</v>
      </c>
      <c r="AA13" s="423">
        <v>-3739.1663472</v>
      </c>
      <c r="AB13" s="273">
        <f>SUM('OPX_BN+1'!$T13:$AA13)</f>
        <v>-14769.3108472</v>
      </c>
      <c r="AC13" s="426"/>
      <c r="AD13" s="426"/>
      <c r="AE13" s="417">
        <f>-6000</f>
        <v>-6000</v>
      </c>
      <c r="AF13" s="417">
        <f>-21000</f>
        <v>-21000</v>
      </c>
      <c r="AG13" s="417">
        <f>-27000</f>
        <v>-27000</v>
      </c>
      <c r="AH13" s="417">
        <v>0</v>
      </c>
      <c r="AI13" s="417">
        <v>-10000</v>
      </c>
      <c r="AJ13" s="371">
        <f>SUM('OPX_BN+1'!$AC13:$AI13)</f>
        <v>-64000</v>
      </c>
      <c r="AK13" s="424"/>
      <c r="AL13" s="276">
        <f>SUM('OPX_BN+1'!$J13,'OPX_BN+1'!$AB13,'OPX_BN+1'!$S13,'OPX_BN+1'!$AJ13,'OPX_BN+1'!$R13,'OPX_BN+1'!$AK13)</f>
        <v>-253682.59570719997</v>
      </c>
      <c r="AM13" s="427"/>
    </row>
    <row r="14" spans="1:40" ht="15">
      <c r="A14" s="244" t="s">
        <v>444</v>
      </c>
      <c r="B14" s="320" t="str">
        <f>VLOOKUP('OPX_BN+1'!$A14,Tableau106[],3,FALSE)</f>
        <v>A353</v>
      </c>
      <c r="C14" s="320" t="str">
        <f>VLOOKUP('OPX_BN+1'!$A14,Tableau106[],2,FALSE)</f>
        <v>FR30S13E</v>
      </c>
      <c r="D14" s="320" t="str">
        <f>VLOOKUP('OPX_BN+1'!$A14,Tableau106[],8,FALSE)</f>
        <v>SOLAIRE</v>
      </c>
      <c r="E14" s="321">
        <f>VLOOKUP('OPX_BN+1'!$A14,Tableau106[],4,FALSE)</f>
        <v>5</v>
      </c>
      <c r="F14" s="322" t="str">
        <f>VLOOKUP('OPX_BN+1'!$A14,Tableau106[],5,FALSE)</f>
        <v>ARAM</v>
      </c>
      <c r="G14" s="322" t="str">
        <f>VLOOKUP('OPX_BN+1'!$A14,Tableau106[],7,FALSE)</f>
        <v>GROUPE</v>
      </c>
      <c r="H14" s="322" t="str">
        <f>VLOOKUP('OPX_BN+1'!$A14,Tableau106[],6,FALSE)</f>
        <v>S</v>
      </c>
      <c r="I14" s="372" t="str">
        <f>VLOOKUP(Tableau17[[#This Row],[OPEX VARIABLES en €
BN 2024]],Tableau106[],9,FALSE)</f>
        <v>ArB</v>
      </c>
      <c r="J14" s="360">
        <f>VLOOKUP(Tableau17[[#This Row],[CODE PI]],Tableau16[[CODE PI]:[(mesures compensatoires du PC ou autres)]],5,FALSE)*(1+$B$1)</f>
        <v>-61688.599999999991</v>
      </c>
      <c r="K14" s="228">
        <v>-19980</v>
      </c>
      <c r="L14" s="234"/>
      <c r="M14" s="229">
        <v>0</v>
      </c>
      <c r="N14" s="229">
        <v>0</v>
      </c>
      <c r="O14" s="229">
        <v>0</v>
      </c>
      <c r="P14" s="229">
        <v>0</v>
      </c>
      <c r="Q14" s="229">
        <f>-250*'OPX_BN+1'!$E14</f>
        <v>-1250</v>
      </c>
      <c r="R14" s="274">
        <f>SUM('OPX_BN+1'!$K14:$Q14)</f>
        <v>-21230</v>
      </c>
      <c r="S14" s="337">
        <f>VLOOKUP(Tableau17[[#This Row],[CODE PI]],Tableau16[[CODE PI]:[(mesures compensatoires du PC ou autres)]],14,FALSE)*(1+$B$1)</f>
        <v>0</v>
      </c>
      <c r="T14" s="423">
        <v>0</v>
      </c>
      <c r="U14" s="341">
        <v>0</v>
      </c>
      <c r="V14" s="423">
        <v>-26000</v>
      </c>
      <c r="W14" s="423">
        <v>0</v>
      </c>
      <c r="X14" s="423">
        <v>0</v>
      </c>
      <c r="Y14" s="423">
        <v>0</v>
      </c>
      <c r="Z14" s="264">
        <f>-250*Tableau17[[#This Row],[MW]]</f>
        <v>-1250</v>
      </c>
      <c r="AA14" s="423">
        <v>-700</v>
      </c>
      <c r="AB14" s="273">
        <f>SUM('OPX_BN+1'!$T14:$AA14)</f>
        <v>-27950</v>
      </c>
      <c r="AC14" s="426"/>
      <c r="AD14" s="426"/>
      <c r="AE14" s="417">
        <v>0</v>
      </c>
      <c r="AF14" s="417">
        <v>0</v>
      </c>
      <c r="AG14" s="417">
        <v>0</v>
      </c>
      <c r="AH14" s="417">
        <v>0</v>
      </c>
      <c r="AI14" s="417">
        <v>0</v>
      </c>
      <c r="AJ14" s="371">
        <f>SUM('OPX_BN+1'!$AC14:$AI14)</f>
        <v>0</v>
      </c>
      <c r="AK14" s="424">
        <v>-3000</v>
      </c>
      <c r="AL14" s="276">
        <f>SUM('OPX_BN+1'!$J14,'OPX_BN+1'!$AB14,'OPX_BN+1'!$S14,'OPX_BN+1'!$AJ14,'OPX_BN+1'!$R14,'OPX_BN+1'!$AK14)</f>
        <v>-113868.59999999999</v>
      </c>
      <c r="AM14" s="427"/>
    </row>
    <row r="15" spans="1:40" ht="15">
      <c r="A15" s="325" t="s">
        <v>776</v>
      </c>
      <c r="B15" s="330" t="str">
        <f>VLOOKUP('OPX_BN+1'!$A15,Tableau106[],3,FALSE)</f>
        <v>A252</v>
      </c>
      <c r="C15" s="330" t="str">
        <f>VLOOKUP('OPX_BN+1'!$A15,Tableau106[],2,FALSE)</f>
        <v>FR30S15E</v>
      </c>
      <c r="D15" s="330" t="str">
        <f>VLOOKUP('OPX_BN+1'!$A15,Tableau106[],8,FALSE)</f>
        <v>SOLAIRE</v>
      </c>
      <c r="E15" s="331">
        <f>VLOOKUP('OPX_BN+1'!$A15,Tableau106[],4,FALSE)</f>
        <v>4.0999999999999996</v>
      </c>
      <c r="F15" s="330" t="str">
        <f>VLOOKUP('OPX_BN+1'!$A15,Tableau106[],5,FALSE)</f>
        <v>ARSA</v>
      </c>
      <c r="G15" s="330" t="str">
        <f>VLOOKUP('OPX_BN+1'!$A15,Tableau106[],7,FALSE)</f>
        <v>GROUPE</v>
      </c>
      <c r="H15" s="330" t="str">
        <f>VLOOKUP('OPX_BN+1'!$A15,Tableau106[],6,FALSE)</f>
        <v>S</v>
      </c>
      <c r="I15" s="372" t="str">
        <f>VLOOKUP(Tableau17[[#This Row],[OPEX VARIABLES en €
BN 2024]],Tableau106[],9,FALSE)</f>
        <v>ArB</v>
      </c>
      <c r="J15" s="360">
        <f>VLOOKUP(Tableau17[[#This Row],[CODE PI]],Tableau16[[CODE PI]:[(mesures compensatoires du PC ou autres)]],5,FALSE)*(1+$B$1)</f>
        <v>-32800</v>
      </c>
      <c r="K15" s="228">
        <v>0</v>
      </c>
      <c r="L15" s="228"/>
      <c r="M15" s="229"/>
      <c r="N15" s="229"/>
      <c r="O15" s="229"/>
      <c r="P15" s="229"/>
      <c r="Q15" s="229">
        <f>-250*'OPX_BN+1'!$E15</f>
        <v>-1025</v>
      </c>
      <c r="R15" s="274">
        <f>SUM('OPX_BN+1'!$K15:$Q15)</f>
        <v>-1025</v>
      </c>
      <c r="S15" s="388">
        <f>VLOOKUP(Tableau17[[#This Row],[CODE PI]],Tableau16[[CODE PI]:[(mesures compensatoires du PC ou autres)]],14,FALSE)*(1+$B$1)</f>
        <v>0</v>
      </c>
      <c r="T15" s="438"/>
      <c r="U15" s="389"/>
      <c r="V15" s="438"/>
      <c r="W15" s="438"/>
      <c r="X15" s="438"/>
      <c r="Y15" s="438"/>
      <c r="Z15" s="264">
        <f>-250*Tableau17[[#This Row],[MW]]</f>
        <v>-1025</v>
      </c>
      <c r="AA15" s="434"/>
      <c r="AB15" s="391">
        <f>SUM('OPX_BN+1'!$T15:$AA15)</f>
        <v>-1025</v>
      </c>
      <c r="AC15" s="439"/>
      <c r="AD15" s="426"/>
      <c r="AE15" s="417"/>
      <c r="AF15" s="417"/>
      <c r="AG15" s="417"/>
      <c r="AH15" s="417">
        <v>-5700</v>
      </c>
      <c r="AI15" s="417"/>
      <c r="AJ15" s="371">
        <f>SUM('OPX_BN+1'!$AC15:$AI15)</f>
        <v>-5700</v>
      </c>
      <c r="AK15" s="429"/>
      <c r="AL15" s="276">
        <f>SUM('OPX_BN+1'!$J15,'OPX_BN+1'!$AB15,'OPX_BN+1'!$S15,'OPX_BN+1'!$AJ15,'OPX_BN+1'!$R15,'OPX_BN+1'!$AK15)</f>
        <v>-40550</v>
      </c>
      <c r="AM15" s="430"/>
    </row>
    <row r="16" spans="1:40" ht="15">
      <c r="A16" s="325" t="s">
        <v>445</v>
      </c>
      <c r="B16" s="320" t="str">
        <f>VLOOKUP('OPX_BN+1'!$A16,Tableau106[],3,FALSE)</f>
        <v>A353</v>
      </c>
      <c r="C16" s="320" t="str">
        <f>VLOOKUP('OPX_BN+1'!$A16,Tableau106[],2,FALSE)</f>
        <v>FR64S01E</v>
      </c>
      <c r="D16" s="320" t="str">
        <f>VLOOKUP('OPX_BN+1'!$A16,Tableau106[],8,FALSE)</f>
        <v>SOLAIRE</v>
      </c>
      <c r="E16" s="321">
        <f>VLOOKUP('OPX_BN+1'!$A16,Tableau106[],4,FALSE)</f>
        <v>4.2</v>
      </c>
      <c r="F16" s="322" t="str">
        <f>VLOOKUP('OPX_BN+1'!$A16,Tableau106[],5,FALSE)</f>
        <v>ARTI</v>
      </c>
      <c r="G16" s="322" t="str">
        <f>VLOOKUP('OPX_BN+1'!$A16,Tableau106[],7,FALSE)</f>
        <v>GROUPE</v>
      </c>
      <c r="H16" s="322" t="str">
        <f>VLOOKUP('OPX_BN+1'!$A16,Tableau106[],6,FALSE)</f>
        <v>S</v>
      </c>
      <c r="I16" s="372" t="str">
        <f>VLOOKUP(Tableau17[[#This Row],[OPEX VARIABLES en €
BN 2024]],Tableau106[],9,FALSE)</f>
        <v>BaA</v>
      </c>
      <c r="J16" s="360">
        <f>VLOOKUP(Tableau17[[#This Row],[CODE PI]],Tableau16[[CODE PI]:[(mesures compensatoires du PC ou autres)]],5,FALSE)*(1+$B$1)</f>
        <v>-36966.625</v>
      </c>
      <c r="K16" s="228">
        <v>-6439.9999999999991</v>
      </c>
      <c r="L16" s="228"/>
      <c r="M16" s="229">
        <v>0</v>
      </c>
      <c r="N16" s="229">
        <v>0</v>
      </c>
      <c r="O16" s="229">
        <v>0</v>
      </c>
      <c r="P16" s="229">
        <v>0</v>
      </c>
      <c r="Q16" s="229">
        <f>-250*'OPX_BN+1'!$E16</f>
        <v>-1050</v>
      </c>
      <c r="R16" s="274">
        <f>SUM('OPX_BN+1'!$K16:$Q16)</f>
        <v>-7489.9999999999991</v>
      </c>
      <c r="S16" s="337">
        <f>VLOOKUP(Tableau17[[#This Row],[CODE PI]],Tableau16[[CODE PI]:[(mesures compensatoires du PC ou autres)]],14,FALSE)*(1+$B$1)</f>
        <v>0</v>
      </c>
      <c r="T16" s="423">
        <v>0</v>
      </c>
      <c r="U16" s="341">
        <v>0</v>
      </c>
      <c r="V16" s="423">
        <v>0</v>
      </c>
      <c r="W16" s="423">
        <v>0</v>
      </c>
      <c r="X16" s="423">
        <v>0</v>
      </c>
      <c r="Y16" s="423">
        <v>0</v>
      </c>
      <c r="Z16" s="264">
        <f>-250*Tableau17[[#This Row],[MW]]</f>
        <v>-1050</v>
      </c>
      <c r="AA16" s="423"/>
      <c r="AB16" s="273">
        <f>SUM('OPX_BN+1'!$T16:$AA16)</f>
        <v>-1050</v>
      </c>
      <c r="AC16" s="426"/>
      <c r="AD16" s="426"/>
      <c r="AE16" s="417">
        <v>0</v>
      </c>
      <c r="AF16" s="417">
        <v>0</v>
      </c>
      <c r="AG16" s="417">
        <v>0</v>
      </c>
      <c r="AH16" s="417">
        <v>0</v>
      </c>
      <c r="AI16" s="417">
        <v>0</v>
      </c>
      <c r="AJ16" s="371">
        <f>SUM('OPX_BN+1'!$AC16:$AI16)</f>
        <v>0</v>
      </c>
      <c r="AK16" s="424"/>
      <c r="AL16" s="276">
        <f>SUM('OPX_BN+1'!$J16,'OPX_BN+1'!$AB16,'OPX_BN+1'!$S16,'OPX_BN+1'!$AJ16,'OPX_BN+1'!$R16,'OPX_BN+1'!$AK16)</f>
        <v>-45506.625</v>
      </c>
      <c r="AM16" s="427"/>
    </row>
    <row r="17" spans="1:39" ht="15">
      <c r="A17" s="244" t="s">
        <v>571</v>
      </c>
      <c r="B17" s="320" t="str">
        <f>VLOOKUP('OPX_BN+1'!$A17,Tableau106[],3,FALSE)</f>
        <v>A084</v>
      </c>
      <c r="C17" s="320" t="str">
        <f>VLOOKUP('OPX_BN+1'!$A17,Tableau106[],2,FALSE)</f>
        <v>FR34E93E</v>
      </c>
      <c r="D17" s="320" t="str">
        <f>VLOOKUP('OPX_BN+1'!$A17,Tableau106[],8,FALSE)</f>
        <v>EOLIEN</v>
      </c>
      <c r="E17" s="321">
        <f>VLOOKUP('OPX_BN+1'!$A17,Tableau106[],4,FALSE)</f>
        <v>14</v>
      </c>
      <c r="F17" s="322" t="str">
        <f>VLOOKUP('OPX_BN+1'!$A17,Tableau106[],5,FALSE)</f>
        <v>AUM3</v>
      </c>
      <c r="G17" s="322" t="str">
        <f>VLOOKUP('OPX_BN+1'!$A17,Tableau106[],7,FALSE)</f>
        <v>FUTUREN</v>
      </c>
      <c r="H17" s="322" t="str">
        <f>VLOOKUP('OPX_BN+1'!$A17,Tableau106[],6,FALSE)</f>
        <v>S</v>
      </c>
      <c r="I17" s="372" t="str">
        <f>VLOOKUP(Tableau17[[#This Row],[OPEX VARIABLES en €
BN 2024]],Tableau106[],9,FALSE)</f>
        <v>KéD</v>
      </c>
      <c r="J17" s="360">
        <f>VLOOKUP(Tableau17[[#This Row],[CODE PI]],Tableau16[[CODE PI]:[(mesures compensatoires du PC ou autres)]],5,FALSE)*(1+$B$1)</f>
        <v>-427530.57499999995</v>
      </c>
      <c r="K17" s="228">
        <v>-33150</v>
      </c>
      <c r="L17" s="228"/>
      <c r="M17" s="229">
        <v>0</v>
      </c>
      <c r="N17" s="229">
        <v>0</v>
      </c>
      <c r="O17" s="229">
        <v>0</v>
      </c>
      <c r="P17" s="229">
        <f>-4900-5000</f>
        <v>-9900</v>
      </c>
      <c r="Q17" s="229">
        <f>-250*'OPX_BN+1'!$E17</f>
        <v>-3500</v>
      </c>
      <c r="R17" s="274">
        <f>SUM('OPX_BN+1'!$K17:$Q17)</f>
        <v>-46550</v>
      </c>
      <c r="S17" s="337">
        <f>VLOOKUP(Tableau17[[#This Row],[CODE PI]],Tableau16[[CODE PI]:[(mesures compensatoires du PC ou autres)]],14,FALSE)*(1+$B$1)</f>
        <v>0</v>
      </c>
      <c r="T17" s="423">
        <v>0</v>
      </c>
      <c r="U17" s="341">
        <v>0</v>
      </c>
      <c r="V17" s="423">
        <v>-10000</v>
      </c>
      <c r="W17" s="423">
        <v>0</v>
      </c>
      <c r="X17" s="423">
        <v>0</v>
      </c>
      <c r="Y17" s="423">
        <v>0</v>
      </c>
      <c r="Z17" s="264">
        <f>-250*Tableau17[[#This Row],[MW]]</f>
        <v>-3500</v>
      </c>
      <c r="AA17" s="423">
        <v>-12000</v>
      </c>
      <c r="AB17" s="273">
        <f>SUM('OPX_BN+1'!$T17:$AA17)</f>
        <v>-25500</v>
      </c>
      <c r="AC17" s="426">
        <f>-((6184*7)+1500)</f>
        <v>-44788</v>
      </c>
      <c r="AD17" s="426"/>
      <c r="AE17" s="417">
        <v>-65000</v>
      </c>
      <c r="AF17" s="417">
        <v>0</v>
      </c>
      <c r="AG17" s="417">
        <v>-36000</v>
      </c>
      <c r="AH17" s="417"/>
      <c r="AI17" s="417">
        <v>0</v>
      </c>
      <c r="AJ17" s="371">
        <f>SUM('OPX_BN+1'!$AC17:$AI17)</f>
        <v>-145788</v>
      </c>
      <c r="AK17" s="424"/>
      <c r="AL17" s="276">
        <f>SUM('OPX_BN+1'!$J17,'OPX_BN+1'!$AB17,'OPX_BN+1'!$S17,'OPX_BN+1'!$AJ17,'OPX_BN+1'!$R17,'OPX_BN+1'!$AK17)</f>
        <v>-645368.57499999995</v>
      </c>
      <c r="AM17" s="427"/>
    </row>
    <row r="18" spans="1:39" ht="15">
      <c r="A18" s="244" t="s">
        <v>494</v>
      </c>
      <c r="B18" s="320" t="str">
        <f>VLOOKUP('OPX_BN+1'!$A18,Tableau106[],3,FALSE)</f>
        <v>A530</v>
      </c>
      <c r="C18" s="320" t="str">
        <f>VLOOKUP('OPX_BN+1'!$A18,Tableau106[],2,FALSE)</f>
        <v>FR57E01E</v>
      </c>
      <c r="D18" s="320" t="str">
        <f>VLOOKUP('OPX_BN+1'!$A18,Tableau106[],8,FALSE)</f>
        <v>EOLIEN</v>
      </c>
      <c r="E18" s="321">
        <f>VLOOKUP('OPX_BN+1'!$A18,Tableau106[],4,FALSE)</f>
        <v>12</v>
      </c>
      <c r="F18" s="322" t="str">
        <f>VLOOKUP('OPX_BN+1'!$A18,Tableau106[],5,FALSE)</f>
        <v>BAMB</v>
      </c>
      <c r="G18" s="322" t="str">
        <f>VLOOKUP('OPX_BN+1'!$A18,Tableau106[],7,FALSE)</f>
        <v>GROUPE</v>
      </c>
      <c r="H18" s="322" t="str">
        <f>VLOOKUP('OPX_BN+1'!$A18,Tableau106[],6,FALSE)</f>
        <v>N</v>
      </c>
      <c r="I18" s="372" t="str">
        <f>VLOOKUP(Tableau17[[#This Row],[OPEX VARIABLES en €
BN 2024]],Tableau106[],9,FALSE)</f>
        <v>HuB</v>
      </c>
      <c r="J18" s="360">
        <f>VLOOKUP(Tableau17[[#This Row],[CODE PI]],Tableau16[[CODE PI]:[(mesures compensatoires du PC ou autres)]],5,FALSE)*(1+$B$1)</f>
        <v>-10489.849999999999</v>
      </c>
      <c r="K18" s="228">
        <v>-940.00000000000011</v>
      </c>
      <c r="L18" s="228"/>
      <c r="M18" s="229">
        <v>0</v>
      </c>
      <c r="N18" s="229">
        <v>0</v>
      </c>
      <c r="O18" s="229">
        <v>0</v>
      </c>
      <c r="P18" s="229">
        <v>0</v>
      </c>
      <c r="Q18" s="229">
        <f>-250*'OPX_BN+1'!$E18</f>
        <v>-3000</v>
      </c>
      <c r="R18" s="274">
        <f>SUM('OPX_BN+1'!$K18:$Q18)</f>
        <v>-3940</v>
      </c>
      <c r="S18" s="337">
        <f>VLOOKUP(Tableau17[[#This Row],[CODE PI]],Tableau16[[CODE PI]:[(mesures compensatoires du PC ou autres)]],14,FALSE)*(1+$B$1)</f>
        <v>-387297.27499999997</v>
      </c>
      <c r="T18" s="423">
        <v>-2600</v>
      </c>
      <c r="U18" s="341">
        <v>0</v>
      </c>
      <c r="V18" s="423">
        <v>-1000</v>
      </c>
      <c r="W18" s="423">
        <v>0</v>
      </c>
      <c r="X18" s="423">
        <v>0</v>
      </c>
      <c r="Y18" s="423">
        <v>0</v>
      </c>
      <c r="Z18" s="264">
        <f>-250*Tableau17[[#This Row],[MW]]</f>
        <v>-3000</v>
      </c>
      <c r="AA18" s="423"/>
      <c r="AB18" s="273">
        <f>SUM('OPX_BN+1'!$T18:$AA18)</f>
        <v>-6600</v>
      </c>
      <c r="AC18" s="426"/>
      <c r="AD18" s="426"/>
      <c r="AE18" s="417">
        <v>0</v>
      </c>
      <c r="AF18" s="417">
        <v>0</v>
      </c>
      <c r="AG18" s="417">
        <v>0</v>
      </c>
      <c r="AH18" s="417">
        <v>0</v>
      </c>
      <c r="AI18" s="417">
        <v>0</v>
      </c>
      <c r="AJ18" s="371">
        <f>SUM('OPX_BN+1'!$AC18:$AI18)</f>
        <v>0</v>
      </c>
      <c r="AK18" s="424"/>
      <c r="AL18" s="276">
        <f>SUM('OPX_BN+1'!$J18,'OPX_BN+1'!$AB18,'OPX_BN+1'!$S18,'OPX_BN+1'!$AJ18,'OPX_BN+1'!$R18,'OPX_BN+1'!$AK18)</f>
        <v>-408327.12499999994</v>
      </c>
      <c r="AM18" s="427"/>
    </row>
    <row r="19" spans="1:39" ht="15">
      <c r="A19" s="244" t="s">
        <v>535</v>
      </c>
      <c r="B19" s="320" t="str">
        <f>VLOOKUP('OPX_BN+1'!$A19,Tableau106[],3,FALSE)</f>
        <v>A553</v>
      </c>
      <c r="C19" s="320" t="str">
        <f>VLOOKUP('OPX_BN+1'!$A19,Tableau106[],2,FALSE)</f>
        <v>FR62E02E</v>
      </c>
      <c r="D19" s="320" t="str">
        <f>VLOOKUP('OPX_BN+1'!$A19,Tableau106[],8,FALSE)</f>
        <v>EOLIEN</v>
      </c>
      <c r="E19" s="321">
        <f>VLOOKUP('OPX_BN+1'!$A19,Tableau106[],4,FALSE)</f>
        <v>15</v>
      </c>
      <c r="F19" s="322" t="str">
        <f>VLOOKUP('OPX_BN+1'!$A19,Tableau106[],5,FALSE)</f>
        <v>SBAP</v>
      </c>
      <c r="G19" s="322" t="str">
        <f>VLOOKUP('OPX_BN+1'!$A19,Tableau106[],7,FALSE)</f>
        <v>ENDF</v>
      </c>
      <c r="H19" s="322" t="str">
        <f>VLOOKUP('OPX_BN+1'!$A19,Tableau106[],6,FALSE)</f>
        <v>N</v>
      </c>
      <c r="I19" s="372" t="str">
        <f>VLOOKUP(Tableau17[[#This Row],[OPEX VARIABLES en €
BN 2024]],Tableau106[],9,FALSE)</f>
        <v>NiD</v>
      </c>
      <c r="J19" s="360">
        <f>VLOOKUP(Tableau17[[#This Row],[CODE PI]],Tableau16[[CODE PI]:[(mesures compensatoires du PC ou autres)]],5,FALSE)*(1+$B$1)</f>
        <v>0</v>
      </c>
      <c r="K19" s="228">
        <v>0</v>
      </c>
      <c r="L19" s="228"/>
      <c r="M19" s="229">
        <v>0</v>
      </c>
      <c r="N19" s="229">
        <v>0</v>
      </c>
      <c r="O19" s="229">
        <v>0</v>
      </c>
      <c r="P19" s="229">
        <f>-440*Tableau17[[#This Row],[MW]]</f>
        <v>-6600</v>
      </c>
      <c r="Q19" s="229">
        <f>-250*'OPX_BN+1'!$E19</f>
        <v>-3750</v>
      </c>
      <c r="R19" s="274">
        <f>SUM('OPX_BN+1'!$K19:$Q19)</f>
        <v>-10350</v>
      </c>
      <c r="S19" s="337">
        <f>VLOOKUP(Tableau17[[#This Row],[CODE PI]],Tableau16[[CODE PI]:[(mesures compensatoires du PC ou autres)]],14,FALSE)*(1+$B$1)</f>
        <v>-480344.72499999998</v>
      </c>
      <c r="T19" s="423">
        <v>0</v>
      </c>
      <c r="U19" s="341">
        <v>0</v>
      </c>
      <c r="V19" s="423">
        <v>0</v>
      </c>
      <c r="W19" s="423">
        <v>-2500</v>
      </c>
      <c r="X19" s="423">
        <v>0</v>
      </c>
      <c r="Y19" s="423">
        <v>0</v>
      </c>
      <c r="Z19" s="264">
        <f>-250*Tableau17[[#This Row],[MW]]</f>
        <v>-3750</v>
      </c>
      <c r="AA19" s="423"/>
      <c r="AB19" s="273">
        <f>SUM('OPX_BN+1'!$T19:$AA19)</f>
        <v>-6250</v>
      </c>
      <c r="AC19" s="426"/>
      <c r="AD19" s="426"/>
      <c r="AE19" s="417">
        <v>0</v>
      </c>
      <c r="AF19" s="417">
        <v>-10000</v>
      </c>
      <c r="AG19" s="417">
        <v>-40000</v>
      </c>
      <c r="AH19" s="417">
        <v>0</v>
      </c>
      <c r="AI19" s="417">
        <v>0</v>
      </c>
      <c r="AJ19" s="371">
        <f>SUM('OPX_BN+1'!$AC19:$AI19)</f>
        <v>-50000</v>
      </c>
      <c r="AK19" s="424"/>
      <c r="AL19" s="276">
        <f>SUM('OPX_BN+1'!$J19,'OPX_BN+1'!$AB19,'OPX_BN+1'!$S19,'OPX_BN+1'!$AJ19,'OPX_BN+1'!$R19,'OPX_BN+1'!$AK19)</f>
        <v>-546944.72499999998</v>
      </c>
      <c r="AM19" s="427"/>
    </row>
    <row r="20" spans="1:39" ht="15">
      <c r="A20" s="325" t="s">
        <v>583</v>
      </c>
      <c r="B20" s="320" t="str">
        <f>VLOOKUP('OPX_BN+1'!$A20,Tableau106[],3,FALSE)</f>
        <v>A095</v>
      </c>
      <c r="C20" s="320" t="str">
        <f>VLOOKUP('OPX_BN+1'!$A20,Tableau106[],2,FALSE)</f>
        <v>FR43E99E</v>
      </c>
      <c r="D20" s="320" t="str">
        <f>VLOOKUP('OPX_BN+1'!$A20,Tableau106[],8,FALSE)</f>
        <v>EOLIEN</v>
      </c>
      <c r="E20" s="321">
        <f>VLOOKUP('OPX_BN+1'!$A20,Tableau106[],4,FALSE)</f>
        <v>12</v>
      </c>
      <c r="F20" s="322" t="str">
        <f>VLOOKUP('OPX_BN+1'!$A20,Tableau106[],5,FALSE)</f>
        <v>BARB</v>
      </c>
      <c r="G20" s="322" t="str">
        <f>VLOOKUP('OPX_BN+1'!$A20,Tableau106[],7,FALSE)</f>
        <v>FUTUREN</v>
      </c>
      <c r="H20" s="322" t="str">
        <f>VLOOKUP('OPX_BN+1'!$A20,Tableau106[],6,FALSE)</f>
        <v>S</v>
      </c>
      <c r="I20" s="372" t="str">
        <f>VLOOKUP(Tableau17[[#This Row],[OPEX VARIABLES en €
BN 2024]],Tableau106[],9,FALSE)</f>
        <v>OdP</v>
      </c>
      <c r="J20" s="360">
        <v>-12697</v>
      </c>
      <c r="K20" s="228">
        <v>0</v>
      </c>
      <c r="L20" s="228"/>
      <c r="M20" s="229">
        <v>0</v>
      </c>
      <c r="N20" s="229">
        <v>-1500</v>
      </c>
      <c r="O20" s="229">
        <v>0</v>
      </c>
      <c r="P20" s="229">
        <v>-4200</v>
      </c>
      <c r="Q20" s="229">
        <f>-250*'OPX_BN+1'!$E20</f>
        <v>-3000</v>
      </c>
      <c r="R20" s="274">
        <f>SUM('OPX_BN+1'!$K20:$Q20)</f>
        <v>-8700</v>
      </c>
      <c r="S20" s="337">
        <f>VLOOKUP(Tableau17[[#This Row],[CODE PI]],Tableau16[[CODE PI]:[(mesures compensatoires du PC ou autres)]],14,FALSE)*(1+$B$1)</f>
        <v>-325950</v>
      </c>
      <c r="T20" s="423">
        <v>0</v>
      </c>
      <c r="U20" s="341">
        <v>0</v>
      </c>
      <c r="V20" s="423">
        <v>-7500</v>
      </c>
      <c r="W20" s="423">
        <v>-7200</v>
      </c>
      <c r="X20" s="423">
        <v>-1300</v>
      </c>
      <c r="Y20" s="423">
        <v>0</v>
      </c>
      <c r="Z20" s="264">
        <f>-250*Tableau17[[#This Row],[MW]]</f>
        <v>-3000</v>
      </c>
      <c r="AA20" s="423"/>
      <c r="AB20" s="273">
        <f>SUM('OPX_BN+1'!$T20:$AA20)</f>
        <v>-19000</v>
      </c>
      <c r="AC20" s="426"/>
      <c r="AD20" s="426">
        <f t="shared" si="0"/>
        <v>-5047.0999999999995</v>
      </c>
      <c r="AE20" s="417">
        <v>0</v>
      </c>
      <c r="AF20" s="417">
        <v>-10000</v>
      </c>
      <c r="AG20" s="417">
        <v>-40000</v>
      </c>
      <c r="AH20" s="417">
        <v>0</v>
      </c>
      <c r="AI20" s="417">
        <v>0</v>
      </c>
      <c r="AJ20" s="371">
        <f>SUM('OPX_BN+1'!$AC20:$AI20)</f>
        <v>-55047.1</v>
      </c>
      <c r="AK20" s="424"/>
      <c r="AL20" s="276">
        <f>SUM('OPX_BN+1'!$J20,'OPX_BN+1'!$AB20,'OPX_BN+1'!$S20,'OPX_BN+1'!$AJ20,'OPX_BN+1'!$R20,'OPX_BN+1'!$AK20)</f>
        <v>-421394.1</v>
      </c>
      <c r="AM20" s="427"/>
    </row>
    <row r="21" spans="1:39" ht="15">
      <c r="A21" s="325" t="s">
        <v>525</v>
      </c>
      <c r="B21" s="320" t="str">
        <f>VLOOKUP('OPX_BN+1'!$A21,Tableau106[],3,FALSE)</f>
        <v>A554</v>
      </c>
      <c r="C21" s="320" t="str">
        <f>VLOOKUP('OPX_BN+1'!$A21,Tableau106[],2,FALSE)</f>
        <v>FR02E08E</v>
      </c>
      <c r="D21" s="320" t="str">
        <f>VLOOKUP('OPX_BN+1'!$A21,Tableau106[],8,FALSE)</f>
        <v>EOLIEN</v>
      </c>
      <c r="E21" s="321">
        <f>VLOOKUP('OPX_BN+1'!$A21,Tableau106[],4,FALSE)</f>
        <v>12</v>
      </c>
      <c r="F21" s="322" t="str">
        <f>VLOOKUP('OPX_BN+1'!$A21,Tableau106[],5,FALSE)</f>
        <v>BTS1</v>
      </c>
      <c r="G21" s="322" t="str">
        <f>VLOOKUP('OPX_BN+1'!$A21,Tableau106[],7,FALSE)</f>
        <v>ENDF</v>
      </c>
      <c r="H21" s="322" t="str">
        <f>VLOOKUP('OPX_BN+1'!$A21,Tableau106[],6,FALSE)</f>
        <v>N</v>
      </c>
      <c r="I21" s="372" t="str">
        <f>VLOOKUP(Tableau17[[#This Row],[OPEX VARIABLES en €
BN 2024]],Tableau106[],9,FALSE)</f>
        <v>BoK</v>
      </c>
      <c r="J21" s="360">
        <f>VLOOKUP(Tableau17[[#This Row],[CODE PI]],Tableau16[[CODE PI]:[(mesures compensatoires du PC ou autres)]],5,FALSE)*(1+$B$1)</f>
        <v>0</v>
      </c>
      <c r="K21" s="228">
        <v>0</v>
      </c>
      <c r="L21" s="228"/>
      <c r="M21" s="229">
        <v>0</v>
      </c>
      <c r="N21" s="229">
        <v>0</v>
      </c>
      <c r="O21" s="229">
        <v>0</v>
      </c>
      <c r="P21" s="229">
        <v>0</v>
      </c>
      <c r="Q21" s="229">
        <f>-250*'OPX_BN+1'!$E21</f>
        <v>-3000</v>
      </c>
      <c r="R21" s="274">
        <f>SUM('OPX_BN+1'!$K21:$Q21)</f>
        <v>-3000</v>
      </c>
      <c r="S21" s="337">
        <f>VLOOKUP(Tableau17[[#This Row],[CODE PI]],Tableau16[[CODE PI]:[(mesures compensatoires du PC ou autres)]],14,FALSE)*(1+$B$1)</f>
        <v>-393853.17499999999</v>
      </c>
      <c r="T21" s="423">
        <v>0</v>
      </c>
      <c r="U21" s="341">
        <v>0</v>
      </c>
      <c r="V21" s="423">
        <v>-2000</v>
      </c>
      <c r="W21" s="423">
        <v>0</v>
      </c>
      <c r="X21" s="423">
        <v>0</v>
      </c>
      <c r="Y21" s="423">
        <v>0</v>
      </c>
      <c r="Z21" s="264">
        <f>-250*Tableau17[[#This Row],[MW]]</f>
        <v>-3000</v>
      </c>
      <c r="AA21" s="423"/>
      <c r="AB21" s="273">
        <f>SUM('OPX_BN+1'!$T21:$AA21)</f>
        <v>-5000</v>
      </c>
      <c r="AC21" s="426"/>
      <c r="AD21" s="426"/>
      <c r="AE21" s="417">
        <v>0</v>
      </c>
      <c r="AF21" s="417">
        <v>0</v>
      </c>
      <c r="AG21" s="417">
        <v>0</v>
      </c>
      <c r="AH21" s="417">
        <v>0</v>
      </c>
      <c r="AI21" s="417">
        <v>0</v>
      </c>
      <c r="AJ21" s="371">
        <f>SUM('OPX_BN+1'!$AC21:$AI21)</f>
        <v>0</v>
      </c>
      <c r="AK21" s="424"/>
      <c r="AL21" s="276">
        <f>SUM('OPX_BN+1'!$J21,'OPX_BN+1'!$AB21,'OPX_BN+1'!$S21,'OPX_BN+1'!$AJ21,'OPX_BN+1'!$R21,'OPX_BN+1'!$AK21)</f>
        <v>-401853.17499999999</v>
      </c>
      <c r="AM21" s="427"/>
    </row>
    <row r="22" spans="1:39" ht="15.75" customHeight="1">
      <c r="A22" s="244" t="s">
        <v>598</v>
      </c>
      <c r="B22" s="320" t="str">
        <f>VLOOKUP('OPX_BN+1'!$A22,Tableau106[],3,FALSE)</f>
        <v>A555</v>
      </c>
      <c r="C22" s="320" t="str">
        <f>VLOOKUP('OPX_BN+1'!$A22,Tableau106[],2,FALSE)</f>
        <v>FR02E09E</v>
      </c>
      <c r="D22" s="320" t="str">
        <f>VLOOKUP('OPX_BN+1'!$A22,Tableau106[],8,FALSE)</f>
        <v>EOLIEN</v>
      </c>
      <c r="E22" s="321">
        <f>VLOOKUP('OPX_BN+1'!$A22,Tableau106[],4,FALSE)</f>
        <v>12</v>
      </c>
      <c r="F22" s="322" t="str">
        <f>VLOOKUP('OPX_BN+1'!$A22,Tableau106[],5,FALSE)</f>
        <v>BTS2</v>
      </c>
      <c r="G22" s="322" t="str">
        <f>VLOOKUP('OPX_BN+1'!$A22,Tableau106[],7,FALSE)</f>
        <v>ENDF</v>
      </c>
      <c r="H22" s="322" t="str">
        <f>VLOOKUP('OPX_BN+1'!$A22,Tableau106[],6,FALSE)</f>
        <v>N</v>
      </c>
      <c r="I22" s="372" t="str">
        <f>VLOOKUP(Tableau17[[#This Row],[OPEX VARIABLES en €
BN 2024]],Tableau106[],9,FALSE)</f>
        <v>BoK</v>
      </c>
      <c r="J22" s="360">
        <f>VLOOKUP(Tableau17[[#This Row],[CODE PI]],Tableau16[[CODE PI]:[(mesures compensatoires du PC ou autres)]],5,FALSE)*(1+$B$1)</f>
        <v>0</v>
      </c>
      <c r="K22" s="228">
        <v>0</v>
      </c>
      <c r="L22" s="228"/>
      <c r="M22" s="229">
        <v>0</v>
      </c>
      <c r="N22" s="229">
        <v>0</v>
      </c>
      <c r="O22" s="229">
        <v>-3000</v>
      </c>
      <c r="P22" s="229">
        <v>0</v>
      </c>
      <c r="Q22" s="229">
        <f>-250*'OPX_BN+1'!$E22</f>
        <v>-3000</v>
      </c>
      <c r="R22" s="274">
        <f>SUM('OPX_BN+1'!$K22:$Q22)</f>
        <v>-6000</v>
      </c>
      <c r="S22" s="337">
        <f>VLOOKUP(Tableau17[[#This Row],[CODE PI]],Tableau16[[CODE PI]:[(mesures compensatoires du PC ou autres)]],14,FALSE)*(1+$B$1)</f>
        <v>-393853.17499999999</v>
      </c>
      <c r="T22" s="423">
        <v>0</v>
      </c>
      <c r="U22" s="341">
        <v>0</v>
      </c>
      <c r="V22" s="423">
        <v>0</v>
      </c>
      <c r="W22" s="423">
        <v>0</v>
      </c>
      <c r="X22" s="423">
        <v>-9000</v>
      </c>
      <c r="Y22" s="423">
        <v>0</v>
      </c>
      <c r="Z22" s="264">
        <f>-250*Tableau17[[#This Row],[MW]]</f>
        <v>-3000</v>
      </c>
      <c r="AA22" s="423"/>
      <c r="AB22" s="273">
        <f>SUM('OPX_BN+1'!$T22:$AA22)</f>
        <v>-12000</v>
      </c>
      <c r="AC22" s="426"/>
      <c r="AD22" s="426"/>
      <c r="AE22" s="417">
        <v>0</v>
      </c>
      <c r="AF22" s="417">
        <v>0</v>
      </c>
      <c r="AG22" s="417">
        <v>0</v>
      </c>
      <c r="AH22" s="417">
        <v>0</v>
      </c>
      <c r="AI22" s="417">
        <v>0</v>
      </c>
      <c r="AJ22" s="371">
        <f>SUM('OPX_BN+1'!$AC22:$AI22)</f>
        <v>0</v>
      </c>
      <c r="AK22" s="424"/>
      <c r="AL22" s="276">
        <f>SUM('OPX_BN+1'!$J22,'OPX_BN+1'!$AB22,'OPX_BN+1'!$S22,'OPX_BN+1'!$AJ22,'OPX_BN+1'!$R22,'OPX_BN+1'!$AK22)</f>
        <v>-411853.17499999999</v>
      </c>
      <c r="AM22" s="427"/>
    </row>
    <row r="23" spans="1:39" ht="15.75" customHeight="1">
      <c r="A23" s="325" t="s">
        <v>489</v>
      </c>
      <c r="B23" s="320" t="str">
        <f>VLOOKUP('OPX_BN+1'!$A23,Tableau106[],3,FALSE)</f>
        <v>A905</v>
      </c>
      <c r="C23" s="320" t="str">
        <f>VLOOKUP('OPX_BN+1'!$A23,Tableau106[],2,FALSE)</f>
        <v>FR69E01E</v>
      </c>
      <c r="D23" s="320" t="str">
        <f>VLOOKUP('OPX_BN+1'!$A23,Tableau106[],8,FALSE)</f>
        <v>EOLIEN</v>
      </c>
      <c r="E23" s="321">
        <f>VLOOKUP('OPX_BN+1'!$A23,Tableau106[],4,FALSE)</f>
        <v>12</v>
      </c>
      <c r="F23" s="322" t="str">
        <f>VLOOKUP('OPX_BN+1'!$A23,Tableau106[],5,FALSE)</f>
        <v>BVER</v>
      </c>
      <c r="G23" s="322" t="str">
        <f>VLOOKUP('OPX_BN+1'!$A23,Tableau106[],7,FALSE)</f>
        <v>GROUPE</v>
      </c>
      <c r="H23" s="322" t="str">
        <f>VLOOKUP('OPX_BN+1'!$A23,Tableau106[],6,FALSE)</f>
        <v>S</v>
      </c>
      <c r="I23" s="372" t="str">
        <f>VLOOKUP(Tableau17[[#This Row],[OPEX VARIABLES en €
BN 2024]],Tableau106[],9,FALSE)</f>
        <v>KéC</v>
      </c>
      <c r="J23" s="360">
        <f>VLOOKUP(Tableau17[[#This Row],[CODE PI]],Tableau16[[CODE PI]:[(mesures compensatoires du PC ou autres)]],5,FALSE)*(1+$B$1)</f>
        <v>0</v>
      </c>
      <c r="K23" s="228">
        <v>0</v>
      </c>
      <c r="L23" s="228"/>
      <c r="M23" s="229">
        <v>0</v>
      </c>
      <c r="N23" s="229">
        <v>0</v>
      </c>
      <c r="O23" s="229">
        <v>0</v>
      </c>
      <c r="P23" s="229">
        <f>-440*12</f>
        <v>-5280</v>
      </c>
      <c r="Q23" s="229">
        <f>-250*'OPX_BN+1'!$E23</f>
        <v>-3000</v>
      </c>
      <c r="R23" s="274">
        <f>SUM('OPX_BN+1'!$K23:$Q23)</f>
        <v>-8280</v>
      </c>
      <c r="S23" s="337">
        <f>VLOOKUP(Tableau17[[#This Row],[CODE PI]],Tableau16[[CODE PI]:[(mesures compensatoires du PC ou autres)]],14,FALSE)*(1+$B$1)</f>
        <v>-192198.77499999999</v>
      </c>
      <c r="T23" s="423">
        <v>0</v>
      </c>
      <c r="U23" s="341">
        <v>0</v>
      </c>
      <c r="V23" s="384">
        <v>0</v>
      </c>
      <c r="W23" s="423">
        <v>-1200</v>
      </c>
      <c r="X23" s="423">
        <v>0</v>
      </c>
      <c r="Y23" s="423">
        <v>-5000</v>
      </c>
      <c r="Z23" s="264">
        <f>-250*Tableau17[[#This Row],[MW]]</f>
        <v>-3000</v>
      </c>
      <c r="AA23" s="423">
        <f>-0.002*'CA_BN+1'!M14</f>
        <v>-3202.2345619999996</v>
      </c>
      <c r="AB23" s="273">
        <f>SUM('OPX_BN+1'!$T23:$AA23)</f>
        <v>-12402.234562</v>
      </c>
      <c r="AC23" s="426"/>
      <c r="AD23" s="426"/>
      <c r="AE23" s="417">
        <v>0</v>
      </c>
      <c r="AF23" s="417">
        <v>0</v>
      </c>
      <c r="AG23" s="417">
        <v>0</v>
      </c>
      <c r="AH23" s="417">
        <v>0</v>
      </c>
      <c r="AI23" s="417">
        <v>-30000</v>
      </c>
      <c r="AJ23" s="371">
        <f>SUM('OPX_BN+1'!$AC23:$AI23)</f>
        <v>-30000</v>
      </c>
      <c r="AK23" s="424"/>
      <c r="AL23" s="276">
        <f>SUM('OPX_BN+1'!$J23,'OPX_BN+1'!$AB23,'OPX_BN+1'!$S23,'OPX_BN+1'!$AJ23,'OPX_BN+1'!$R23,'OPX_BN+1'!$AK23)</f>
        <v>-242881.00956199999</v>
      </c>
      <c r="AM23" s="427"/>
    </row>
    <row r="24" spans="1:39" ht="15">
      <c r="A24" s="244" t="s">
        <v>454</v>
      </c>
      <c r="B24" s="320" t="str">
        <f>VLOOKUP('OPX_BN+1'!$A24,Tableau106[],3,FALSE)</f>
        <v>A295</v>
      </c>
      <c r="C24" s="320" t="str">
        <f>VLOOKUP('OPX_BN+1'!$A24,Tableau106[],2,FALSE)</f>
        <v>FR85S02E</v>
      </c>
      <c r="D24" s="320" t="str">
        <f>VLOOKUP('OPX_BN+1'!$A24,Tableau106[],8,FALSE)</f>
        <v>SOLAIRE</v>
      </c>
      <c r="E24" s="321">
        <f>VLOOKUP('OPX_BN+1'!$A24,Tableau106[],4,FALSE)</f>
        <v>12.8</v>
      </c>
      <c r="F24" s="322" t="str">
        <f>VLOOKUP('OPX_BN+1'!$A24,Tableau106[],5,FALSE)</f>
        <v>BEAU</v>
      </c>
      <c r="G24" s="322" t="str">
        <f>VLOOKUP('OPX_BN+1'!$A24,Tableau106[],7,FALSE)</f>
        <v>GROUPE</v>
      </c>
      <c r="H24" s="322" t="str">
        <f>VLOOKUP('OPX_BN+1'!$A24,Tableau106[],6,FALSE)</f>
        <v>N</v>
      </c>
      <c r="I24" s="372" t="str">
        <f>VLOOKUP(Tableau17[[#This Row],[OPEX VARIABLES en €
BN 2024]],Tableau106[],9,FALSE)</f>
        <v>ZaA</v>
      </c>
      <c r="J24" s="360">
        <f>VLOOKUP(Tableau17[[#This Row],[CODE PI]],Tableau16[[CODE PI]:[(mesures compensatoires du PC ou autres)]],5,FALSE)*(1+$B$1)</f>
        <v>-100449.99999999999</v>
      </c>
      <c r="K24" s="228">
        <v>0</v>
      </c>
      <c r="L24" s="228"/>
      <c r="M24" s="229">
        <v>0</v>
      </c>
      <c r="N24" s="229">
        <v>0</v>
      </c>
      <c r="O24" s="229">
        <v>0</v>
      </c>
      <c r="P24" s="229">
        <v>0</v>
      </c>
      <c r="Q24" s="229">
        <f>-250*'OPX_BN+1'!$E24</f>
        <v>-3200</v>
      </c>
      <c r="R24" s="274">
        <f>SUM('OPX_BN+1'!$K24:$Q24)</f>
        <v>-3200</v>
      </c>
      <c r="S24" s="337">
        <f>VLOOKUP(Tableau17[[#This Row],[CODE PI]],Tableau16[[CODE PI]:[(mesures compensatoires du PC ou autres)]],14,FALSE)*(1+$B$1)</f>
        <v>0</v>
      </c>
      <c r="T24" s="423">
        <v>0</v>
      </c>
      <c r="U24" s="341">
        <v>0</v>
      </c>
      <c r="V24" s="423">
        <v>0</v>
      </c>
      <c r="W24" s="423">
        <v>0</v>
      </c>
      <c r="X24" s="423">
        <v>0</v>
      </c>
      <c r="Y24" s="423">
        <v>0</v>
      </c>
      <c r="Z24" s="264">
        <f>-250*Tableau17[[#This Row],[MW]]</f>
        <v>-3200</v>
      </c>
      <c r="AA24" s="423"/>
      <c r="AB24" s="273">
        <f>SUM('OPX_BN+1'!$T24:$AA24)</f>
        <v>-3200</v>
      </c>
      <c r="AC24" s="426"/>
      <c r="AD24" s="426"/>
      <c r="AE24" s="417">
        <v>0</v>
      </c>
      <c r="AF24" s="417">
        <v>0</v>
      </c>
      <c r="AG24" s="417">
        <v>0</v>
      </c>
      <c r="AH24" s="417">
        <v>-5580</v>
      </c>
      <c r="AI24" s="417">
        <v>0</v>
      </c>
      <c r="AJ24" s="371">
        <f>SUM('OPX_BN+1'!$AC24:$AI24)</f>
        <v>-5580</v>
      </c>
      <c r="AK24" s="424"/>
      <c r="AL24" s="276">
        <f>SUM('OPX_BN+1'!$J24,'OPX_BN+1'!$AB24,'OPX_BN+1'!$S24,'OPX_BN+1'!$AJ24,'OPX_BN+1'!$R24,'OPX_BN+1'!$AK24)</f>
        <v>-112429.99999999999</v>
      </c>
      <c r="AM24" s="427"/>
    </row>
    <row r="25" spans="1:39" ht="15">
      <c r="A25" s="325" t="s">
        <v>473</v>
      </c>
      <c r="B25" s="320" t="str">
        <f>VLOOKUP('OPX_BN+1'!$A25,Tableau106[],3,FALSE)</f>
        <v>A177</v>
      </c>
      <c r="C25" s="320" t="str">
        <f>VLOOKUP('OPX_BN+1'!$A25,Tableau106[],2,FALSE)</f>
        <v>FR88E99E</v>
      </c>
      <c r="D25" s="320" t="str">
        <f>VLOOKUP('OPX_BN+1'!$A25,Tableau106[],8,FALSE)</f>
        <v>EOLIEN</v>
      </c>
      <c r="E25" s="321">
        <f>VLOOKUP('OPX_BN+1'!$A25,Tableau106[],4,FALSE)</f>
        <v>20</v>
      </c>
      <c r="F25" s="322" t="str">
        <f>VLOOKUP('OPX_BN+1'!$A25,Tableau106[],5,FALSE)</f>
        <v>BDBS</v>
      </c>
      <c r="G25" s="322" t="str">
        <f>VLOOKUP('OPX_BN+1'!$A25,Tableau106[],7,FALSE)</f>
        <v>GROUPE</v>
      </c>
      <c r="H25" s="322" t="str">
        <f>VLOOKUP('OPX_BN+1'!$A25,Tableau106[],6,FALSE)</f>
        <v>N</v>
      </c>
      <c r="I25" s="372" t="str">
        <f>VLOOKUP(Tableau17[[#This Row],[OPEX VARIABLES en €
BN 2024]],Tableau106[],9,FALSE)</f>
        <v>AyB</v>
      </c>
      <c r="J25" s="360">
        <f>VLOOKUP(Tableau17[[#This Row],[CODE PI]],Tableau16[[CODE PI]:[(mesures compensatoires du PC ou autres)]],5,FALSE)*(1+$B$1)</f>
        <v>0</v>
      </c>
      <c r="K25" s="228">
        <v>0</v>
      </c>
      <c r="L25" s="228"/>
      <c r="M25" s="229">
        <v>0</v>
      </c>
      <c r="N25" s="229">
        <v>0</v>
      </c>
      <c r="O25" s="229">
        <v>-2700</v>
      </c>
      <c r="P25" s="229">
        <f>-440*Tableau17[[#This Row],[MW]]</f>
        <v>-8800</v>
      </c>
      <c r="Q25" s="229">
        <f>-250*'OPX_BN+1'!$E25</f>
        <v>-5000</v>
      </c>
      <c r="R25" s="274">
        <f>SUM('OPX_BN+1'!$K25:$Q25)</f>
        <v>-16500</v>
      </c>
      <c r="S25" s="337">
        <f>VLOOKUP(Tableau17[[#This Row],[CODE PI]],Tableau16[[CODE PI]:[(mesures compensatoires du PC ou autres)]],14,FALSE)*(1+$B$1)</f>
        <v>-445792.99999999994</v>
      </c>
      <c r="T25" s="423">
        <v>-5000</v>
      </c>
      <c r="U25" s="341">
        <v>0</v>
      </c>
      <c r="V25" s="423">
        <v>-5000</v>
      </c>
      <c r="W25" s="423">
        <v>-4500</v>
      </c>
      <c r="X25" s="423">
        <v>0</v>
      </c>
      <c r="Y25" s="423">
        <v>0</v>
      </c>
      <c r="Z25" s="264">
        <f>-250*Tableau17[[#This Row],[MW]]</f>
        <v>-5000</v>
      </c>
      <c r="AA25" s="423"/>
      <c r="AB25" s="273">
        <f>SUM('OPX_BN+1'!$T25:$AA25)</f>
        <v>-19500</v>
      </c>
      <c r="AC25" s="426"/>
      <c r="AD25" s="426">
        <f t="shared" si="0"/>
        <v>-5047.0999999999995</v>
      </c>
      <c r="AE25" s="417">
        <v>-3000</v>
      </c>
      <c r="AF25" s="417">
        <v>0</v>
      </c>
      <c r="AG25" s="417">
        <v>0</v>
      </c>
      <c r="AH25" s="417">
        <v>0</v>
      </c>
      <c r="AI25" s="417">
        <v>-3000</v>
      </c>
      <c r="AJ25" s="371">
        <f>SUM('OPX_BN+1'!$AC25:$AI25)</f>
        <v>-11047.099999999999</v>
      </c>
      <c r="AK25" s="424"/>
      <c r="AL25" s="276">
        <f>SUM('OPX_BN+1'!$J25,'OPX_BN+1'!$AB25,'OPX_BN+1'!$S25,'OPX_BN+1'!$AJ25,'OPX_BN+1'!$R25,'OPX_BN+1'!$AK25)</f>
        <v>-492840.09999999992</v>
      </c>
      <c r="AM25" s="427"/>
    </row>
    <row r="26" spans="1:39" ht="15">
      <c r="A26" s="244" t="s">
        <v>457</v>
      </c>
      <c r="B26" s="320" t="str">
        <f>VLOOKUP('OPX_BN+1'!$A26,Tableau106[],3,FALSE)</f>
        <v>A133</v>
      </c>
      <c r="C26" s="320" t="str">
        <f>VLOOKUP('OPX_BN+1'!$A26,Tableau106[],2,FALSE)</f>
        <v>FR84S01E</v>
      </c>
      <c r="D26" s="320" t="str">
        <f>VLOOKUP('OPX_BN+1'!$A26,Tableau106[],8,FALSE)</f>
        <v>SOLAIRE</v>
      </c>
      <c r="E26" s="321">
        <f>VLOOKUP('OPX_BN+1'!$A26,Tableau106[],4,FALSE)</f>
        <v>2.61</v>
      </c>
      <c r="F26" s="322" t="str">
        <f>VLOOKUP('OPX_BN+1'!$A26,Tableau106[],5,FALSE)</f>
        <v>BLAU</v>
      </c>
      <c r="G26" s="322" t="str">
        <f>VLOOKUP('OPX_BN+1'!$A26,Tableau106[],7,FALSE)</f>
        <v>GROUPE</v>
      </c>
      <c r="H26" s="322" t="str">
        <f>VLOOKUP('OPX_BN+1'!$A26,Tableau106[],6,FALSE)</f>
        <v>S</v>
      </c>
      <c r="I26" s="372" t="str">
        <f>VLOOKUP(Tableau17[[#This Row],[OPEX VARIABLES en €
BN 2024]],Tableau106[],9,FALSE)</f>
        <v>ArB</v>
      </c>
      <c r="J26" s="360">
        <f>VLOOKUP(Tableau17[[#This Row],[CODE PI]],Tableau16[[CODE PI]:[(mesures compensatoires du PC ou autres)]],5,FALSE)*(1+$B$1)</f>
        <v>-93872.574999999997</v>
      </c>
      <c r="K26" s="228">
        <v>-12520</v>
      </c>
      <c r="L26" s="228"/>
      <c r="M26" s="229">
        <v>0</v>
      </c>
      <c r="N26" s="229">
        <v>0</v>
      </c>
      <c r="O26" s="229">
        <v>0</v>
      </c>
      <c r="P26" s="229">
        <v>0</v>
      </c>
      <c r="Q26" s="229">
        <f>-250*'OPX_BN+1'!$E26</f>
        <v>-652.5</v>
      </c>
      <c r="R26" s="274">
        <f>SUM('OPX_BN+1'!$K26:$Q26)</f>
        <v>-13172.5</v>
      </c>
      <c r="S26" s="337">
        <f>VLOOKUP(Tableau17[[#This Row],[CODE PI]],Tableau16[[CODE PI]:[(mesures compensatoires du PC ou autres)]],14,FALSE)*(1+$B$1)</f>
        <v>0</v>
      </c>
      <c r="T26" s="423">
        <v>0</v>
      </c>
      <c r="U26" s="341">
        <v>0</v>
      </c>
      <c r="V26" s="423">
        <v>0</v>
      </c>
      <c r="W26" s="423">
        <v>0</v>
      </c>
      <c r="X26" s="423">
        <v>0</v>
      </c>
      <c r="Y26" s="423">
        <v>0</v>
      </c>
      <c r="Z26" s="264">
        <f>-250*Tableau17[[#This Row],[MW]]</f>
        <v>-652.5</v>
      </c>
      <c r="AA26" s="423">
        <v>-2000</v>
      </c>
      <c r="AB26" s="273">
        <f>SUM('OPX_BN+1'!$T26:$AA26)</f>
        <v>-2652.5</v>
      </c>
      <c r="AC26" s="426"/>
      <c r="AD26" s="426"/>
      <c r="AE26" s="417">
        <v>0</v>
      </c>
      <c r="AF26" s="417">
        <v>0</v>
      </c>
      <c r="AG26" s="417">
        <v>0</v>
      </c>
      <c r="AH26" s="417">
        <v>0</v>
      </c>
      <c r="AI26" s="417">
        <v>0</v>
      </c>
      <c r="AJ26" s="371">
        <f>SUM('OPX_BN+1'!$AC26:$AI26)</f>
        <v>0</v>
      </c>
      <c r="AK26" s="424"/>
      <c r="AL26" s="276">
        <f>SUM('OPX_BN+1'!$J26,'OPX_BN+1'!$AB26,'OPX_BN+1'!$S26,'OPX_BN+1'!$AJ26,'OPX_BN+1'!$R26,'OPX_BN+1'!$AK26)</f>
        <v>-109697.575</v>
      </c>
      <c r="AM26" s="427"/>
    </row>
    <row r="27" spans="1:39" ht="15">
      <c r="A27" s="244" t="s">
        <v>437</v>
      </c>
      <c r="B27" s="320" t="str">
        <f>VLOOKUP('OPX_BN+1'!$A27,Tableau106[],3,FALSE)</f>
        <v>A541</v>
      </c>
      <c r="C27" s="320" t="str">
        <f>VLOOKUP('OPX_BN+1'!$A27,Tableau106[],2,FALSE)</f>
        <v>FR57E05E</v>
      </c>
      <c r="D27" s="320" t="str">
        <f>VLOOKUP('OPX_BN+1'!$A27,Tableau106[],8,FALSE)</f>
        <v>EOLIEN</v>
      </c>
      <c r="E27" s="321">
        <f>VLOOKUP('OPX_BN+1'!$A27,Tableau106[],4,FALSE)</f>
        <v>10.5</v>
      </c>
      <c r="F27" s="322" t="str">
        <f>VLOOKUP('OPX_BN+1'!$A27,Tableau106[],5,FALSE)</f>
        <v>BOUS</v>
      </c>
      <c r="G27" s="322" t="str">
        <f>VLOOKUP('OPX_BN+1'!$A27,Tableau106[],7,FALSE)</f>
        <v>EGM</v>
      </c>
      <c r="H27" s="322" t="str">
        <f>VLOOKUP('OPX_BN+1'!$A27,Tableau106[],6,FALSE)</f>
        <v>N</v>
      </c>
      <c r="I27" s="372" t="str">
        <f>VLOOKUP(Tableau17[[#This Row],[OPEX VARIABLES en €
BN 2024]],Tableau106[],9,FALSE)</f>
        <v>NoS</v>
      </c>
      <c r="J27" s="360">
        <f>VLOOKUP(Tableau17[[#This Row],[CODE PI]],Tableau16[[CODE PI]:[(mesures compensatoires du PC ou autres)]],5,FALSE)*(1+$B$1)</f>
        <v>-264576.07499999995</v>
      </c>
      <c r="K27" s="228">
        <v>-80000</v>
      </c>
      <c r="L27" s="228"/>
      <c r="M27" s="229">
        <v>0</v>
      </c>
      <c r="N27" s="229">
        <v>0</v>
      </c>
      <c r="O27" s="229">
        <v>0</v>
      </c>
      <c r="P27" s="229">
        <v>-3675</v>
      </c>
      <c r="Q27" s="229">
        <f>-250*'OPX_BN+1'!$E27</f>
        <v>-2625</v>
      </c>
      <c r="R27" s="274">
        <f>SUM('OPX_BN+1'!$K27:$Q27)</f>
        <v>-86300</v>
      </c>
      <c r="S27" s="337">
        <f>VLOOKUP(Tableau17[[#This Row],[CODE PI]],Tableau16[[CODE PI]:[(mesures compensatoires du PC ou autres)]],14,FALSE)*(1+$B$1)</f>
        <v>0</v>
      </c>
      <c r="T27" s="423">
        <v>0</v>
      </c>
      <c r="U27" s="341">
        <v>0</v>
      </c>
      <c r="V27" s="423">
        <v>-2000</v>
      </c>
      <c r="W27" s="423">
        <v>0</v>
      </c>
      <c r="X27" s="423">
        <v>0</v>
      </c>
      <c r="Y27" s="423">
        <v>0</v>
      </c>
      <c r="Z27" s="264">
        <f>-250*Tableau17[[#This Row],[MW]]</f>
        <v>-2625</v>
      </c>
      <c r="AA27" s="423"/>
      <c r="AB27" s="273">
        <f>SUM('OPX_BN+1'!$T27:$AA27)</f>
        <v>-4625</v>
      </c>
      <c r="AC27" s="426"/>
      <c r="AD27" s="426"/>
      <c r="AE27" s="417">
        <v>0</v>
      </c>
      <c r="AF27" s="417">
        <v>0</v>
      </c>
      <c r="AG27" s="417">
        <v>0</v>
      </c>
      <c r="AH27" s="417">
        <v>0</v>
      </c>
      <c r="AI27" s="417">
        <v>0</v>
      </c>
      <c r="AJ27" s="371">
        <f>SUM('OPX_BN+1'!$AC27:$AI27)</f>
        <v>0</v>
      </c>
      <c r="AK27" s="424"/>
      <c r="AL27" s="276">
        <f>SUM('OPX_BN+1'!$J27,'OPX_BN+1'!$AB27,'OPX_BN+1'!$S27,'OPX_BN+1'!$AJ27,'OPX_BN+1'!$R27,'OPX_BN+1'!$AK27)</f>
        <v>-355501.07499999995</v>
      </c>
      <c r="AM27" s="427"/>
    </row>
    <row r="28" spans="1:39" ht="15">
      <c r="A28" s="325" t="s">
        <v>459</v>
      </c>
      <c r="B28" s="320" t="str">
        <f>VLOOKUP('OPX_BN+1'!$A28,Tableau106[],3,FALSE)</f>
        <v>A145</v>
      </c>
      <c r="C28" s="320" t="str">
        <f>VLOOKUP('OPX_BN+1'!$A28,Tableau106[],2,FALSE)</f>
        <v>FR31S01E</v>
      </c>
      <c r="D28" s="320" t="str">
        <f>VLOOKUP('OPX_BN+1'!$A28,Tableau106[],8,FALSE)</f>
        <v>SOLAIRE</v>
      </c>
      <c r="E28" s="321">
        <f>VLOOKUP('OPX_BN+1'!$A28,Tableau106[],4,FALSE)</f>
        <v>10.15</v>
      </c>
      <c r="F28" s="322" t="str">
        <f>VLOOKUP('OPX_BN+1'!$A28,Tableau106[],5,FALSE)</f>
        <v>BOUL</v>
      </c>
      <c r="G28" s="322" t="str">
        <f>VLOOKUP('OPX_BN+1'!$A28,Tableau106[],7,FALSE)</f>
        <v>GROUPE</v>
      </c>
      <c r="H28" s="322" t="str">
        <f>VLOOKUP('OPX_BN+1'!$A28,Tableau106[],6,FALSE)</f>
        <v>S</v>
      </c>
      <c r="I28" s="372" t="str">
        <f>VLOOKUP(Tableau17[[#This Row],[OPEX VARIABLES en €
BN 2024]],Tableau106[],9,FALSE)</f>
        <v>BaA</v>
      </c>
      <c r="J28" s="360">
        <f>VLOOKUP(Tableau17[[#This Row],[CODE PI]],Tableau16[[CODE PI]:[(mesures compensatoires du PC ou autres)]],5,FALSE)*(1+$B$1)</f>
        <v>-295063.67499999999</v>
      </c>
      <c r="K28" s="228">
        <v>-49760.000000000007</v>
      </c>
      <c r="L28" s="228"/>
      <c r="M28" s="229">
        <v>0</v>
      </c>
      <c r="N28" s="229">
        <v>0</v>
      </c>
      <c r="O28" s="229">
        <v>0</v>
      </c>
      <c r="P28" s="229"/>
      <c r="Q28" s="229">
        <f>-250*'OPX_BN+1'!$E28</f>
        <v>-2537.5</v>
      </c>
      <c r="R28" s="274">
        <f>SUM('OPX_BN+1'!$K28:$Q28)</f>
        <v>-52297.500000000007</v>
      </c>
      <c r="S28" s="337">
        <f>VLOOKUP(Tableau17[[#This Row],[CODE PI]],Tableau16[[CODE PI]:[(mesures compensatoires du PC ou autres)]],14,FALSE)*(1+$B$1)</f>
        <v>0</v>
      </c>
      <c r="T28" s="423">
        <v>0</v>
      </c>
      <c r="U28" s="341">
        <v>0</v>
      </c>
      <c r="V28" s="423">
        <v>0</v>
      </c>
      <c r="W28" s="423">
        <v>0</v>
      </c>
      <c r="X28" s="423">
        <v>0</v>
      </c>
      <c r="Y28" s="423">
        <v>0</v>
      </c>
      <c r="Z28" s="264">
        <f>-250*Tableau17[[#This Row],[MW]]</f>
        <v>-2537.5</v>
      </c>
      <c r="AA28" s="423"/>
      <c r="AB28" s="273">
        <f>SUM('OPX_BN+1'!$T28:$AA28)</f>
        <v>-2537.5</v>
      </c>
      <c r="AC28" s="426"/>
      <c r="AD28" s="426"/>
      <c r="AE28" s="417">
        <v>0</v>
      </c>
      <c r="AF28" s="417">
        <v>0</v>
      </c>
      <c r="AG28" s="417">
        <v>0</v>
      </c>
      <c r="AH28" s="417">
        <v>0</v>
      </c>
      <c r="AI28" s="417">
        <v>0</v>
      </c>
      <c r="AJ28" s="371">
        <f>SUM('OPX_BN+1'!$AC28:$AI28)</f>
        <v>0</v>
      </c>
      <c r="AK28" s="424"/>
      <c r="AL28" s="276">
        <f>SUM('OPX_BN+1'!$J28,'OPX_BN+1'!$AB28,'OPX_BN+1'!$S28,'OPX_BN+1'!$AJ28,'OPX_BN+1'!$R28,'OPX_BN+1'!$AK28)</f>
        <v>-349898.67499999999</v>
      </c>
      <c r="AM28" s="427">
        <v>-53480</v>
      </c>
    </row>
    <row r="29" spans="1:39" ht="15">
      <c r="A29" s="244" t="s">
        <v>54</v>
      </c>
      <c r="B29" s="320" t="str">
        <f>VLOOKUP('OPX_BN+1'!$A29,Tableau106[],3,FALSE)</f>
        <v>A272</v>
      </c>
      <c r="C29" s="320" t="str">
        <f>VLOOKUP('OPX_BN+1'!$A29,Tableau106[],2,FALSE)</f>
        <v>FR45S03E</v>
      </c>
      <c r="D29" s="320" t="str">
        <f>VLOOKUP('OPX_BN+1'!$A29,Tableau106[],8,FALSE)</f>
        <v>SOLAIRE</v>
      </c>
      <c r="E29" s="321">
        <f>VLOOKUP('OPX_BN+1'!$A29,Tableau106[],4,FALSE)</f>
        <v>15.5</v>
      </c>
      <c r="F29" s="322" t="str">
        <f>VLOOKUP('OPX_BN+1'!$A29,Tableau106[],5,FALSE)</f>
        <v>BRIA</v>
      </c>
      <c r="G29" s="322" t="str">
        <f>VLOOKUP('OPX_BN+1'!$A29,Tableau106[],7,FALSE)</f>
        <v>GROUPE</v>
      </c>
      <c r="H29" s="322" t="str">
        <f>VLOOKUP('OPX_BN+1'!$A29,Tableau106[],6,FALSE)</f>
        <v>N</v>
      </c>
      <c r="I29" s="372" t="str">
        <f>VLOOKUP(Tableau17[[#This Row],[OPEX VARIABLES en €
BN 2024]],Tableau106[],9,FALSE)</f>
        <v>LoG</v>
      </c>
      <c r="J29" s="360">
        <v>-76986</v>
      </c>
      <c r="K29" s="228">
        <v>-20000</v>
      </c>
      <c r="L29" s="228"/>
      <c r="M29" s="229">
        <v>0</v>
      </c>
      <c r="N29" s="229">
        <v>0</v>
      </c>
      <c r="O29" s="229">
        <v>0</v>
      </c>
      <c r="P29" s="229">
        <v>0</v>
      </c>
      <c r="Q29" s="229">
        <f>-250*'OPX_BN+1'!$E29</f>
        <v>-3875</v>
      </c>
      <c r="R29" s="274">
        <f>SUM('OPX_BN+1'!$K29:$Q29)</f>
        <v>-23875</v>
      </c>
      <c r="S29" s="337">
        <f>VLOOKUP(Tableau17[[#This Row],[CODE PI]],Tableau16[[CODE PI]:[(mesures compensatoires du PC ou autres)]],14,FALSE)*(1+$B$1)</f>
        <v>0</v>
      </c>
      <c r="T29" s="423">
        <v>0</v>
      </c>
      <c r="U29" s="341">
        <v>0</v>
      </c>
      <c r="V29" s="423">
        <v>0</v>
      </c>
      <c r="W29" s="423">
        <v>0</v>
      </c>
      <c r="X29" s="423">
        <v>0</v>
      </c>
      <c r="Y29" s="423">
        <v>0</v>
      </c>
      <c r="Z29" s="264">
        <f>-250*Tableau17[[#This Row],[MW]]</f>
        <v>-3875</v>
      </c>
      <c r="AA29" s="423"/>
      <c r="AB29" s="273">
        <f>SUM('OPX_BN+1'!$T29:$AA29)</f>
        <v>-3875</v>
      </c>
      <c r="AC29" s="426"/>
      <c r="AD29" s="426"/>
      <c r="AE29" s="417">
        <v>0</v>
      </c>
      <c r="AF29" s="417">
        <v>0</v>
      </c>
      <c r="AG29" s="417">
        <v>0</v>
      </c>
      <c r="AH29" s="417">
        <v>-2500</v>
      </c>
      <c r="AI29" s="417">
        <v>0</v>
      </c>
      <c r="AJ29" s="371">
        <f>SUM('OPX_BN+1'!$AC29:$AI29)</f>
        <v>-2500</v>
      </c>
      <c r="AK29" s="424"/>
      <c r="AL29" s="276">
        <f>SUM('OPX_BN+1'!$J29,'OPX_BN+1'!$AB29,'OPX_BN+1'!$S29,'OPX_BN+1'!$AJ29,'OPX_BN+1'!$R29,'OPX_BN+1'!$AK29)</f>
        <v>-107236</v>
      </c>
      <c r="AM29" s="427"/>
    </row>
    <row r="30" spans="1:39" ht="15">
      <c r="A30" s="325" t="s">
        <v>510</v>
      </c>
      <c r="B30" s="320" t="str">
        <f>VLOOKUP('OPX_BN+1'!$A30,Tableau106[],3,FALSE)</f>
        <v>A540</v>
      </c>
      <c r="C30" s="320" t="str">
        <f>VLOOKUP('OPX_BN+1'!$A30,Tableau106[],2,FALSE)</f>
        <v>FR02E03E</v>
      </c>
      <c r="D30" s="320" t="str">
        <f>VLOOKUP('OPX_BN+1'!$A30,Tableau106[],8,FALSE)</f>
        <v>EOLIEN</v>
      </c>
      <c r="E30" s="321">
        <f>VLOOKUP('OPX_BN+1'!$A30,Tableau106[],4,FALSE)</f>
        <v>6</v>
      </c>
      <c r="F30" s="322" t="str">
        <f>VLOOKUP('OPX_BN+1'!$A30,Tableau106[],5,FALSE)</f>
        <v>BRIY</v>
      </c>
      <c r="G30" s="322" t="str">
        <f>VLOOKUP('OPX_BN+1'!$A30,Tableau106[],7,FALSE)</f>
        <v>EGM</v>
      </c>
      <c r="H30" s="322" t="str">
        <f>VLOOKUP('OPX_BN+1'!$A30,Tableau106[],6,FALSE)</f>
        <v>N</v>
      </c>
      <c r="I30" s="372" t="str">
        <f>VLOOKUP(Tableau17[[#This Row],[OPEX VARIABLES en €
BN 2024]],Tableau106[],9,FALSE)</f>
        <v>NoS</v>
      </c>
      <c r="J30" s="360">
        <f>VLOOKUP(Tableau17[[#This Row],[CODE PI]],Tableau16[[CODE PI]:[(mesures compensatoires du PC ou autres)]],5,FALSE)*(1+$B$1)</f>
        <v>-158745.84999999998</v>
      </c>
      <c r="K30" s="228">
        <v>-90000</v>
      </c>
      <c r="L30" s="228"/>
      <c r="M30" s="229">
        <v>0</v>
      </c>
      <c r="N30" s="229">
        <v>0</v>
      </c>
      <c r="O30" s="229">
        <v>0</v>
      </c>
      <c r="P30" s="229">
        <v>-2100</v>
      </c>
      <c r="Q30" s="229">
        <f>-250*'OPX_BN+1'!$E30</f>
        <v>-1500</v>
      </c>
      <c r="R30" s="274">
        <f>SUM('OPX_BN+1'!$K30:$Q30)</f>
        <v>-93600</v>
      </c>
      <c r="S30" s="337">
        <f>VLOOKUP(Tableau17[[#This Row],[CODE PI]],Tableau16[[CODE PI]:[(mesures compensatoires du PC ou autres)]],14,FALSE)*(1+$B$1)</f>
        <v>0</v>
      </c>
      <c r="T30" s="423">
        <v>0</v>
      </c>
      <c r="U30" s="341">
        <v>0</v>
      </c>
      <c r="V30" s="423">
        <v>-3484</v>
      </c>
      <c r="W30" s="423">
        <v>0</v>
      </c>
      <c r="X30" s="423">
        <v>0</v>
      </c>
      <c r="Y30" s="423">
        <v>0</v>
      </c>
      <c r="Z30" s="264">
        <f>-250*Tableau17[[#This Row],[MW]]</f>
        <v>-1500</v>
      </c>
      <c r="AA30" s="423"/>
      <c r="AB30" s="273">
        <f>SUM('OPX_BN+1'!$T30:$AA30)</f>
        <v>-4984</v>
      </c>
      <c r="AC30" s="426"/>
      <c r="AD30" s="426"/>
      <c r="AE30" s="417">
        <v>0</v>
      </c>
      <c r="AF30" s="417">
        <v>0</v>
      </c>
      <c r="AG30" s="417">
        <v>0</v>
      </c>
      <c r="AH30" s="417">
        <v>0</v>
      </c>
      <c r="AI30" s="417">
        <v>0</v>
      </c>
      <c r="AJ30" s="371">
        <f>SUM('OPX_BN+1'!$AC30:$AI30)</f>
        <v>0</v>
      </c>
      <c r="AK30" s="424"/>
      <c r="AL30" s="276">
        <f>SUM('OPX_BN+1'!$J30,'OPX_BN+1'!$AB30,'OPX_BN+1'!$S30,'OPX_BN+1'!$AJ30,'OPX_BN+1'!$R30,'OPX_BN+1'!$AK30)</f>
        <v>-257329.84999999998</v>
      </c>
      <c r="AM30" s="427"/>
    </row>
    <row r="31" spans="1:39" ht="15">
      <c r="A31" s="325" t="s">
        <v>558</v>
      </c>
      <c r="B31" s="320" t="str">
        <f>VLOOKUP('OPX_BN+1'!$A31,Tableau106[],3,FALSE)</f>
        <v>A540</v>
      </c>
      <c r="C31" s="320" t="str">
        <f>VLOOKUP('OPX_BN+1'!$A31,Tableau106[],2,FALSE)</f>
        <v>FR56E01E</v>
      </c>
      <c r="D31" s="320" t="str">
        <f>VLOOKUP('OPX_BN+1'!$A31,Tableau106[],8,FALSE)</f>
        <v>EOLIEN</v>
      </c>
      <c r="E31" s="321">
        <f>VLOOKUP('OPX_BN+1'!$A31,Tableau106[],4,FALSE)</f>
        <v>12</v>
      </c>
      <c r="F31" s="322" t="str">
        <f>VLOOKUP('OPX_BN+1'!$A31,Tableau106[],5,FALSE)</f>
        <v>LBDF</v>
      </c>
      <c r="G31" s="322" t="str">
        <f>VLOOKUP('OPX_BN+1'!$A31,Tableau106[],7,FALSE)</f>
        <v>EGM</v>
      </c>
      <c r="H31" s="322" t="str">
        <f>VLOOKUP('OPX_BN+1'!$A31,Tableau106[],6,FALSE)</f>
        <v>N</v>
      </c>
      <c r="I31" s="372" t="str">
        <f>VLOOKUP(Tableau17[[#This Row],[OPEX VARIABLES en €
BN 2024]],Tableau106[],9,FALSE)</f>
        <v>BoK</v>
      </c>
      <c r="J31" s="360">
        <f>VLOOKUP(Tableau17[[#This Row],[CODE PI]],Tableau16[[CODE PI]:[(mesures compensatoires du PC ou autres)]],5,FALSE)*(1+$B$1)</f>
        <v>-317491.69999999995</v>
      </c>
      <c r="K31" s="228">
        <v>-96030</v>
      </c>
      <c r="L31" s="228"/>
      <c r="M31" s="229">
        <v>0</v>
      </c>
      <c r="N31" s="229">
        <v>0</v>
      </c>
      <c r="O31" s="229">
        <v>0</v>
      </c>
      <c r="P31" s="229">
        <v>-4200</v>
      </c>
      <c r="Q31" s="229">
        <f>-250*'OPX_BN+1'!$E31</f>
        <v>-3000</v>
      </c>
      <c r="R31" s="274">
        <f>SUM('OPX_BN+1'!$K31:$Q31)</f>
        <v>-103230</v>
      </c>
      <c r="S31" s="337">
        <f>VLOOKUP(Tableau17[[#This Row],[CODE PI]],Tableau16[[CODE PI]:[(mesures compensatoires du PC ou autres)]],14,FALSE)*(1+$B$1)</f>
        <v>0</v>
      </c>
      <c r="T31" s="423">
        <v>0</v>
      </c>
      <c r="U31" s="341">
        <v>0</v>
      </c>
      <c r="V31" s="423">
        <v>-2000</v>
      </c>
      <c r="W31" s="423">
        <v>0</v>
      </c>
      <c r="X31" s="423">
        <v>0</v>
      </c>
      <c r="Y31" s="423">
        <v>0</v>
      </c>
      <c r="Z31" s="264">
        <f>-250*Tableau17[[#This Row],[MW]]</f>
        <v>-3000</v>
      </c>
      <c r="AA31" s="423"/>
      <c r="AB31" s="273">
        <f>SUM('OPX_BN+1'!$T31:$AA31)</f>
        <v>-5000</v>
      </c>
      <c r="AC31" s="426"/>
      <c r="AD31" s="426"/>
      <c r="AE31" s="417">
        <v>0</v>
      </c>
      <c r="AF31" s="417">
        <v>0</v>
      </c>
      <c r="AG31" s="417">
        <v>0</v>
      </c>
      <c r="AH31" s="417">
        <v>0</v>
      </c>
      <c r="AI31" s="417">
        <v>0</v>
      </c>
      <c r="AJ31" s="371">
        <f>SUM('OPX_BN+1'!$AC31:$AI31)</f>
        <v>0</v>
      </c>
      <c r="AK31" s="424"/>
      <c r="AL31" s="276">
        <f>SUM('OPX_BN+1'!$J31,'OPX_BN+1'!$AB31,'OPX_BN+1'!$S31,'OPX_BN+1'!$AJ31,'OPX_BN+1'!$R31,'OPX_BN+1'!$AK31)</f>
        <v>-425721.69999999995</v>
      </c>
      <c r="AM31" s="427"/>
    </row>
    <row r="32" spans="1:39" ht="15">
      <c r="A32" s="244" t="s">
        <v>563</v>
      </c>
      <c r="B32" s="320" t="str">
        <f>VLOOKUP('OPX_BN+1'!$A32,Tableau106[],3,FALSE)</f>
        <v>A114</v>
      </c>
      <c r="C32" s="320" t="str">
        <f>VLOOKUP('OPX_BN+1'!$A32,Tableau106[],2,FALSE)</f>
        <v>FR11E95E</v>
      </c>
      <c r="D32" s="320" t="str">
        <f>VLOOKUP('OPX_BN+1'!$A32,Tableau106[],8,FALSE)</f>
        <v>EOLIEN</v>
      </c>
      <c r="E32" s="321">
        <f>VLOOKUP('OPX_BN+1'!$A32,Tableau106[],4,FALSE)</f>
        <v>11.5</v>
      </c>
      <c r="F32" s="322" t="str">
        <f>VLOOKUP('OPX_BN+1'!$A32,Tableau106[],5,FALSE)</f>
        <v>CAMB</v>
      </c>
      <c r="G32" s="322" t="str">
        <f>VLOOKUP('OPX_BN+1'!$A32,Tableau106[],7,FALSE)</f>
        <v>GROUPE</v>
      </c>
      <c r="H32" s="322" t="str">
        <f>VLOOKUP('OPX_BN+1'!$A32,Tableau106[],6,FALSE)</f>
        <v>S</v>
      </c>
      <c r="I32" s="372" t="str">
        <f>VLOOKUP(Tableau17[[#This Row],[OPEX VARIABLES en €
BN 2024]],Tableau106[],9,FALSE)</f>
        <v>ThC</v>
      </c>
      <c r="J32" s="360">
        <f>VLOOKUP(Tableau17[[#This Row],[CODE PI]],Tableau16[[CODE PI]:[(mesures compensatoires du PC ou autres)]],5,FALSE)*(1+$B$1)</f>
        <v>-10086</v>
      </c>
      <c r="K32" s="228">
        <v>-12750</v>
      </c>
      <c r="L32" s="228"/>
      <c r="M32" s="229">
        <v>0</v>
      </c>
      <c r="N32" s="229">
        <v>0</v>
      </c>
      <c r="O32" s="229">
        <v>0</v>
      </c>
      <c r="P32" s="229">
        <f>-5000-5060</f>
        <v>-10060</v>
      </c>
      <c r="Q32" s="229">
        <f>-250*'OPX_BN+1'!$E32</f>
        <v>-2875</v>
      </c>
      <c r="R32" s="274">
        <f>SUM('OPX_BN+1'!$K32:$Q32)</f>
        <v>-25685</v>
      </c>
      <c r="S32" s="337">
        <f>VLOOKUP(Tableau17[[#This Row],[CODE PI]],Tableau16[[CODE PI]:[(mesures compensatoires du PC ou autres)]],14,FALSE)*(1+$B$1)</f>
        <v>-420859.87499999994</v>
      </c>
      <c r="T32" s="361">
        <v>0</v>
      </c>
      <c r="U32" s="362">
        <v>0</v>
      </c>
      <c r="V32" s="361">
        <v>-13800</v>
      </c>
      <c r="W32" s="361">
        <v>-6000</v>
      </c>
      <c r="X32" s="361">
        <v>0</v>
      </c>
      <c r="Y32" s="361"/>
      <c r="Z32" s="264">
        <f>-250*Tableau17[[#This Row],[MW]]</f>
        <v>-2875</v>
      </c>
      <c r="AA32" s="423">
        <v>-4000</v>
      </c>
      <c r="AB32" s="273">
        <f>SUM('OPX_BN+1'!$T32:$AA32)</f>
        <v>-26675</v>
      </c>
      <c r="AC32" s="426"/>
      <c r="AD32" s="426">
        <f t="shared" si="0"/>
        <v>-5047.0999999999995</v>
      </c>
      <c r="AE32" s="417">
        <v>0</v>
      </c>
      <c r="AF32" s="417">
        <v>0</v>
      </c>
      <c r="AG32" s="417">
        <v>0</v>
      </c>
      <c r="AH32" s="417">
        <v>-8000</v>
      </c>
      <c r="AI32" s="417">
        <v>-10000</v>
      </c>
      <c r="AJ32" s="371">
        <f>SUM('OPX_BN+1'!$AC32:$AI32)</f>
        <v>-23047.1</v>
      </c>
      <c r="AK32" s="424"/>
      <c r="AL32" s="276">
        <f>SUM('OPX_BN+1'!$J32,'OPX_BN+1'!$AB32,'OPX_BN+1'!$S32,'OPX_BN+1'!$AJ32,'OPX_BN+1'!$R32,'OPX_BN+1'!$AK32)</f>
        <v>-506352.97499999992</v>
      </c>
      <c r="AM32" s="427"/>
    </row>
    <row r="33" spans="1:39" ht="15">
      <c r="A33" s="325" t="s">
        <v>466</v>
      </c>
      <c r="B33" s="320" t="str">
        <f>VLOOKUP('OPX_BN+1'!$A33,Tableau106[],3,FALSE)</f>
        <v>A047</v>
      </c>
      <c r="C33" s="320" t="str">
        <f>VLOOKUP('OPX_BN+1'!$A33,Tableau106[],2,FALSE)</f>
        <v>FR97S76E</v>
      </c>
      <c r="D33" s="320" t="str">
        <f>VLOOKUP('OPX_BN+1'!$A33,Tableau106[],8,FALSE)</f>
        <v>SOLAIRE DOM</v>
      </c>
      <c r="E33" s="321">
        <f>VLOOKUP('OPX_BN+1'!$A33,Tableau106[],4,FALSE)</f>
        <v>0.68200000000000005</v>
      </c>
      <c r="F33" s="322" t="str">
        <f>VLOOKUP('OPX_BN+1'!$A33,Tableau106[],5,FALSE)</f>
        <v>CANO</v>
      </c>
      <c r="G33" s="322" t="str">
        <f>VLOOKUP('OPX_BN+1'!$A33,Tableau106[],7,FALSE)</f>
        <v>GROUPE</v>
      </c>
      <c r="H33" s="322" t="str">
        <f>VLOOKUP('OPX_BN+1'!$A33,Tableau106[],6,FALSE)</f>
        <v>DOM</v>
      </c>
      <c r="I33" s="372" t="str">
        <f>VLOOKUP(Tableau17[[#This Row],[OPEX VARIABLES en €
BN 2024]],Tableau106[],9,FALSE)</f>
        <v>DoJ</v>
      </c>
      <c r="J33" s="360">
        <f>VLOOKUP(Tableau17[[#This Row],[CODE PI]],Tableau16[[CODE PI]:[(mesures compensatoires du PC ou autres)]],5,FALSE)*(1+$B$1)</f>
        <v>0</v>
      </c>
      <c r="K33" s="228">
        <v>0</v>
      </c>
      <c r="L33" s="228"/>
      <c r="M33" s="229">
        <v>0</v>
      </c>
      <c r="N33" s="229">
        <v>0</v>
      </c>
      <c r="O33" s="229">
        <v>0</v>
      </c>
      <c r="P33" s="229">
        <v>0</v>
      </c>
      <c r="Q33" s="229">
        <f>-250*'OPX_BN+1'!$E33</f>
        <v>-170.5</v>
      </c>
      <c r="R33" s="274">
        <f>SUM('OPX_BN+1'!$K33:$Q33)</f>
        <v>-170.5</v>
      </c>
      <c r="S33" s="337">
        <f>VLOOKUP(Tableau17[[#This Row],[CODE PI]],Tableau16[[CODE PI]:[(mesures compensatoires du PC ou autres)]],14,FALSE)*(1+$B$1)</f>
        <v>-36194.799999999996</v>
      </c>
      <c r="T33" s="361">
        <v>-3500</v>
      </c>
      <c r="U33" s="341">
        <v>0</v>
      </c>
      <c r="V33" s="423"/>
      <c r="W33" s="423">
        <v>-1200</v>
      </c>
      <c r="X33" s="423">
        <v>0</v>
      </c>
      <c r="Y33" s="423">
        <v>0</v>
      </c>
      <c r="Z33" s="264">
        <f>-250*Tableau17[[#This Row],[MW]]</f>
        <v>-170.5</v>
      </c>
      <c r="AA33" s="423">
        <f>-149552*0.002</f>
        <v>-299.10399999999998</v>
      </c>
      <c r="AB33" s="273">
        <f>SUM('OPX_BN+1'!$T33:$AA33)</f>
        <v>-5169.6040000000003</v>
      </c>
      <c r="AC33" s="426"/>
      <c r="AD33" s="426"/>
      <c r="AE33" s="417">
        <v>0</v>
      </c>
      <c r="AF33" s="417">
        <v>0</v>
      </c>
      <c r="AG33" s="417">
        <v>0</v>
      </c>
      <c r="AH33" s="417">
        <v>0</v>
      </c>
      <c r="AI33" s="417">
        <v>0</v>
      </c>
      <c r="AJ33" s="371">
        <f>SUM('OPX_BN+1'!$AC33:$AI33)</f>
        <v>0</v>
      </c>
      <c r="AK33" s="424"/>
      <c r="AL33" s="276">
        <f>SUM('OPX_BN+1'!$J33,'OPX_BN+1'!$AB33,'OPX_BN+1'!$S33,'OPX_BN+1'!$AJ33,'OPX_BN+1'!$R33,'OPX_BN+1'!$AK33)</f>
        <v>-41534.903999999995</v>
      </c>
      <c r="AM33" s="427"/>
    </row>
    <row r="34" spans="1:39" ht="15">
      <c r="A34" s="244" t="s">
        <v>590</v>
      </c>
      <c r="B34" s="320" t="str">
        <f>VLOOKUP('OPX_BN+1'!$A34,Tableau106[],3,FALSE)</f>
        <v>A124</v>
      </c>
      <c r="C34" s="320" t="str">
        <f>VLOOKUP('OPX_BN+1'!$A34,Tableau106[],2,FALSE)</f>
        <v>FR28E99E</v>
      </c>
      <c r="D34" s="320" t="str">
        <f>VLOOKUP('OPX_BN+1'!$A34,Tableau106[],8,FALSE)</f>
        <v>EOLIEN</v>
      </c>
      <c r="E34" s="321">
        <f>VLOOKUP('OPX_BN+1'!$A34,Tableau106[],4,FALSE)</f>
        <v>12</v>
      </c>
      <c r="F34" s="322" t="str">
        <f>VLOOKUP('OPX_BN+1'!$A34,Tableau106[],5,FALSE)</f>
        <v>CDBO</v>
      </c>
      <c r="G34" s="322" t="str">
        <f>VLOOKUP('OPX_BN+1'!$A34,Tableau106[],7,FALSE)</f>
        <v>GROUPE</v>
      </c>
      <c r="H34" s="322" t="str">
        <f>VLOOKUP('OPX_BN+1'!$A34,Tableau106[],6,FALSE)</f>
        <v>N</v>
      </c>
      <c r="I34" s="372" t="str">
        <f>VLOOKUP(Tableau17[[#This Row],[OPEX VARIABLES en €
BN 2024]],Tableau106[],9,FALSE)</f>
        <v>LoH</v>
      </c>
      <c r="J34" s="360">
        <f>VLOOKUP(Tableau17[[#This Row],[CODE PI]],Tableau16[[CODE PI]:[(mesures compensatoires du PC ou autres)]],5,FALSE)*(1+$B$1)</f>
        <v>-20780.849999999999</v>
      </c>
      <c r="K34" s="228">
        <v>-29750</v>
      </c>
      <c r="L34" s="228"/>
      <c r="M34" s="229">
        <v>0</v>
      </c>
      <c r="N34" s="229">
        <v>0</v>
      </c>
      <c r="O34" s="229">
        <v>-3000</v>
      </c>
      <c r="P34" s="229">
        <f>-440*Tableau17[[#This Row],[MW]]</f>
        <v>-5280</v>
      </c>
      <c r="Q34" s="229">
        <f>-250*'OPX_BN+1'!$E34</f>
        <v>-3000</v>
      </c>
      <c r="R34" s="274">
        <f>SUM('OPX_BN+1'!$K34:$Q34)</f>
        <v>-41030</v>
      </c>
      <c r="S34" s="337">
        <f>VLOOKUP(Tableau17[[#This Row],[CODE PI]],Tableau16[[CODE PI]:[(mesures compensatoires du PC ou autres)]],14,FALSE)*(1+$B$1)</f>
        <v>-794590.24999999988</v>
      </c>
      <c r="T34" s="423">
        <v>0</v>
      </c>
      <c r="U34" s="341">
        <v>0</v>
      </c>
      <c r="V34" s="423">
        <v>-2000</v>
      </c>
      <c r="W34" s="423">
        <f>-3600</f>
        <v>-3600</v>
      </c>
      <c r="X34" s="423"/>
      <c r="Y34" s="423">
        <v>0</v>
      </c>
      <c r="Z34" s="264">
        <f>-250*Tableau17[[#This Row],[MW]]</f>
        <v>-3000</v>
      </c>
      <c r="AA34" s="423"/>
      <c r="AB34" s="273">
        <f>SUM('OPX_BN+1'!$T34:$AA34)</f>
        <v>-8600</v>
      </c>
      <c r="AC34" s="426"/>
      <c r="AD34" s="426">
        <f>-4924*1.025</f>
        <v>-5047.0999999999995</v>
      </c>
      <c r="AE34" s="417">
        <v>0</v>
      </c>
      <c r="AF34" s="417">
        <v>0</v>
      </c>
      <c r="AG34" s="417">
        <v>0</v>
      </c>
      <c r="AH34" s="417">
        <v>0</v>
      </c>
      <c r="AI34" s="417">
        <v>0</v>
      </c>
      <c r="AJ34" s="371">
        <f>SUM('OPX_BN+1'!$AC34:$AI34)</f>
        <v>-5047.0999999999995</v>
      </c>
      <c r="AK34" s="424"/>
      <c r="AL34" s="276">
        <f>SUM('OPX_BN+1'!$J34,'OPX_BN+1'!$AB34,'OPX_BN+1'!$S34,'OPX_BN+1'!$AJ34,'OPX_BN+1'!$R34,'OPX_BN+1'!$AK34)</f>
        <v>-870048.19999999984</v>
      </c>
      <c r="AM34" s="427"/>
    </row>
    <row r="35" spans="1:39" ht="15">
      <c r="A35" s="244" t="s">
        <v>485</v>
      </c>
      <c r="B35" s="320" t="str">
        <f>VLOOKUP('OPX_BN+1'!$A35,Tableau106[],3,FALSE)</f>
        <v>A534</v>
      </c>
      <c r="C35" s="320" t="str">
        <f>VLOOKUP('OPX_BN+1'!$A35,Tableau106[],2,FALSE)</f>
        <v>FR62E03E</v>
      </c>
      <c r="D35" s="320" t="str">
        <f>VLOOKUP('OPX_BN+1'!$A35,Tableau106[],8,FALSE)</f>
        <v>EOLIEN</v>
      </c>
      <c r="E35" s="321">
        <f>VLOOKUP('OPX_BN+1'!$A35,Tableau106[],4,FALSE)</f>
        <v>19.8</v>
      </c>
      <c r="F35" s="322" t="str">
        <f>VLOOKUP('OPX_BN+1'!$A35,Tableau106[],5,FALSE)</f>
        <v>CARN</v>
      </c>
      <c r="G35" s="322" t="str">
        <f>VLOOKUP('OPX_BN+1'!$A35,Tableau106[],7,FALSE)</f>
        <v>GROUPE</v>
      </c>
      <c r="H35" s="322" t="str">
        <f>VLOOKUP('OPX_BN+1'!$A35,Tableau106[],6,FALSE)</f>
        <v>N</v>
      </c>
      <c r="I35" s="372" t="str">
        <f>VLOOKUP(Tableau17[[#This Row],[OPEX VARIABLES en €
BN 2024]],Tableau106[],9,FALSE)</f>
        <v>NiL</v>
      </c>
      <c r="J35" s="360">
        <f>VLOOKUP(Tableau17[[#This Row],[CODE PI]],Tableau16[[CODE PI]:[(mesures compensatoires du PC ou autres)]],5,FALSE)*(1+$B$1)</f>
        <v>-470455.52499999997</v>
      </c>
      <c r="K35" s="228">
        <v>-17760</v>
      </c>
      <c r="L35" s="228"/>
      <c r="M35" s="229">
        <v>0</v>
      </c>
      <c r="N35" s="229">
        <v>0</v>
      </c>
      <c r="O35" s="229">
        <v>0</v>
      </c>
      <c r="P35" s="229">
        <v>-6930</v>
      </c>
      <c r="Q35" s="229">
        <f>-250*'OPX_BN+1'!$E35</f>
        <v>-4950</v>
      </c>
      <c r="R35" s="274">
        <f>SUM('OPX_BN+1'!$K35:$Q35)</f>
        <v>-29640</v>
      </c>
      <c r="S35" s="337">
        <f>VLOOKUP(Tableau17[[#This Row],[CODE PI]],Tableau16[[CODE PI]:[(mesures compensatoires du PC ou autres)]],14,FALSE)*(1+$B$1)</f>
        <v>0</v>
      </c>
      <c r="T35" s="423">
        <v>0</v>
      </c>
      <c r="U35" s="341">
        <v>0</v>
      </c>
      <c r="V35" s="423">
        <v>-3000</v>
      </c>
      <c r="W35" s="423">
        <v>0</v>
      </c>
      <c r="X35" s="423">
        <v>0</v>
      </c>
      <c r="Y35" s="423">
        <v>0</v>
      </c>
      <c r="Z35" s="264">
        <f>-250*Tableau17[[#This Row],[MW]]</f>
        <v>-4950</v>
      </c>
      <c r="AA35" s="423"/>
      <c r="AB35" s="273">
        <f>SUM('OPX_BN+1'!$T35:$AA35)</f>
        <v>-7950</v>
      </c>
      <c r="AC35" s="426"/>
      <c r="AD35" s="426"/>
      <c r="AE35" s="417">
        <v>0</v>
      </c>
      <c r="AF35" s="417">
        <v>0</v>
      </c>
      <c r="AG35" s="417">
        <v>0</v>
      </c>
      <c r="AH35" s="417">
        <v>0</v>
      </c>
      <c r="AI35" s="417">
        <v>0</v>
      </c>
      <c r="AJ35" s="371">
        <f>SUM('OPX_BN+1'!$AC35:$AI35)</f>
        <v>0</v>
      </c>
      <c r="AK35" s="424"/>
      <c r="AL35" s="276">
        <f>SUM('OPX_BN+1'!$J35,'OPX_BN+1'!$AB35,'OPX_BN+1'!$S35,'OPX_BN+1'!$AJ35,'OPX_BN+1'!$R35,'OPX_BN+1'!$AK35)</f>
        <v>-508045.52499999997</v>
      </c>
      <c r="AM35" s="427"/>
    </row>
    <row r="36" spans="1:39" ht="15">
      <c r="A36" s="325" t="s">
        <v>622</v>
      </c>
      <c r="B36" s="320" t="str">
        <f>VLOOKUP('OPX_BN+1'!$A36,Tableau106[],3,FALSE)</f>
        <v>A049</v>
      </c>
      <c r="C36" s="320" t="str">
        <f>VLOOKUP('OPX_BN+1'!$A36,Tableau106[],2,FALSE)</f>
        <v>FR34E96E</v>
      </c>
      <c r="D36" s="320" t="str">
        <f>VLOOKUP('OPX_BN+1'!$A36,Tableau106[],8,FALSE)</f>
        <v>EOLIEN</v>
      </c>
      <c r="E36" s="321">
        <f>VLOOKUP('OPX_BN+1'!$A36,Tableau106[],4,FALSE)</f>
        <v>11.5</v>
      </c>
      <c r="F36" s="322" t="str">
        <f>VLOOKUP('OPX_BN+1'!$A36,Tableau106[],5,FALSE)</f>
        <v>CASH</v>
      </c>
      <c r="G36" s="322" t="str">
        <f>VLOOKUP('OPX_BN+1'!$A36,Tableau106[],7,FALSE)</f>
        <v>GROUPE</v>
      </c>
      <c r="H36" s="322" t="str">
        <f>VLOOKUP('OPX_BN+1'!$A36,Tableau106[],6,FALSE)</f>
        <v>S</v>
      </c>
      <c r="I36" s="372" t="str">
        <f>VLOOKUP(Tableau17[[#This Row],[OPEX VARIABLES en €
BN 2024]],Tableau106[],9,FALSE)</f>
        <v>OdP</v>
      </c>
      <c r="J36" s="360">
        <f>VLOOKUP(Tableau17[[#This Row],[CODE PI]],Tableau16[[CODE PI]:[(mesures compensatoires du PC ou autres)]],5,FALSE)*(1+$B$1)</f>
        <v>-435164.77499999997</v>
      </c>
      <c r="K36" s="228">
        <v>-30240.000000000004</v>
      </c>
      <c r="L36" s="228"/>
      <c r="M36" s="229">
        <v>0</v>
      </c>
      <c r="N36" s="229">
        <v>0</v>
      </c>
      <c r="O36" s="229">
        <v>0</v>
      </c>
      <c r="P36" s="229">
        <v>-4025</v>
      </c>
      <c r="Q36" s="229">
        <f>-250*'OPX_BN+1'!$E36</f>
        <v>-2875</v>
      </c>
      <c r="R36" s="274">
        <f>SUM('OPX_BN+1'!$K36:$Q36)</f>
        <v>-37140</v>
      </c>
      <c r="S36" s="337">
        <f>VLOOKUP(Tableau17[[#This Row],[CODE PI]],Tableau16[[CODE PI]:[(mesures compensatoires du PC ou autres)]],14,FALSE)*(1+$B$1)</f>
        <v>0</v>
      </c>
      <c r="T36" s="423">
        <v>0</v>
      </c>
      <c r="U36" s="341">
        <v>0</v>
      </c>
      <c r="V36" s="423">
        <v>-5000</v>
      </c>
      <c r="W36" s="423">
        <v>0</v>
      </c>
      <c r="X36" s="423">
        <v>0</v>
      </c>
      <c r="Y36" s="423">
        <v>0</v>
      </c>
      <c r="Z36" s="264">
        <f>-250*Tableau17[[#This Row],[MW]]</f>
        <v>-2875</v>
      </c>
      <c r="AA36" s="423"/>
      <c r="AB36" s="273">
        <f>SUM('OPX_BN+1'!$T36:$AA36)</f>
        <v>-7875</v>
      </c>
      <c r="AC36" s="426"/>
      <c r="AD36" s="426">
        <f t="shared" ref="AD36:AD45" si="1">-4924*1.025</f>
        <v>-5047.0999999999995</v>
      </c>
      <c r="AE36" s="417">
        <v>-35000</v>
      </c>
      <c r="AF36" s="417">
        <v>-10000</v>
      </c>
      <c r="AG36" s="417">
        <v>-40000</v>
      </c>
      <c r="AH36" s="417">
        <v>0</v>
      </c>
      <c r="AI36" s="417">
        <v>0</v>
      </c>
      <c r="AJ36" s="371">
        <f>SUM('OPX_BN+1'!$AC36:$AI36)</f>
        <v>-90047.1</v>
      </c>
      <c r="AK36" s="424"/>
      <c r="AL36" s="276">
        <f>SUM('OPX_BN+1'!$J36,'OPX_BN+1'!$AB36,'OPX_BN+1'!$S36,'OPX_BN+1'!$AJ36,'OPX_BN+1'!$R36,'OPX_BN+1'!$AK36)</f>
        <v>-570226.875</v>
      </c>
      <c r="AM36" s="427"/>
    </row>
    <row r="37" spans="1:39" ht="15">
      <c r="A37" s="244" t="s">
        <v>471</v>
      </c>
      <c r="B37" s="320" t="str">
        <f>VLOOKUP('OPX_BN+1'!$A37,Tableau106[],3,FALSE)</f>
        <v>A043</v>
      </c>
      <c r="C37" s="320" t="str">
        <f>VLOOKUP('OPX_BN+1'!$A37,Tableau106[],2,FALSE)</f>
        <v>FR97S77E</v>
      </c>
      <c r="D37" s="320" t="str">
        <f>VLOOKUP('OPX_BN+1'!$A37,Tableau106[],8,FALSE)</f>
        <v>SOLAIRE DOM</v>
      </c>
      <c r="E37" s="321">
        <f>VLOOKUP('OPX_BN+1'!$A37,Tableau106[],4,FALSE)</f>
        <v>0.68200000000000005</v>
      </c>
      <c r="F37" s="322" t="str">
        <f>VLOOKUP('OPX_BN+1'!$A37,Tableau106[],5,FALSE)</f>
        <v>CESA</v>
      </c>
      <c r="G37" s="322" t="str">
        <f>VLOOKUP('OPX_BN+1'!$A37,Tableau106[],7,FALSE)</f>
        <v>GROUPE</v>
      </c>
      <c r="H37" s="322" t="str">
        <f>VLOOKUP('OPX_BN+1'!$A37,Tableau106[],6,FALSE)</f>
        <v>DOM</v>
      </c>
      <c r="I37" s="372" t="str">
        <f>VLOOKUP(Tableau17[[#This Row],[OPEX VARIABLES en €
BN 2024]],Tableau106[],9,FALSE)</f>
        <v>DoJ</v>
      </c>
      <c r="J37" s="360">
        <f>VLOOKUP(Tableau17[[#This Row],[CODE PI]],Tableau16[[CODE PI]:[(mesures compensatoires du PC ou autres)]],5,FALSE)*(1+$B$1)</f>
        <v>0</v>
      </c>
      <c r="K37" s="228">
        <v>0</v>
      </c>
      <c r="L37" s="228"/>
      <c r="M37" s="229">
        <v>0</v>
      </c>
      <c r="N37" s="229">
        <v>0</v>
      </c>
      <c r="O37" s="229">
        <v>0</v>
      </c>
      <c r="P37" s="229">
        <v>0</v>
      </c>
      <c r="Q37" s="229">
        <f>-250*'OPX_BN+1'!$E37</f>
        <v>-170.5</v>
      </c>
      <c r="R37" s="274">
        <f>SUM('OPX_BN+1'!$K37:$Q37)</f>
        <v>-170.5</v>
      </c>
      <c r="S37" s="337">
        <f>VLOOKUP(Tableau17[[#This Row],[CODE PI]],Tableau16[[CODE PI]:[(mesures compensatoires du PC ou autres)]],14,FALSE)*(1+$B$1)</f>
        <v>-34381.574999999997</v>
      </c>
      <c r="T37" s="361">
        <v>-3500</v>
      </c>
      <c r="U37" s="341">
        <v>0</v>
      </c>
      <c r="V37" s="423">
        <v>0</v>
      </c>
      <c r="W37" s="423">
        <v>-1200</v>
      </c>
      <c r="X37" s="423">
        <v>0</v>
      </c>
      <c r="Y37" s="423">
        <v>0</v>
      </c>
      <c r="Z37" s="264">
        <f>-250*Tableau17[[#This Row],[MW]]</f>
        <v>-170.5</v>
      </c>
      <c r="AA37" s="423">
        <f>-149552*0.002</f>
        <v>-299.10399999999998</v>
      </c>
      <c r="AB37" s="273">
        <f>SUM('OPX_BN+1'!$T37:$AA37)</f>
        <v>-5169.6040000000003</v>
      </c>
      <c r="AC37" s="426"/>
      <c r="AD37" s="426"/>
      <c r="AE37" s="417">
        <v>0</v>
      </c>
      <c r="AF37" s="417">
        <v>0</v>
      </c>
      <c r="AG37" s="417">
        <v>0</v>
      </c>
      <c r="AH37" s="417">
        <v>0</v>
      </c>
      <c r="AI37" s="417">
        <v>0</v>
      </c>
      <c r="AJ37" s="371">
        <f>SUM('OPX_BN+1'!$AC37:$AI37)</f>
        <v>0</v>
      </c>
      <c r="AK37" s="424"/>
      <c r="AL37" s="276">
        <f>SUM('OPX_BN+1'!$J37,'OPX_BN+1'!$AB37,'OPX_BN+1'!$S37,'OPX_BN+1'!$AJ37,'OPX_BN+1'!$R37,'OPX_BN+1'!$AK37)</f>
        <v>-39721.678999999996</v>
      </c>
      <c r="AM37" s="427"/>
    </row>
    <row r="38" spans="1:39" ht="15">
      <c r="A38" s="325" t="s">
        <v>83</v>
      </c>
      <c r="B38" s="320" t="str">
        <f>VLOOKUP('OPX_BN+1'!$A38,Tableau106[],3,FALSE)</f>
        <v>A253</v>
      </c>
      <c r="C38" s="320" t="str">
        <f>VLOOKUP('OPX_BN+1'!$A38,Tableau106[],2,FALSE)</f>
        <v>FR21S01E</v>
      </c>
      <c r="D38" s="320" t="str">
        <f>VLOOKUP('OPX_BN+1'!$A38,Tableau106[],8,FALSE)</f>
        <v>SOLAIRE</v>
      </c>
      <c r="E38" s="321">
        <f>VLOOKUP('OPX_BN+1'!$A38,Tableau106[],4,FALSE)</f>
        <v>15.5</v>
      </c>
      <c r="F38" s="322" t="str">
        <f>VLOOKUP('OPX_BN+1'!$A38,Tableau106[],5,FALSE)</f>
        <v>DIJO</v>
      </c>
      <c r="G38" s="322" t="str">
        <f>VLOOKUP('OPX_BN+1'!$A38,Tableau106[],7,FALSE)</f>
        <v>GROUPE</v>
      </c>
      <c r="H38" s="322" t="str">
        <f>VLOOKUP('OPX_BN+1'!$A38,Tableau106[],6,FALSE)</f>
        <v>N</v>
      </c>
      <c r="I38" s="372" t="str">
        <f>VLOOKUP(Tableau17[[#This Row],[OPEX VARIABLES en €
BN 2024]],Tableau106[],9,FALSE)</f>
        <v>LoG</v>
      </c>
      <c r="J38" s="360">
        <f>-92027</f>
        <v>-92027</v>
      </c>
      <c r="K38" s="228">
        <v>-10620.000000000002</v>
      </c>
      <c r="L38" s="228"/>
      <c r="M38" s="229">
        <v>0</v>
      </c>
      <c r="N38" s="229">
        <v>0</v>
      </c>
      <c r="O38" s="229">
        <v>0</v>
      </c>
      <c r="P38" s="229">
        <v>0</v>
      </c>
      <c r="Q38" s="229">
        <f>-250*'OPX_BN+1'!$E38</f>
        <v>-3875</v>
      </c>
      <c r="R38" s="274">
        <f>SUM('OPX_BN+1'!$K38:$Q38)</f>
        <v>-14495.000000000002</v>
      </c>
      <c r="S38" s="337">
        <f>VLOOKUP(Tableau17[[#This Row],[CODE PI]],Tableau16[[CODE PI]:[(mesures compensatoires du PC ou autres)]],14,FALSE)*(1+$B$1)</f>
        <v>0</v>
      </c>
      <c r="T38" s="423">
        <v>0</v>
      </c>
      <c r="U38" s="341">
        <v>0</v>
      </c>
      <c r="V38" s="423">
        <v>0</v>
      </c>
      <c r="W38" s="423">
        <v>0</v>
      </c>
      <c r="X38" s="423">
        <v>0</v>
      </c>
      <c r="Y38" s="423">
        <v>0</v>
      </c>
      <c r="Z38" s="264">
        <f>-250*Tableau17[[#This Row],[MW]]</f>
        <v>-3875</v>
      </c>
      <c r="AA38" s="423"/>
      <c r="AB38" s="273">
        <f>SUM('OPX_BN+1'!$T38:$AA38)</f>
        <v>-3875</v>
      </c>
      <c r="AC38" s="426"/>
      <c r="AD38" s="426"/>
      <c r="AE38" s="417">
        <v>0</v>
      </c>
      <c r="AF38" s="417">
        <v>0</v>
      </c>
      <c r="AG38" s="417">
        <v>0</v>
      </c>
      <c r="AH38" s="417">
        <v>-6000</v>
      </c>
      <c r="AI38" s="417">
        <v>0</v>
      </c>
      <c r="AJ38" s="371">
        <f>SUM('OPX_BN+1'!$AC38:$AI38)</f>
        <v>-6000</v>
      </c>
      <c r="AK38" s="424"/>
      <c r="AL38" s="276">
        <f>SUM('OPX_BN+1'!$J38,'OPX_BN+1'!$AB38,'OPX_BN+1'!$S38,'OPX_BN+1'!$AJ38,'OPX_BN+1'!$R38,'OPX_BN+1'!$AK38)</f>
        <v>-116397</v>
      </c>
      <c r="AM38" s="427"/>
    </row>
    <row r="39" spans="1:39" ht="15">
      <c r="A39" s="244" t="s">
        <v>472</v>
      </c>
      <c r="B39" s="320" t="str">
        <f>VLOOKUP('OPX_BN+1'!$A39,Tableau106[],3,FALSE)</f>
        <v>A257</v>
      </c>
      <c r="C39" s="320" t="str">
        <f>VLOOKUP('OPX_BN+1'!$A39,Tableau106[],2,FALSE)</f>
        <v>FR71S06E</v>
      </c>
      <c r="D39" s="320" t="str">
        <f>VLOOKUP('OPX_BN+1'!$A39,Tableau106[],8,FALSE)</f>
        <v>SOLAIRE</v>
      </c>
      <c r="E39" s="321">
        <f>VLOOKUP('OPX_BN+1'!$A39,Tableau106[],4,FALSE)</f>
        <v>4.4000000000000004</v>
      </c>
      <c r="F39" s="322" t="str">
        <f>VLOOKUP('OPX_BN+1'!$A39,Tableau106[],5,FALSE)</f>
        <v>CHAG</v>
      </c>
      <c r="G39" s="322" t="str">
        <f>VLOOKUP('OPX_BN+1'!$A39,Tableau106[],7,FALSE)</f>
        <v>GROUPE</v>
      </c>
      <c r="H39" s="322" t="str">
        <f>VLOOKUP('OPX_BN+1'!$A39,Tableau106[],6,FALSE)</f>
        <v>N</v>
      </c>
      <c r="I39" s="372" t="str">
        <f>VLOOKUP(Tableau17[[#This Row],[OPEX VARIABLES en €
BN 2024]],Tableau106[],9,FALSE)</f>
        <v>LoG</v>
      </c>
      <c r="J39" s="360">
        <f>-47666</f>
        <v>-47666</v>
      </c>
      <c r="K39" s="228">
        <v>-1940</v>
      </c>
      <c r="L39" s="228"/>
      <c r="M39" s="229">
        <v>0</v>
      </c>
      <c r="N39" s="229">
        <v>0</v>
      </c>
      <c r="O39" s="229">
        <v>0</v>
      </c>
      <c r="P39" s="229">
        <v>0</v>
      </c>
      <c r="Q39" s="229">
        <f>-250*'OPX_BN+1'!$E39</f>
        <v>-1100</v>
      </c>
      <c r="R39" s="274">
        <f>SUM('OPX_BN+1'!$K39:$Q39)</f>
        <v>-3040</v>
      </c>
      <c r="S39" s="337">
        <f>VLOOKUP(Tableau17[[#This Row],[CODE PI]],Tableau16[[CODE PI]:[(mesures compensatoires du PC ou autres)]],14,FALSE)*(1+$B$1)</f>
        <v>0</v>
      </c>
      <c r="T39" s="423">
        <v>0</v>
      </c>
      <c r="U39" s="341">
        <v>0</v>
      </c>
      <c r="V39" s="423">
        <v>0</v>
      </c>
      <c r="W39" s="423">
        <v>0</v>
      </c>
      <c r="X39" s="423">
        <v>0</v>
      </c>
      <c r="Y39" s="423">
        <v>0</v>
      </c>
      <c r="Z39" s="264">
        <f>-250*Tableau17[[#This Row],[MW]]</f>
        <v>-1100</v>
      </c>
      <c r="AA39" s="423"/>
      <c r="AB39" s="273">
        <f>SUM('OPX_BN+1'!$T39:$AA39)</f>
        <v>-1100</v>
      </c>
      <c r="AC39" s="426"/>
      <c r="AD39" s="426"/>
      <c r="AE39" s="417">
        <v>0</v>
      </c>
      <c r="AF39" s="417">
        <v>0</v>
      </c>
      <c r="AG39" s="417">
        <v>0</v>
      </c>
      <c r="AH39" s="417">
        <v>-3843.25</v>
      </c>
      <c r="AI39" s="417">
        <v>0</v>
      </c>
      <c r="AJ39" s="371">
        <f>SUM('OPX_BN+1'!$AC39:$AI39)</f>
        <v>-3843.25</v>
      </c>
      <c r="AK39" s="424"/>
      <c r="AL39" s="276">
        <f>SUM('OPX_BN+1'!$J39,'OPX_BN+1'!$AB39,'OPX_BN+1'!$S39,'OPX_BN+1'!$AJ39,'OPX_BN+1'!$R39,'OPX_BN+1'!$AK39)</f>
        <v>-55649.25</v>
      </c>
      <c r="AM39" s="427"/>
    </row>
    <row r="40" spans="1:39" ht="15">
      <c r="A40" s="244" t="s">
        <v>538</v>
      </c>
      <c r="B40" s="320" t="str">
        <f>VLOOKUP('OPX_BN+1'!$A40,Tableau106[],3,FALSE)</f>
        <v>A992</v>
      </c>
      <c r="C40" s="320" t="str">
        <f>VLOOKUP('OPX_BN+1'!$A40,Tableau106[],2,FALSE)</f>
        <v>FR89E03E</v>
      </c>
      <c r="D40" s="320" t="str">
        <f>VLOOKUP('OPX_BN+1'!$A40,Tableau106[],8,FALSE)</f>
        <v>EOLIEN</v>
      </c>
      <c r="E40" s="321">
        <f>VLOOKUP('OPX_BN+1'!$A40,Tableau106[],4,FALSE)</f>
        <v>21.700000000000003</v>
      </c>
      <c r="F40" s="322" t="str">
        <f>VLOOKUP('OPX_BN+1'!$A40,Tableau106[],5,FALSE)</f>
        <v>GOUR</v>
      </c>
      <c r="G40" s="322" t="str">
        <f>VLOOKUP('OPX_BN+1'!$A40,Tableau106[],7,FALSE)</f>
        <v>GROUPE</v>
      </c>
      <c r="H40" s="322" t="str">
        <f>VLOOKUP('OPX_BN+1'!$A40,Tableau106[],6,FALSE)</f>
        <v>N</v>
      </c>
      <c r="I40" s="372" t="str">
        <f>VLOOKUP(Tableau17[[#This Row],[OPEX VARIABLES en €
BN 2024]],Tableau106[],9,FALSE)</f>
        <v>LoH</v>
      </c>
      <c r="J40" s="360">
        <f>VLOOKUP(Tableau17[[#This Row],[CODE PI]],Tableau16[[CODE PI]:[(mesures compensatoires du PC ou autres)]],5,FALSE)*(1+$B$1)</f>
        <v>-21294.374999999996</v>
      </c>
      <c r="K40" s="228">
        <v>-2070.0000000000005</v>
      </c>
      <c r="L40" s="228"/>
      <c r="M40" s="229">
        <v>0</v>
      </c>
      <c r="N40" s="229">
        <v>0</v>
      </c>
      <c r="O40" s="229">
        <v>0</v>
      </c>
      <c r="P40" s="229">
        <f>-440*Tableau17[[#This Row],[MW]]</f>
        <v>-9548.0000000000018</v>
      </c>
      <c r="Q40" s="229">
        <f>-250*'OPX_BN+1'!$E40</f>
        <v>-5425.0000000000009</v>
      </c>
      <c r="R40" s="274">
        <f>SUM('OPX_BN+1'!$K40:$Q40)</f>
        <v>-17043.000000000004</v>
      </c>
      <c r="S40" s="337">
        <f>VLOOKUP(Tableau17[[#This Row],[CODE PI]],Tableau16[[CODE PI]:[(mesures compensatoires du PC ou autres)]],14,FALSE)*(1+$B$1)</f>
        <v>-317750</v>
      </c>
      <c r="T40" s="423">
        <v>0</v>
      </c>
      <c r="U40" s="341">
        <v>0</v>
      </c>
      <c r="V40" s="423">
        <v>0</v>
      </c>
      <c r="W40" s="423">
        <v>-3650</v>
      </c>
      <c r="X40" s="423">
        <v>0</v>
      </c>
      <c r="Y40" s="423">
        <v>0</v>
      </c>
      <c r="Z40" s="264">
        <f>-250*Tableau17[[#This Row],[MW]]</f>
        <v>-5425.0000000000009</v>
      </c>
      <c r="AA40" s="423"/>
      <c r="AB40" s="273">
        <f>SUM('OPX_BN+1'!$T40:$AA40)</f>
        <v>-9075</v>
      </c>
      <c r="AC40" s="426">
        <v>-12500</v>
      </c>
      <c r="AD40" s="426">
        <f t="shared" si="1"/>
        <v>-5047.0999999999995</v>
      </c>
      <c r="AE40" s="417">
        <v>0</v>
      </c>
      <c r="AF40" s="417">
        <v>-10000</v>
      </c>
      <c r="AG40" s="417">
        <v>-40000</v>
      </c>
      <c r="AH40" s="417">
        <v>-35000</v>
      </c>
      <c r="AI40" s="417">
        <v>0</v>
      </c>
      <c r="AJ40" s="371">
        <f>SUM('OPX_BN+1'!$AC40:$AI40)</f>
        <v>-102547.1</v>
      </c>
      <c r="AK40" s="424"/>
      <c r="AL40" s="276">
        <f>SUM('OPX_BN+1'!$J40,'OPX_BN+1'!$AB40,'OPX_BN+1'!$S40,'OPX_BN+1'!$AJ40,'OPX_BN+1'!$R40,'OPX_BN+1'!$AK40)</f>
        <v>-467709.47499999998</v>
      </c>
      <c r="AM40" s="427">
        <v>-184200</v>
      </c>
    </row>
    <row r="41" spans="1:39" ht="15">
      <c r="A41" s="325" t="s">
        <v>524</v>
      </c>
      <c r="B41" s="320" t="str">
        <f>VLOOKUP('OPX_BN+1'!$A41,Tableau106[],3,FALSE)</f>
        <v>A419</v>
      </c>
      <c r="C41" s="320" t="str">
        <f>VLOOKUP('OPX_BN+1'!$A41,Tableau106[],2,FALSE)</f>
        <v>FR02E02E</v>
      </c>
      <c r="D41" s="320" t="str">
        <f>VLOOKUP('OPX_BN+1'!$A41,Tableau106[],8,FALSE)</f>
        <v>EOLIEN</v>
      </c>
      <c r="E41" s="321">
        <f>VLOOKUP('OPX_BN+1'!$A41,Tableau106[],4,FALSE)</f>
        <v>72</v>
      </c>
      <c r="F41" s="322" t="str">
        <f>VLOOKUP('OPX_BN+1'!$A41,Tableau106[],5,FALSE)</f>
        <v>CHPI</v>
      </c>
      <c r="G41" s="322" t="str">
        <f>VLOOKUP('OPX_BN+1'!$A41,Tableau106[],7,FALSE)</f>
        <v>GROUPE</v>
      </c>
      <c r="H41" s="322" t="str">
        <f>VLOOKUP('OPX_BN+1'!$A41,Tableau106[],6,FALSE)</f>
        <v>N</v>
      </c>
      <c r="I41" s="372" t="str">
        <f>VLOOKUP(Tableau17[[#This Row],[OPEX VARIABLES en €
BN 2024]],Tableau106[],9,FALSE)</f>
        <v>MéS</v>
      </c>
      <c r="J41" s="360">
        <f>VLOOKUP(Tableau17[[#This Row],[CODE PI]],Tableau16[[CODE PI]:[(mesures compensatoires du PC ou autres)]],5,FALSE)*(1+$B$1)</f>
        <v>-1583273.4249999998</v>
      </c>
      <c r="K41" s="228">
        <v>-43690</v>
      </c>
      <c r="L41" s="228"/>
      <c r="M41" s="229">
        <v>0</v>
      </c>
      <c r="N41" s="229">
        <f>-5311</f>
        <v>-5311</v>
      </c>
      <c r="O41" s="385">
        <v>-3189</v>
      </c>
      <c r="P41" s="229">
        <f>-440*Tableau17[[#This Row],[MW]]</f>
        <v>-31680</v>
      </c>
      <c r="Q41" s="229">
        <f>-250*'OPX_BN+1'!$E41</f>
        <v>-18000</v>
      </c>
      <c r="R41" s="274">
        <f>SUM('OPX_BN+1'!$K41:$Q41)</f>
        <v>-101870</v>
      </c>
      <c r="S41" s="337">
        <f>VLOOKUP(Tableau17[[#This Row],[CODE PI]],Tableau16[[CODE PI]:[(mesures compensatoires du PC ou autres)]],14,FALSE)*(1+$B$1)</f>
        <v>0</v>
      </c>
      <c r="T41" s="423">
        <v>0</v>
      </c>
      <c r="U41" s="341">
        <v>0</v>
      </c>
      <c r="V41" s="386">
        <v>-4426</v>
      </c>
      <c r="W41" s="386">
        <v>-41901</v>
      </c>
      <c r="X41" s="386">
        <v>-4000</v>
      </c>
      <c r="Y41" s="423">
        <v>0</v>
      </c>
      <c r="Z41" s="264">
        <f>-250*Tableau17[[#This Row],[MW]]</f>
        <v>-18000</v>
      </c>
      <c r="AA41" s="423"/>
      <c r="AB41" s="273">
        <f>SUM('OPX_BN+1'!$T41:$AA41)</f>
        <v>-68327</v>
      </c>
      <c r="AC41" s="426"/>
      <c r="AD41" s="426">
        <f t="shared" si="1"/>
        <v>-5047.0999999999995</v>
      </c>
      <c r="AE41" s="417">
        <v>0</v>
      </c>
      <c r="AF41" s="417">
        <v>0</v>
      </c>
      <c r="AG41" s="417">
        <v>0</v>
      </c>
      <c r="AH41" s="417">
        <v>0</v>
      </c>
      <c r="AI41" s="417">
        <v>0</v>
      </c>
      <c r="AJ41" s="371">
        <f>SUM('OPX_BN+1'!$AC41:$AI41)</f>
        <v>-5047.0999999999995</v>
      </c>
      <c r="AK41" s="424"/>
      <c r="AL41" s="276">
        <f>SUM('OPX_BN+1'!$J41,'OPX_BN+1'!$AB41,'OPX_BN+1'!$S41,'OPX_BN+1'!$AJ41,'OPX_BN+1'!$R41,'OPX_BN+1'!$AK41)</f>
        <v>-1758517.5249999999</v>
      </c>
      <c r="AM41" s="427"/>
    </row>
    <row r="42" spans="1:39" ht="15">
      <c r="A42" s="244" t="s">
        <v>92</v>
      </c>
      <c r="B42" s="320" t="str">
        <f>VLOOKUP('OPX_BN+1'!$A42,Tableau106[],3,FALSE)</f>
        <v>F212</v>
      </c>
      <c r="C42" s="320" t="str">
        <f>VLOOKUP('OPX_BN+1'!$A42,Tableau106[],2,FALSE)</f>
        <v>FR10E01E</v>
      </c>
      <c r="D42" s="320" t="str">
        <f>VLOOKUP('OPX_BN+1'!$A42,Tableau106[],8,FALSE)</f>
        <v>EOLIEN</v>
      </c>
      <c r="E42" s="321">
        <f>VLOOKUP('OPX_BN+1'!$A42,Tableau106[],4,FALSE)</f>
        <v>18</v>
      </c>
      <c r="F42" s="322" t="str">
        <f>VLOOKUP('OPX_BN+1'!$A42,Tableau106[],5,FALSE)</f>
        <v>CPE1, CPE2</v>
      </c>
      <c r="G42" s="322" t="str">
        <f>VLOOKUP('OPX_BN+1'!$A42,Tableau106[],7,FALSE)</f>
        <v>FUTUREN</v>
      </c>
      <c r="H42" s="322" t="str">
        <f>VLOOKUP('OPX_BN+1'!$A42,Tableau106[],6,FALSE)</f>
        <v>N</v>
      </c>
      <c r="I42" s="372" t="str">
        <f>VLOOKUP(Tableau17[[#This Row],[OPEX VARIABLES en €
BN 2024]],Tableau106[],9,FALSE)</f>
        <v>AlY</v>
      </c>
      <c r="J42" s="254">
        <v>-20988</v>
      </c>
      <c r="K42" s="228">
        <v>-2760.0000000000005</v>
      </c>
      <c r="L42" s="228"/>
      <c r="M42" s="229">
        <v>0</v>
      </c>
      <c r="N42" s="229">
        <v>0</v>
      </c>
      <c r="O42" s="229">
        <v>0</v>
      </c>
      <c r="P42" s="229">
        <f>-440*Tableau17[[#This Row],[MW]]</f>
        <v>-7920</v>
      </c>
      <c r="Q42" s="229">
        <f>-250*'OPX_BN+1'!$E42</f>
        <v>-4500</v>
      </c>
      <c r="R42" s="274">
        <f>SUM('OPX_BN+1'!$K42:$Q42)</f>
        <v>-15180</v>
      </c>
      <c r="S42" s="337">
        <f>VLOOKUP(Tableau17[[#This Row],[CODE PI]],Tableau16[[CODE PI]:[(mesures compensatoires du PC ou autres)]],14,FALSE)*(1+$B$1)</f>
        <v>-565394.1</v>
      </c>
      <c r="T42" s="423">
        <v>0</v>
      </c>
      <c r="U42" s="341">
        <v>0</v>
      </c>
      <c r="V42" s="423">
        <v>-3160</v>
      </c>
      <c r="W42" s="423">
        <v>-4050</v>
      </c>
      <c r="X42" s="423">
        <v>0</v>
      </c>
      <c r="Y42" s="423">
        <v>0</v>
      </c>
      <c r="Z42" s="264">
        <f>-250*Tableau17[[#This Row],[MW]]</f>
        <v>-4500</v>
      </c>
      <c r="AA42" s="423"/>
      <c r="AB42" s="273">
        <f>SUM('OPX_BN+1'!$T42:$AA42)</f>
        <v>-11710</v>
      </c>
      <c r="AC42" s="426"/>
      <c r="AD42" s="426">
        <f t="shared" si="1"/>
        <v>-5047.0999999999995</v>
      </c>
      <c r="AE42" s="417">
        <v>0</v>
      </c>
      <c r="AF42" s="417">
        <v>0</v>
      </c>
      <c r="AG42" s="417">
        <v>0</v>
      </c>
      <c r="AH42" s="417">
        <v>0</v>
      </c>
      <c r="AI42" s="417">
        <v>-10000</v>
      </c>
      <c r="AJ42" s="371">
        <f>SUM('OPX_BN+1'!$AC42:$AI42)</f>
        <v>-15047.099999999999</v>
      </c>
      <c r="AK42" s="424"/>
      <c r="AL42" s="276">
        <f>SUM('OPX_BN+1'!$J42,'OPX_BN+1'!$AB42,'OPX_BN+1'!$S42,'OPX_BN+1'!$AJ42,'OPX_BN+1'!$R42,'OPX_BN+1'!$AK42)</f>
        <v>-628319.19999999995</v>
      </c>
      <c r="AM42" s="427"/>
    </row>
    <row r="43" spans="1:39" ht="15">
      <c r="A43" s="325" t="s">
        <v>476</v>
      </c>
      <c r="B43" s="320" t="str">
        <f>VLOOKUP('OPX_BN+1'!$A43,Tableau106[],3,FALSE)</f>
        <v>A290</v>
      </c>
      <c r="C43" s="320" t="str">
        <f>VLOOKUP('OPX_BN+1'!$A43,Tableau106[],2,FALSE)</f>
        <v>FR86S03E</v>
      </c>
      <c r="D43" s="320" t="str">
        <f>VLOOKUP('OPX_BN+1'!$A43,Tableau106[],8,FALSE)</f>
        <v>SOLAIRE</v>
      </c>
      <c r="E43" s="321">
        <f>VLOOKUP('OPX_BN+1'!$A43,Tableau106[],4,FALSE)</f>
        <v>5.5</v>
      </c>
      <c r="F43" s="322" t="str">
        <f>VLOOKUP('OPX_BN+1'!$A43,Tableau106[],5,FALSE)</f>
        <v>CIVA</v>
      </c>
      <c r="G43" s="322" t="str">
        <f>VLOOKUP('OPX_BN+1'!$A43,Tableau106[],7,FALSE)</f>
        <v>GROUPE</v>
      </c>
      <c r="H43" s="322" t="str">
        <f>VLOOKUP('OPX_BN+1'!$A43,Tableau106[],6,FALSE)</f>
        <v>N</v>
      </c>
      <c r="I43" s="372" t="str">
        <f>VLOOKUP(Tableau17[[#This Row],[OPEX VARIABLES en €
BN 2024]],Tableau106[],9,FALSE)</f>
        <v>ArB</v>
      </c>
      <c r="J43" s="360">
        <f>VLOOKUP(Tableau17[[#This Row],[CODE PI]],Tableau16[[CODE PI]:[(mesures compensatoires du PC ou autres)]],5,FALSE)*(1+$B$1)</f>
        <v>0</v>
      </c>
      <c r="K43" s="228">
        <v>0</v>
      </c>
      <c r="L43" s="228"/>
      <c r="M43" s="229">
        <v>0</v>
      </c>
      <c r="N43" s="229">
        <v>0</v>
      </c>
      <c r="O43" s="229">
        <v>0</v>
      </c>
      <c r="P43" s="229">
        <v>0</v>
      </c>
      <c r="Q43" s="229">
        <f>-250*'OPX_BN+1'!$E43</f>
        <v>-1375</v>
      </c>
      <c r="R43" s="274">
        <f>SUM('OPX_BN+1'!$K43:$Q43)</f>
        <v>-1375</v>
      </c>
      <c r="S43" s="337">
        <f>VLOOKUP(Tableau17[[#This Row],[CODE PI]],Tableau16[[CODE PI]:[(mesures compensatoires du PC ou autres)]],14,FALSE)*(1+$B$1)</f>
        <v>-34850</v>
      </c>
      <c r="T43" s="423">
        <v>0</v>
      </c>
      <c r="U43" s="341">
        <v>0</v>
      </c>
      <c r="V43" s="423">
        <v>0</v>
      </c>
      <c r="W43" s="423">
        <v>0</v>
      </c>
      <c r="X43" s="423">
        <v>0</v>
      </c>
      <c r="Y43" s="423">
        <v>0</v>
      </c>
      <c r="Z43" s="264">
        <f>-250*Tableau17[[#This Row],[MW]]</f>
        <v>-1375</v>
      </c>
      <c r="AA43" s="423"/>
      <c r="AB43" s="273">
        <f>SUM('OPX_BN+1'!$T43:$AA43)</f>
        <v>-1375</v>
      </c>
      <c r="AC43" s="426"/>
      <c r="AD43" s="426"/>
      <c r="AE43" s="417">
        <v>0</v>
      </c>
      <c r="AF43" s="417">
        <v>0</v>
      </c>
      <c r="AG43" s="417">
        <v>0</v>
      </c>
      <c r="AH43" s="417">
        <v>-6000</v>
      </c>
      <c r="AI43" s="417">
        <v>0</v>
      </c>
      <c r="AJ43" s="371">
        <f>SUM('OPX_BN+1'!$AC43:$AI43)</f>
        <v>-6000</v>
      </c>
      <c r="AK43" s="424"/>
      <c r="AL43" s="276">
        <f>SUM('OPX_BN+1'!$J43,'OPX_BN+1'!$AB43,'OPX_BN+1'!$S43,'OPX_BN+1'!$AJ43,'OPX_BN+1'!$R43,'OPX_BN+1'!$AK43)</f>
        <v>-43600</v>
      </c>
      <c r="AM43" s="427"/>
    </row>
    <row r="44" spans="1:39" ht="15">
      <c r="A44" s="244" t="s">
        <v>570</v>
      </c>
      <c r="B44" s="320" t="str">
        <f>VLOOKUP('OPX_BN+1'!$A44,Tableau106[],3,FALSE)</f>
        <v>A532</v>
      </c>
      <c r="C44" s="320" t="str">
        <f>VLOOKUP('OPX_BN+1'!$A44,Tableau106[],2,FALSE)</f>
        <v>FR51E03E</v>
      </c>
      <c r="D44" s="320" t="str">
        <f>VLOOKUP('OPX_BN+1'!$A44,Tableau106[],8,FALSE)</f>
        <v>EOLIEN</v>
      </c>
      <c r="E44" s="321">
        <f>VLOOKUP('OPX_BN+1'!$A44,Tableau106[],4,FALSE)</f>
        <v>10.02</v>
      </c>
      <c r="F44" s="322" t="str">
        <f>VLOOKUP('OPX_BN+1'!$A44,Tableau106[],5,FALSE)</f>
        <v>CLAM</v>
      </c>
      <c r="G44" s="322" t="str">
        <f>VLOOKUP('OPX_BN+1'!$A44,Tableau106[],7,FALSE)</f>
        <v>GROUPE</v>
      </c>
      <c r="H44" s="322" t="str">
        <f>VLOOKUP('OPX_BN+1'!$A44,Tableau106[],6,FALSE)</f>
        <v>N</v>
      </c>
      <c r="I44" s="372" t="str">
        <f>VLOOKUP(Tableau17[[#This Row],[OPEX VARIABLES en €
BN 2024]],Tableau106[],9,FALSE)</f>
        <v>AyB</v>
      </c>
      <c r="J44" s="360">
        <f>VLOOKUP(Tableau17[[#This Row],[CODE PI]],Tableau16[[CODE PI]:[(mesures compensatoires du PC ou autres)]],5,FALSE)*(1+$B$1)</f>
        <v>-10987.999999999998</v>
      </c>
      <c r="K44" s="228">
        <v>0</v>
      </c>
      <c r="L44" s="228"/>
      <c r="M44" s="229">
        <v>0</v>
      </c>
      <c r="N44" s="229">
        <v>0</v>
      </c>
      <c r="O44" s="229">
        <v>0</v>
      </c>
      <c r="P44" s="229">
        <f>-440*Tableau17[[#This Row],[MW]]</f>
        <v>-4408.8</v>
      </c>
      <c r="Q44" s="229">
        <f>-250*'OPX_BN+1'!$E44</f>
        <v>-2505</v>
      </c>
      <c r="R44" s="274">
        <f>SUM('OPX_BN+1'!$K44:$Q44)</f>
        <v>-6913.8</v>
      </c>
      <c r="S44" s="337">
        <f>VLOOKUP(Tableau17[[#This Row],[CODE PI]],Tableau16[[CODE PI]:[(mesures compensatoires du PC ou autres)]],14,FALSE)*(1+$B$1)</f>
        <v>-389199.67499999999</v>
      </c>
      <c r="T44" s="423">
        <v>0</v>
      </c>
      <c r="U44" s="341">
        <v>0</v>
      </c>
      <c r="V44" s="423">
        <v>-400</v>
      </c>
      <c r="W44" s="423">
        <v>0</v>
      </c>
      <c r="X44" s="423">
        <v>0</v>
      </c>
      <c r="Y44" s="423">
        <v>0</v>
      </c>
      <c r="Z44" s="264">
        <f>-250*Tableau17[[#This Row],[MW]]</f>
        <v>-2505</v>
      </c>
      <c r="AA44" s="423"/>
      <c r="AB44" s="273">
        <f>SUM('OPX_BN+1'!$T44:$AA44)</f>
        <v>-2905</v>
      </c>
      <c r="AC44" s="426"/>
      <c r="AD44" s="426">
        <f t="shared" si="1"/>
        <v>-5047.0999999999995</v>
      </c>
      <c r="AE44" s="417">
        <v>0</v>
      </c>
      <c r="AF44" s="417">
        <v>-5000</v>
      </c>
      <c r="AG44" s="417">
        <v>-15000</v>
      </c>
      <c r="AH44" s="417">
        <v>0</v>
      </c>
      <c r="AI44" s="417">
        <v>0</v>
      </c>
      <c r="AJ44" s="371">
        <f>SUM('OPX_BN+1'!$AC44:$AI44)</f>
        <v>-25047.1</v>
      </c>
      <c r="AK44" s="424"/>
      <c r="AL44" s="276">
        <f>SUM('OPX_BN+1'!$J44,'OPX_BN+1'!$AB44,'OPX_BN+1'!$S44,'OPX_BN+1'!$AJ44,'OPX_BN+1'!$R44,'OPX_BN+1'!$AK44)</f>
        <v>-435053.57499999995</v>
      </c>
      <c r="AM44" s="427"/>
    </row>
    <row r="45" spans="1:39" ht="15">
      <c r="A45" s="325" t="s">
        <v>567</v>
      </c>
      <c r="B45" s="320" t="str">
        <f>VLOOKUP('OPX_BN+1'!$A45,Tableau106[],3,FALSE)</f>
        <v>A532</v>
      </c>
      <c r="C45" s="320" t="str">
        <f>VLOOKUP('OPX_BN+1'!$A45,Tableau106[],2,FALSE)</f>
        <v>FR51E04E</v>
      </c>
      <c r="D45" s="320" t="str">
        <f>VLOOKUP('OPX_BN+1'!$A45,Tableau106[],8,FALSE)</f>
        <v>EOLIEN</v>
      </c>
      <c r="E45" s="321">
        <f>VLOOKUP('OPX_BN+1'!$A45,Tableau106[],4,FALSE)</f>
        <v>4</v>
      </c>
      <c r="F45" s="322" t="str">
        <f>VLOOKUP('OPX_BN+1'!$A45,Tableau106[],5,FALSE)</f>
        <v>CLA2</v>
      </c>
      <c r="G45" s="322" t="str">
        <f>VLOOKUP('OPX_BN+1'!$A45,Tableau106[],7,FALSE)</f>
        <v>GROUPE</v>
      </c>
      <c r="H45" s="322" t="str">
        <f>VLOOKUP('OPX_BN+1'!$A45,Tableau106[],6,FALSE)</f>
        <v>N</v>
      </c>
      <c r="I45" s="372" t="str">
        <f>VLOOKUP(Tableau17[[#This Row],[OPEX VARIABLES en €
BN 2024]],Tableau106[],9,FALSE)</f>
        <v>AyB</v>
      </c>
      <c r="J45" s="360">
        <f>VLOOKUP(Tableau17[[#This Row],[CODE PI]],Tableau16[[CODE PI]:[(mesures compensatoires du PC ou autres)]],5,FALSE)*(1+$B$1)</f>
        <v>-13219.424999999999</v>
      </c>
      <c r="K45" s="228">
        <v>-1150.0000000000002</v>
      </c>
      <c r="L45" s="228"/>
      <c r="M45" s="229">
        <v>0</v>
      </c>
      <c r="N45" s="229">
        <v>0</v>
      </c>
      <c r="O45" s="229">
        <v>0</v>
      </c>
      <c r="P45" s="229">
        <f>-440*Tableau17[[#This Row],[MW]]</f>
        <v>-1760</v>
      </c>
      <c r="Q45" s="229">
        <f>-250*'OPX_BN+1'!$E45</f>
        <v>-1000</v>
      </c>
      <c r="R45" s="274">
        <f>SUM('OPX_BN+1'!$K45:$Q45)</f>
        <v>-3910</v>
      </c>
      <c r="S45" s="337">
        <f>VLOOKUP(Tableau17[[#This Row],[CODE PI]],Tableau16[[CODE PI]:[(mesures compensatoires du PC ou autres)]],14,FALSE)*(1+$B$1)</f>
        <v>-112543.97499999999</v>
      </c>
      <c r="T45" s="423">
        <v>-900</v>
      </c>
      <c r="U45" s="341">
        <v>0</v>
      </c>
      <c r="V45" s="423">
        <v>-200</v>
      </c>
      <c r="W45" s="423">
        <v>0</v>
      </c>
      <c r="X45" s="423">
        <v>0</v>
      </c>
      <c r="Y45" s="423">
        <v>0</v>
      </c>
      <c r="Z45" s="264">
        <f>-250*Tableau17[[#This Row],[MW]]</f>
        <v>-1000</v>
      </c>
      <c r="AA45" s="423"/>
      <c r="AB45" s="273">
        <f>SUM('OPX_BN+1'!$T45:$AA45)</f>
        <v>-2100</v>
      </c>
      <c r="AC45" s="426"/>
      <c r="AD45" s="426">
        <f t="shared" si="1"/>
        <v>-5047.0999999999995</v>
      </c>
      <c r="AE45" s="417">
        <v>0</v>
      </c>
      <c r="AF45" s="417">
        <v>-5000</v>
      </c>
      <c r="AG45" s="417">
        <v>-15000</v>
      </c>
      <c r="AH45" s="417">
        <v>0</v>
      </c>
      <c r="AI45" s="417">
        <v>0</v>
      </c>
      <c r="AJ45" s="371">
        <f>SUM('OPX_BN+1'!$AC45:$AI45)</f>
        <v>-25047.1</v>
      </c>
      <c r="AK45" s="424"/>
      <c r="AL45" s="276">
        <f>SUM('OPX_BN+1'!$J45,'OPX_BN+1'!$AB45,'OPX_BN+1'!$S45,'OPX_BN+1'!$AJ45,'OPX_BN+1'!$R45,'OPX_BN+1'!$AK45)</f>
        <v>-156820.5</v>
      </c>
      <c r="AM45" s="427"/>
    </row>
    <row r="46" spans="1:39" ht="15">
      <c r="A46" s="244" t="s">
        <v>552</v>
      </c>
      <c r="B46" s="320" t="str">
        <f>VLOOKUP('OPX_BN+1'!$A46,Tableau106[],3,FALSE)</f>
        <v>A535</v>
      </c>
      <c r="C46" s="320" t="str">
        <f>VLOOKUP('OPX_BN+1'!$A46,Tableau106[],2,FALSE)</f>
        <v>FR02E10E</v>
      </c>
      <c r="D46" s="320" t="str">
        <f>VLOOKUP('OPX_BN+1'!$A46,Tableau106[],8,FALSE)</f>
        <v>EOLIEN</v>
      </c>
      <c r="E46" s="321">
        <f>VLOOKUP('OPX_BN+1'!$A46,Tableau106[],4,FALSE)</f>
        <v>15</v>
      </c>
      <c r="F46" s="322" t="str">
        <f>VLOOKUP('OPX_BN+1'!$A46,Tableau106[],5,FALSE)</f>
        <v>CLAN</v>
      </c>
      <c r="G46" s="322" t="str">
        <f>VLOOKUP('OPX_BN+1'!$A46,Tableau106[],7,FALSE)</f>
        <v>FUTUREN</v>
      </c>
      <c r="H46" s="322" t="str">
        <f>VLOOKUP('OPX_BN+1'!$A46,Tableau106[],6,FALSE)</f>
        <v>N</v>
      </c>
      <c r="I46" s="372" t="str">
        <f>VLOOKUP(Tableau17[[#This Row],[OPEX VARIABLES en €
BN 2024]],Tableau106[],9,FALSE)</f>
        <v>NiL</v>
      </c>
      <c r="J46" s="360">
        <f>VLOOKUP(Tableau17[[#This Row],[CODE PI]],Tableau16[[CODE PI]:[(mesures compensatoires du PC ou autres)]],5,FALSE)*(1+$B$1)</f>
        <v>-286017.02499999997</v>
      </c>
      <c r="K46" s="228">
        <v>0</v>
      </c>
      <c r="L46" s="228"/>
      <c r="M46" s="229">
        <v>0</v>
      </c>
      <c r="N46" s="229">
        <v>0</v>
      </c>
      <c r="O46" s="229">
        <v>0</v>
      </c>
      <c r="P46" s="229">
        <v>-4620</v>
      </c>
      <c r="Q46" s="229">
        <f>-250*'OPX_BN+1'!$E46</f>
        <v>-3750</v>
      </c>
      <c r="R46" s="274">
        <f>SUM('OPX_BN+1'!$K46:$Q46)</f>
        <v>-8370</v>
      </c>
      <c r="S46" s="337">
        <f>VLOOKUP(Tableau17[[#This Row],[CODE PI]],Tableau16[[CODE PI]:[(mesures compensatoires du PC ou autres)]],14,FALSE)*(1+$B$1)</f>
        <v>0</v>
      </c>
      <c r="T46" s="423">
        <v>0</v>
      </c>
      <c r="U46" s="341">
        <v>0</v>
      </c>
      <c r="V46" s="423">
        <v>-2000</v>
      </c>
      <c r="W46" s="423">
        <v>0</v>
      </c>
      <c r="X46" s="423">
        <v>0</v>
      </c>
      <c r="Y46" s="423">
        <v>0</v>
      </c>
      <c r="Z46" s="264">
        <f>-250*Tableau17[[#This Row],[MW]]</f>
        <v>-3750</v>
      </c>
      <c r="AA46" s="423"/>
      <c r="AB46" s="273">
        <f>SUM('OPX_BN+1'!$T46:$AA46)</f>
        <v>-5750</v>
      </c>
      <c r="AC46" s="426"/>
      <c r="AD46" s="426"/>
      <c r="AE46" s="417">
        <v>0</v>
      </c>
      <c r="AF46" s="417">
        <v>0</v>
      </c>
      <c r="AG46" s="417">
        <v>0</v>
      </c>
      <c r="AH46" s="417">
        <v>0</v>
      </c>
      <c r="AI46" s="417">
        <v>0</v>
      </c>
      <c r="AJ46" s="371">
        <f>SUM('OPX_BN+1'!$AC46:$AI46)</f>
        <v>0</v>
      </c>
      <c r="AK46" s="424"/>
      <c r="AL46" s="276">
        <f>SUM('OPX_BN+1'!$J46,'OPX_BN+1'!$AB46,'OPX_BN+1'!$S46,'OPX_BN+1'!$AJ46,'OPX_BN+1'!$R46,'OPX_BN+1'!$AK46)</f>
        <v>-300137.02499999997</v>
      </c>
      <c r="AM46" s="427"/>
    </row>
    <row r="47" spans="1:39" ht="15">
      <c r="A47" s="325" t="s">
        <v>468</v>
      </c>
      <c r="B47" s="320" t="str">
        <f>VLOOKUP('OPX_BN+1'!$A47,Tableau106[],3,FALSE)</f>
        <v>A893</v>
      </c>
      <c r="C47" s="320" t="str">
        <f>VLOOKUP('OPX_BN+1'!$A47,Tableau106[],2,FALSE)</f>
        <v>FR50E99E</v>
      </c>
      <c r="D47" s="320" t="str">
        <f>VLOOKUP('OPX_BN+1'!$A47,Tableau106[],8,FALSE)</f>
        <v>EOLIEN</v>
      </c>
      <c r="E47" s="321">
        <f>VLOOKUP('OPX_BN+1'!$A47,Tableau106[],4,FALSE)</f>
        <v>3.3</v>
      </c>
      <c r="F47" s="322" t="str">
        <f>VLOOKUP('OPX_BN+1'!$A47,Tableau106[],5,FALSE)</f>
        <v>CLIT</v>
      </c>
      <c r="G47" s="322" t="str">
        <f>VLOOKUP('OPX_BN+1'!$A47,Tableau106[],7,FALSE)</f>
        <v>GROUPE</v>
      </c>
      <c r="H47" s="322" t="str">
        <f>VLOOKUP('OPX_BN+1'!$A47,Tableau106[],6,FALSE)</f>
        <v>N</v>
      </c>
      <c r="I47" s="372" t="str">
        <f>VLOOKUP(Tableau17[[#This Row],[OPEX VARIABLES en €
BN 2024]],Tableau106[],9,FALSE)</f>
        <v>AnN</v>
      </c>
      <c r="J47" s="360">
        <f>VLOOKUP(Tableau17[[#This Row],[CODE PI]],Tableau16[[CODE PI]:[(mesures compensatoires du PC ou autres)]],5,FALSE)*(1+$B$1)</f>
        <v>-59068.7</v>
      </c>
      <c r="K47" s="228">
        <v>-122610</v>
      </c>
      <c r="L47" s="228"/>
      <c r="M47" s="229">
        <v>0</v>
      </c>
      <c r="N47" s="229">
        <v>0</v>
      </c>
      <c r="O47" s="229">
        <v>0</v>
      </c>
      <c r="P47" s="229">
        <v>0</v>
      </c>
      <c r="Q47" s="229">
        <f>-250*'OPX_BN+1'!$E47</f>
        <v>-825</v>
      </c>
      <c r="R47" s="274">
        <f>SUM('OPX_BN+1'!$K47:$Q47)</f>
        <v>-123435</v>
      </c>
      <c r="S47" s="337">
        <f>VLOOKUP(Tableau17[[#This Row],[CODE PI]],Tableau16[[CODE PI]:[(mesures compensatoires du PC ou autres)]],14,FALSE)*(1+$B$1)</f>
        <v>0</v>
      </c>
      <c r="T47" s="423">
        <v>0</v>
      </c>
      <c r="U47" s="341">
        <v>0</v>
      </c>
      <c r="V47" s="423">
        <v>-700</v>
      </c>
      <c r="W47" s="423">
        <v>0</v>
      </c>
      <c r="X47" s="423">
        <v>0</v>
      </c>
      <c r="Y47" s="423">
        <v>-717</v>
      </c>
      <c r="Z47" s="264">
        <f>-250*Tableau17[[#This Row],[MW]]</f>
        <v>-825</v>
      </c>
      <c r="AA47" s="423"/>
      <c r="AB47" s="273">
        <f>SUM('OPX_BN+1'!$T47:$AA47)</f>
        <v>-2242</v>
      </c>
      <c r="AC47" s="426"/>
      <c r="AD47" s="426"/>
      <c r="AE47" s="417">
        <v>0</v>
      </c>
      <c r="AF47" s="417">
        <v>-10000</v>
      </c>
      <c r="AG47" s="417">
        <v>-40000</v>
      </c>
      <c r="AH47" s="417">
        <v>0</v>
      </c>
      <c r="AI47" s="417">
        <v>0</v>
      </c>
      <c r="AJ47" s="371">
        <f>SUM('OPX_BN+1'!$AC47:$AI47)</f>
        <v>-50000</v>
      </c>
      <c r="AK47" s="424"/>
      <c r="AL47" s="276">
        <f>SUM('OPX_BN+1'!$J47,'OPX_BN+1'!$AB47,'OPX_BN+1'!$S47,'OPX_BN+1'!$AJ47,'OPX_BN+1'!$R47,'OPX_BN+1'!$AK47)</f>
        <v>-234745.7</v>
      </c>
      <c r="AM47" s="427"/>
    </row>
    <row r="48" spans="1:39" ht="15">
      <c r="A48" s="244" t="s">
        <v>481</v>
      </c>
      <c r="B48" s="320" t="str">
        <f>VLOOKUP('OPX_BN+1'!$A48,Tableau106[],3,FALSE)</f>
        <v>A313</v>
      </c>
      <c r="C48" s="320" t="str">
        <f>VLOOKUP('OPX_BN+1'!$A48,Tableau106[],2,FALSE)</f>
        <v>FR21S03E</v>
      </c>
      <c r="D48" s="320" t="str">
        <f>VLOOKUP('OPX_BN+1'!$A48,Tableau106[],8,FALSE)</f>
        <v>SOLAIRE</v>
      </c>
      <c r="E48" s="321">
        <f>VLOOKUP('OPX_BN+1'!$A48,Tableau106[],4,FALSE)</f>
        <v>5</v>
      </c>
      <c r="F48" s="322" t="str">
        <f>VLOOKUP('OPX_BN+1'!$A48,Tableau106[],5,FALSE)</f>
        <v>COLB</v>
      </c>
      <c r="G48" s="322" t="str">
        <f>VLOOKUP('OPX_BN+1'!$A48,Tableau106[],7,FALSE)</f>
        <v>GROUPE</v>
      </c>
      <c r="H48" s="322" t="str">
        <f>VLOOKUP('OPX_BN+1'!$A48,Tableau106[],6,FALSE)</f>
        <v>N</v>
      </c>
      <c r="I48" s="372" t="str">
        <f>VLOOKUP(Tableau17[[#This Row],[OPEX VARIABLES en €
BN 2024]],Tableau106[],9,FALSE)</f>
        <v>LoG</v>
      </c>
      <c r="J48" s="360">
        <f>-45638</f>
        <v>-45638</v>
      </c>
      <c r="K48" s="228">
        <v>0</v>
      </c>
      <c r="L48" s="228"/>
      <c r="M48" s="229">
        <v>0</v>
      </c>
      <c r="N48" s="229">
        <v>0</v>
      </c>
      <c r="O48" s="229">
        <v>0</v>
      </c>
      <c r="P48" s="229">
        <v>0</v>
      </c>
      <c r="Q48" s="229">
        <f>-250*'OPX_BN+1'!$E48</f>
        <v>-1250</v>
      </c>
      <c r="R48" s="274">
        <f>SUM('OPX_BN+1'!$K48:$Q48)</f>
        <v>-1250</v>
      </c>
      <c r="S48" s="337">
        <f>VLOOKUP(Tableau17[[#This Row],[CODE PI]],Tableau16[[CODE PI]:[(mesures compensatoires du PC ou autres)]],14,FALSE)*(1+$B$1)</f>
        <v>0</v>
      </c>
      <c r="T48" s="423">
        <v>0</v>
      </c>
      <c r="U48" s="341">
        <v>0</v>
      </c>
      <c r="V48" s="423">
        <v>0</v>
      </c>
      <c r="W48" s="423">
        <v>0</v>
      </c>
      <c r="X48" s="423">
        <v>0</v>
      </c>
      <c r="Y48" s="423">
        <v>0</v>
      </c>
      <c r="Z48" s="264">
        <f>-250*Tableau17[[#This Row],[MW]]</f>
        <v>-1250</v>
      </c>
      <c r="AA48" s="423"/>
      <c r="AB48" s="273">
        <f>SUM('OPX_BN+1'!$T48:$AA48)</f>
        <v>-1250</v>
      </c>
      <c r="AC48" s="426"/>
      <c r="AD48" s="426"/>
      <c r="AE48" s="417">
        <v>0</v>
      </c>
      <c r="AF48" s="417">
        <v>0</v>
      </c>
      <c r="AG48" s="417">
        <v>0</v>
      </c>
      <c r="AH48" s="417">
        <f>-6200</f>
        <v>-6200</v>
      </c>
      <c r="AI48" s="417">
        <v>0</v>
      </c>
      <c r="AJ48" s="371">
        <f>SUM('OPX_BN+1'!$AC48:$AI48)</f>
        <v>-6200</v>
      </c>
      <c r="AK48" s="424"/>
      <c r="AL48" s="276">
        <f>SUM('OPX_BN+1'!$J48,'OPX_BN+1'!$AB48,'OPX_BN+1'!$S48,'OPX_BN+1'!$AJ48,'OPX_BN+1'!$R48,'OPX_BN+1'!$AK48)</f>
        <v>-54338</v>
      </c>
      <c r="AM48" s="427"/>
    </row>
    <row r="49" spans="1:39" ht="15">
      <c r="A49" s="325" t="s">
        <v>544</v>
      </c>
      <c r="B49" s="320" t="str">
        <f>VLOOKUP('OPX_BN+1'!$A49,Tableau106[],3,FALSE)</f>
        <v>A958</v>
      </c>
      <c r="C49" s="320" t="str">
        <f>VLOOKUP('OPX_BN+1'!$A49,Tableau106[],2,FALSE)</f>
        <v>FR11E92E</v>
      </c>
      <c r="D49" s="320" t="str">
        <f>VLOOKUP('OPX_BN+1'!$A49,Tableau106[],8,FALSE)</f>
        <v>EOLIEN</v>
      </c>
      <c r="E49" s="321">
        <f>VLOOKUP('OPX_BN+1'!$A49,Tableau106[],4,FALSE)</f>
        <v>9.1999999999999993</v>
      </c>
      <c r="F49" s="322" t="str">
        <f>VLOOKUP('OPX_BN+1'!$A49,Tableau106[],5,FALSE)</f>
        <v>CONI</v>
      </c>
      <c r="G49" s="322" t="str">
        <f>VLOOKUP('OPX_BN+1'!$A49,Tableau106[],7,FALSE)</f>
        <v>FUTUREN</v>
      </c>
      <c r="H49" s="322" t="str">
        <f>VLOOKUP('OPX_BN+1'!$A49,Tableau106[],6,FALSE)</f>
        <v>S</v>
      </c>
      <c r="I49" s="372" t="str">
        <f>VLOOKUP(Tableau17[[#This Row],[OPEX VARIABLES en €
BN 2024]],Tableau106[],9,FALSE)</f>
        <v>StE</v>
      </c>
      <c r="J49" s="360">
        <v>-14490</v>
      </c>
      <c r="K49" s="228">
        <v>-2420</v>
      </c>
      <c r="L49" s="228"/>
      <c r="M49" s="229">
        <v>0</v>
      </c>
      <c r="N49" s="229">
        <v>0</v>
      </c>
      <c r="O49" s="229">
        <v>0</v>
      </c>
      <c r="P49" s="229">
        <v>-4048</v>
      </c>
      <c r="Q49" s="229">
        <f>-250*'OPX_BN+1'!$E49</f>
        <v>-2300</v>
      </c>
      <c r="R49" s="274">
        <f>SUM('OPX_BN+1'!$K49:$Q49)</f>
        <v>-8768</v>
      </c>
      <c r="S49" s="337">
        <f>VLOOKUP(Tableau17[[#This Row],[CODE PI]],Tableau16[[CODE PI]:[(mesures compensatoires du PC ou autres)]],14,FALSE)*(1+$B$1)</f>
        <v>-311390.89999999997</v>
      </c>
      <c r="T49" s="423">
        <v>0</v>
      </c>
      <c r="U49" s="341">
        <v>0</v>
      </c>
      <c r="V49" s="423">
        <v>-6000</v>
      </c>
      <c r="W49" s="423">
        <v>-6000</v>
      </c>
      <c r="X49" s="423">
        <v>0</v>
      </c>
      <c r="Y49" s="423">
        <v>0</v>
      </c>
      <c r="Z49" s="264">
        <f>-250*Tableau17[[#This Row],[MW]]</f>
        <v>-2300</v>
      </c>
      <c r="AA49" s="423">
        <v>-6000</v>
      </c>
      <c r="AB49" s="273">
        <f>SUM('OPX_BN+1'!$T49:$AA49)</f>
        <v>-20300</v>
      </c>
      <c r="AC49" s="426"/>
      <c r="AD49" s="426">
        <f>-4924*1.025</f>
        <v>-5047.0999999999995</v>
      </c>
      <c r="AE49" s="417"/>
      <c r="AF49" s="417"/>
      <c r="AG49" s="417"/>
      <c r="AH49" s="417">
        <v>0</v>
      </c>
      <c r="AI49" s="417">
        <v>-5000</v>
      </c>
      <c r="AJ49" s="371">
        <f>SUM('OPX_BN+1'!$AC49:$AI49)</f>
        <v>-10047.099999999999</v>
      </c>
      <c r="AK49" s="424"/>
      <c r="AL49" s="276">
        <f>SUM('OPX_BN+1'!$J49,'OPX_BN+1'!$AB49,'OPX_BN+1'!$S49,'OPX_BN+1'!$AJ49,'OPX_BN+1'!$R49,'OPX_BN+1'!$AK49)</f>
        <v>-364995.99999999994</v>
      </c>
      <c r="AM49" s="427"/>
    </row>
    <row r="50" spans="1:39" ht="15">
      <c r="A50" s="244" t="s">
        <v>580</v>
      </c>
      <c r="B50" s="320" t="str">
        <f>VLOOKUP('OPX_BN+1'!$A50,Tableau106[],3,FALSE)</f>
        <v>A064</v>
      </c>
      <c r="C50" s="320" t="str">
        <f>VLOOKUP('OPX_BN+1'!$A50,Tableau106[],2,FALSE)</f>
        <v>FR34E92E</v>
      </c>
      <c r="D50" s="320" t="str">
        <f>VLOOKUP('OPX_BN+1'!$A50,Tableau106[],8,FALSE)</f>
        <v>EOLIEN</v>
      </c>
      <c r="E50" s="321">
        <f>VLOOKUP('OPX_BN+1'!$A50,Tableau106[],4,FALSE)</f>
        <v>12</v>
      </c>
      <c r="F50" s="322" t="str">
        <f>VLOOKUP('OPX_BN+1'!$A50,Tableau106[],5,FALSE)</f>
        <v>AUCO</v>
      </c>
      <c r="G50" s="322" t="str">
        <f>VLOOKUP('OPX_BN+1'!$A50,Tableau106[],7,FALSE)</f>
        <v>GROUPE</v>
      </c>
      <c r="H50" s="322" t="str">
        <f>VLOOKUP('OPX_BN+1'!$A50,Tableau106[],6,FALSE)</f>
        <v>S</v>
      </c>
      <c r="I50" s="372" t="str">
        <f>VLOOKUP(Tableau17[[#This Row],[OPEX VARIABLES en €
BN 2024]],Tableau106[],9,FALSE)</f>
        <v>KéD</v>
      </c>
      <c r="J50" s="360">
        <f>VLOOKUP(Tableau17[[#This Row],[CODE PI]],Tableau16[[CODE PI]:[(mesures compensatoires du PC ou autres)]],5,FALSE)*(1+$B$1)</f>
        <v>-430484.62499999994</v>
      </c>
      <c r="K50" s="228">
        <v>-23660</v>
      </c>
      <c r="L50" s="228"/>
      <c r="M50" s="229">
        <v>0</v>
      </c>
      <c r="N50" s="229">
        <v>0</v>
      </c>
      <c r="O50" s="229">
        <v>0</v>
      </c>
      <c r="P50" s="229">
        <f>-4200-5000</f>
        <v>-9200</v>
      </c>
      <c r="Q50" s="229">
        <f>-250*'OPX_BN+1'!$E50</f>
        <v>-3000</v>
      </c>
      <c r="R50" s="274">
        <f>SUM('OPX_BN+1'!$K50:$Q50)</f>
        <v>-35860</v>
      </c>
      <c r="S50" s="337">
        <f>VLOOKUP(Tableau17[[#This Row],[CODE PI]],Tableau16[[CODE PI]:[(mesures compensatoires du PC ou autres)]],14,FALSE)*(1+$B$1)</f>
        <v>0</v>
      </c>
      <c r="T50" s="423">
        <v>0</v>
      </c>
      <c r="U50" s="341">
        <v>0</v>
      </c>
      <c r="V50" s="423">
        <v>-15000</v>
      </c>
      <c r="W50" s="423">
        <v>0</v>
      </c>
      <c r="X50" s="423">
        <v>0</v>
      </c>
      <c r="Y50" s="423">
        <v>0</v>
      </c>
      <c r="Z50" s="264">
        <f>-250*Tableau17[[#This Row],[MW]]</f>
        <v>-3000</v>
      </c>
      <c r="AA50" s="423"/>
      <c r="AB50" s="273">
        <f>SUM('OPX_BN+1'!$T50:$AA50)</f>
        <v>-18000</v>
      </c>
      <c r="AC50" s="426">
        <f>-((6184*6)+1500)</f>
        <v>-38604</v>
      </c>
      <c r="AD50" s="426"/>
      <c r="AE50" s="417">
        <v>-4378</v>
      </c>
      <c r="AF50" s="417">
        <v>0</v>
      </c>
      <c r="AG50" s="417">
        <v>-30350</v>
      </c>
      <c r="AH50" s="417"/>
      <c r="AI50" s="417">
        <v>0</v>
      </c>
      <c r="AJ50" s="371">
        <f>SUM('OPX_BN+1'!$AC50:$AI50)</f>
        <v>-73332</v>
      </c>
      <c r="AK50" s="424"/>
      <c r="AL50" s="276">
        <f>SUM('OPX_BN+1'!$J50,'OPX_BN+1'!$AB50,'OPX_BN+1'!$S50,'OPX_BN+1'!$AJ50,'OPX_BN+1'!$R50,'OPX_BN+1'!$AK50)</f>
        <v>-557676.625</v>
      </c>
      <c r="AM50" s="427"/>
    </row>
    <row r="51" spans="1:39" ht="15">
      <c r="A51" s="325" t="s">
        <v>106</v>
      </c>
      <c r="B51" s="320" t="str">
        <f>VLOOKUP('OPX_BN+1'!$A51,Tableau106[],3,FALSE)</f>
        <v>F069</v>
      </c>
      <c r="C51" s="320" t="str">
        <f>VLOOKUP('OPX_BN+1'!$A51,Tableau106[],2,FALSE)</f>
        <v>FR20E01E</v>
      </c>
      <c r="D51" s="320" t="str">
        <f>VLOOKUP('OPX_BN+1'!$A51,Tableau106[],8,FALSE)</f>
        <v>EOLIEN</v>
      </c>
      <c r="E51" s="321">
        <f>VLOOKUP('OPX_BN+1'!$A51,Tableau106[],4,FALSE)</f>
        <v>6</v>
      </c>
      <c r="F51" s="322" t="str">
        <f>VLOOKUP('OPX_BN+1'!$A51,Tableau106[],5,FALSE)</f>
        <v>CORS</v>
      </c>
      <c r="G51" s="322" t="str">
        <f>VLOOKUP('OPX_BN+1'!$A51,Tableau106[],7,FALSE)</f>
        <v>FUTUREN</v>
      </c>
      <c r="H51" s="322" t="str">
        <f>VLOOKUP('OPX_BN+1'!$A51,Tableau106[],6,FALSE)</f>
        <v>S</v>
      </c>
      <c r="I51" s="372" t="str">
        <f>VLOOKUP(Tableau17[[#This Row],[OPEX VARIABLES en €
BN 2024]],Tableau106[],9,FALSE)</f>
        <v>SaH</v>
      </c>
      <c r="J51" s="360">
        <f>VLOOKUP(Tableau17[[#This Row],[CODE PI]],Tableau16[[CODE PI]:[(mesures compensatoires du PC ou autres)]],5,FALSE)*(1+$B$1)</f>
        <v>0</v>
      </c>
      <c r="K51" s="228">
        <v>0</v>
      </c>
      <c r="L51" s="228"/>
      <c r="M51" s="229">
        <v>0</v>
      </c>
      <c r="N51" s="229">
        <v>0</v>
      </c>
      <c r="O51" s="229">
        <v>0</v>
      </c>
      <c r="P51" s="229">
        <v>0</v>
      </c>
      <c r="Q51" s="229">
        <f>-250*'OPX_BN+1'!$E51</f>
        <v>-1500</v>
      </c>
      <c r="R51" s="274">
        <f>SUM('OPX_BN+1'!$K51:$Q51)</f>
        <v>-1500</v>
      </c>
      <c r="S51" s="337">
        <v>-200000</v>
      </c>
      <c r="T51" s="423">
        <f>-20000*10</f>
        <v>-200000</v>
      </c>
      <c r="U51" s="341">
        <v>0</v>
      </c>
      <c r="V51" s="423">
        <v>-6000</v>
      </c>
      <c r="W51" s="423">
        <v>-13500</v>
      </c>
      <c r="X51" s="423">
        <v>0</v>
      </c>
      <c r="Y51" s="423">
        <v>0</v>
      </c>
      <c r="Z51" s="264">
        <f>-250*Tableau17[[#This Row],[MW]]</f>
        <v>-1500</v>
      </c>
      <c r="AA51" s="423"/>
      <c r="AB51" s="273">
        <f>SUM('OPX_BN+1'!$T51:$AA51)</f>
        <v>-221000</v>
      </c>
      <c r="AC51" s="426"/>
      <c r="AD51" s="426"/>
      <c r="AE51" s="417">
        <v>0</v>
      </c>
      <c r="AF51" s="417">
        <v>0</v>
      </c>
      <c r="AG51" s="417">
        <v>0</v>
      </c>
      <c r="AH51" s="417">
        <v>0</v>
      </c>
      <c r="AI51" s="417">
        <v>0</v>
      </c>
      <c r="AJ51" s="371">
        <f>SUM('OPX_BN+1'!$AC51:$AI51)</f>
        <v>0</v>
      </c>
      <c r="AK51" s="424"/>
      <c r="AL51" s="276">
        <f>SUM('OPX_BN+1'!$J51,'OPX_BN+1'!$AB51,'OPX_BN+1'!$S51,'OPX_BN+1'!$AJ51,'OPX_BN+1'!$R51,'OPX_BN+1'!$AK51)</f>
        <v>-422500</v>
      </c>
      <c r="AM51" s="427">
        <v>-50000</v>
      </c>
    </row>
    <row r="52" spans="1:39" ht="15">
      <c r="A52" s="244" t="s">
        <v>443</v>
      </c>
      <c r="B52" s="320" t="str">
        <f>VLOOKUP('OPX_BN+1'!$A52,Tableau106[],3,FALSE)</f>
        <v>A051</v>
      </c>
      <c r="C52" s="320" t="str">
        <f>VLOOKUP('OPX_BN+1'!$A52,Tableau106[],2,FALSE)</f>
        <v>FR85E99E</v>
      </c>
      <c r="D52" s="320" t="str">
        <f>VLOOKUP('OPX_BN+1'!$A52,Tableau106[],8,FALSE)</f>
        <v>EOLIEN</v>
      </c>
      <c r="E52" s="321">
        <f>VLOOKUP('OPX_BN+1'!$A52,Tableau106[],4,FALSE)</f>
        <v>12</v>
      </c>
      <c r="F52" s="322" t="str">
        <f>VLOOKUP('OPX_BN+1'!$A52,Tableau106[],5,FALSE)</f>
        <v>JADE</v>
      </c>
      <c r="G52" s="322" t="str">
        <f>VLOOKUP('OPX_BN+1'!$A52,Tableau106[],7,FALSE)</f>
        <v>GROUPE</v>
      </c>
      <c r="H52" s="322" t="str">
        <f>VLOOKUP('OPX_BN+1'!$A52,Tableau106[],6,FALSE)</f>
        <v>N</v>
      </c>
      <c r="I52" s="372" t="str">
        <f>VLOOKUP(Tableau17[[#This Row],[OPEX VARIABLES en €
BN 2024]],Tableau106[],9,FALSE)</f>
        <v>AyB</v>
      </c>
      <c r="J52" s="360">
        <f>VLOOKUP(Tableau17[[#This Row],[CODE PI]],Tableau16[[CODE PI]:[(mesures compensatoires du PC ou autres)]],5,FALSE)*(1+$B$1)</f>
        <v>0</v>
      </c>
      <c r="K52" s="228">
        <v>0</v>
      </c>
      <c r="L52" s="228"/>
      <c r="M52" s="229">
        <v>0</v>
      </c>
      <c r="N52" s="229">
        <v>0</v>
      </c>
      <c r="O52" s="229">
        <v>0</v>
      </c>
      <c r="P52" s="229">
        <f>-440*Tableau17[[#This Row],[MW]]</f>
        <v>-5280</v>
      </c>
      <c r="Q52" s="229">
        <f>-250*'OPX_BN+1'!$E52</f>
        <v>-3000</v>
      </c>
      <c r="R52" s="274">
        <f>SUM('OPX_BN+1'!$K52:$Q52)</f>
        <v>-8280</v>
      </c>
      <c r="S52" s="337">
        <f>VLOOKUP(Tableau17[[#This Row],[CODE PI]],Tableau16[[CODE PI]:[(mesures compensatoires du PC ou autres)]],14,FALSE)*(1+$B$1)</f>
        <v>-125592.22500000001</v>
      </c>
      <c r="T52" s="423">
        <v>-5000</v>
      </c>
      <c r="U52" s="341">
        <v>0</v>
      </c>
      <c r="V52" s="423">
        <v>-5000</v>
      </c>
      <c r="W52" s="423">
        <v>0</v>
      </c>
      <c r="X52" s="423">
        <v>0</v>
      </c>
      <c r="Y52" s="423">
        <v>0</v>
      </c>
      <c r="Z52" s="264">
        <f>-250*Tableau17[[#This Row],[MW]]</f>
        <v>-3000</v>
      </c>
      <c r="AA52" s="423"/>
      <c r="AB52" s="273">
        <f>SUM('OPX_BN+1'!$T52:$AA52)</f>
        <v>-13000</v>
      </c>
      <c r="AC52" s="426"/>
      <c r="AD52" s="426">
        <f>-4924*1.025</f>
        <v>-5047.0999999999995</v>
      </c>
      <c r="AE52" s="417">
        <v>0</v>
      </c>
      <c r="AF52" s="417">
        <v>0</v>
      </c>
      <c r="AG52" s="417">
        <v>0</v>
      </c>
      <c r="AH52" s="417">
        <v>0</v>
      </c>
      <c r="AI52" s="417">
        <v>-10000</v>
      </c>
      <c r="AJ52" s="371">
        <f>SUM('OPX_BN+1'!$AC52:$AI52)</f>
        <v>-15047.099999999999</v>
      </c>
      <c r="AK52" s="424"/>
      <c r="AL52" s="276">
        <f>SUM('OPX_BN+1'!$J52,'OPX_BN+1'!$AB52,'OPX_BN+1'!$S52,'OPX_BN+1'!$AJ52,'OPX_BN+1'!$R52,'OPX_BN+1'!$AK52)</f>
        <v>-161919.32500000001</v>
      </c>
      <c r="AM52" s="427"/>
    </row>
    <row r="53" spans="1:39" ht="15">
      <c r="A53" s="244" t="s">
        <v>620</v>
      </c>
      <c r="B53" s="320" t="str">
        <f>VLOOKUP('OPX_BN+1'!$A53,Tableau106[],3,FALSE)</f>
        <v>A541</v>
      </c>
      <c r="C53" s="320" t="str">
        <f>VLOOKUP('OPX_BN+1'!$A53,Tableau106[],2,FALSE)</f>
        <v>FR55E02E</v>
      </c>
      <c r="D53" s="320" t="str">
        <f>VLOOKUP('OPX_BN+1'!$A53,Tableau106[],8,FALSE)</f>
        <v>EOLIEN</v>
      </c>
      <c r="E53" s="321">
        <f>VLOOKUP('OPX_BN+1'!$A53,Tableau106[],4,FALSE)</f>
        <v>12</v>
      </c>
      <c r="F53" s="322" t="str">
        <f>VLOOKUP('OPX_BN+1'!$A53,Tableau106[],5,FALSE)</f>
        <v>COUR</v>
      </c>
      <c r="G53" s="322" t="str">
        <f>VLOOKUP('OPX_BN+1'!$A53,Tableau106[],7,FALSE)</f>
        <v>EGM</v>
      </c>
      <c r="H53" s="322" t="str">
        <f>VLOOKUP('OPX_BN+1'!$A53,Tableau106[],6,FALSE)</f>
        <v>N</v>
      </c>
      <c r="I53" s="372" t="str">
        <f>VLOOKUP(Tableau17[[#This Row],[OPEX VARIABLES en €
BN 2024]],Tableau106[],9,FALSE)</f>
        <v>BaB</v>
      </c>
      <c r="J53" s="360">
        <f>VLOOKUP(Tableau17[[#This Row],[CODE PI]],Tableau16[[CODE PI]:[(mesures compensatoires du PC ou autres)]],5,FALSE)*(1+$B$1)</f>
        <v>-317286.69999999995</v>
      </c>
      <c r="K53" s="228">
        <v>-155350</v>
      </c>
      <c r="L53" s="228"/>
      <c r="M53" s="229">
        <v>0</v>
      </c>
      <c r="N53" s="229">
        <v>0</v>
      </c>
      <c r="O53" s="229">
        <v>0</v>
      </c>
      <c r="P53" s="229">
        <v>-4200</v>
      </c>
      <c r="Q53" s="229">
        <f>-250*'OPX_BN+1'!$E53</f>
        <v>-3000</v>
      </c>
      <c r="R53" s="274">
        <f>SUM('OPX_BN+1'!$K53:$Q53)</f>
        <v>-162550</v>
      </c>
      <c r="S53" s="337">
        <f>VLOOKUP(Tableau17[[#This Row],[CODE PI]],Tableau16[[CODE PI]:[(mesures compensatoires du PC ou autres)]],14,FALSE)*(1+$B$1)</f>
        <v>0</v>
      </c>
      <c r="T53" s="423">
        <v>0</v>
      </c>
      <c r="U53" s="341">
        <v>0</v>
      </c>
      <c r="V53" s="423">
        <v>-1800</v>
      </c>
      <c r="W53" s="423">
        <v>0</v>
      </c>
      <c r="X53" s="423">
        <v>0</v>
      </c>
      <c r="Y53" s="423">
        <v>0</v>
      </c>
      <c r="Z53" s="264">
        <f>-250*Tableau17[[#This Row],[MW]]</f>
        <v>-3000</v>
      </c>
      <c r="AA53" s="423"/>
      <c r="AB53" s="273">
        <f>SUM('OPX_BN+1'!$T53:$AA53)</f>
        <v>-4800</v>
      </c>
      <c r="AC53" s="426"/>
      <c r="AD53" s="426"/>
      <c r="AE53" s="417">
        <v>0</v>
      </c>
      <c r="AF53" s="417">
        <v>0</v>
      </c>
      <c r="AG53" s="417">
        <v>0</v>
      </c>
      <c r="AH53" s="417">
        <v>0</v>
      </c>
      <c r="AI53" s="417">
        <v>0</v>
      </c>
      <c r="AJ53" s="371">
        <f>SUM('OPX_BN+1'!$AC53:$AI53)</f>
        <v>0</v>
      </c>
      <c r="AK53" s="424"/>
      <c r="AL53" s="276">
        <f>SUM('OPX_BN+1'!$J53,'OPX_BN+1'!$AB53,'OPX_BN+1'!$S53,'OPX_BN+1'!$AJ53,'OPX_BN+1'!$R53,'OPX_BN+1'!$AK53)</f>
        <v>-484636.69999999995</v>
      </c>
      <c r="AM53" s="427"/>
    </row>
    <row r="54" spans="1:39" ht="15">
      <c r="A54" s="325" t="s">
        <v>486</v>
      </c>
      <c r="B54" s="320" t="str">
        <f>VLOOKUP('OPX_BN+1'!$A54,Tableau106[],3,FALSE)</f>
        <v>A290</v>
      </c>
      <c r="C54" s="320" t="str">
        <f>VLOOKUP('OPX_BN+1'!$A54,Tableau106[],2,FALSE)</f>
        <v>FR38S07E</v>
      </c>
      <c r="D54" s="320" t="str">
        <f>VLOOKUP('OPX_BN+1'!$A54,Tableau106[],8,FALSE)</f>
        <v>SOLAIRE</v>
      </c>
      <c r="E54" s="321">
        <f>VLOOKUP('OPX_BN+1'!$A54,Tableau106[],4,FALSE)</f>
        <v>10.8</v>
      </c>
      <c r="F54" s="322" t="str">
        <f>VLOOKUP('OPX_BN+1'!$A54,Tableau106[],5,FALSE)</f>
        <v>CRMA</v>
      </c>
      <c r="G54" s="322" t="str">
        <f>VLOOKUP('OPX_BN+1'!$A54,Tableau106[],7,FALSE)</f>
        <v>GROUPE</v>
      </c>
      <c r="H54" s="322" t="str">
        <f>VLOOKUP('OPX_BN+1'!$A54,Tableau106[],6,FALSE)</f>
        <v>S</v>
      </c>
      <c r="I54" s="372" t="str">
        <f>VLOOKUP(Tableau17[[#This Row],[OPEX VARIABLES en €
BN 2024]],Tableau106[],9,FALSE)</f>
        <v>ZaA</v>
      </c>
      <c r="J54" s="360">
        <f>VLOOKUP(Tableau17[[#This Row],[CODE PI]],Tableau16[[CODE PI]:[(mesures compensatoires du PC ou autres)]],5,FALSE)*(1+$B$1)</f>
        <v>-77238.875</v>
      </c>
      <c r="K54" s="228">
        <v>0</v>
      </c>
      <c r="L54" s="228"/>
      <c r="M54" s="229">
        <v>0</v>
      </c>
      <c r="N54" s="229">
        <v>0</v>
      </c>
      <c r="O54" s="229">
        <v>0</v>
      </c>
      <c r="P54" s="229">
        <v>0</v>
      </c>
      <c r="Q54" s="229">
        <f>-250*'OPX_BN+1'!$E54</f>
        <v>-2700</v>
      </c>
      <c r="R54" s="274">
        <f>SUM('OPX_BN+1'!$K54:$Q54)</f>
        <v>-2700</v>
      </c>
      <c r="S54" s="337">
        <f>VLOOKUP(Tableau17[[#This Row],[CODE PI]],Tableau16[[CODE PI]:[(mesures compensatoires du PC ou autres)]],14,FALSE)*(1+$B$1)</f>
        <v>0</v>
      </c>
      <c r="T54" s="423">
        <v>0</v>
      </c>
      <c r="U54" s="341">
        <v>0</v>
      </c>
      <c r="V54" s="423">
        <v>0</v>
      </c>
      <c r="W54" s="423">
        <v>0</v>
      </c>
      <c r="X54" s="423">
        <v>0</v>
      </c>
      <c r="Y54" s="423">
        <v>0</v>
      </c>
      <c r="Z54" s="264">
        <f>-250*Tableau17[[#This Row],[MW]]</f>
        <v>-2700</v>
      </c>
      <c r="AA54" s="423"/>
      <c r="AB54" s="273">
        <f>SUM('OPX_BN+1'!$T54:$AA54)</f>
        <v>-2700</v>
      </c>
      <c r="AC54" s="426"/>
      <c r="AD54" s="426"/>
      <c r="AE54" s="417">
        <v>0</v>
      </c>
      <c r="AF54" s="417">
        <v>0</v>
      </c>
      <c r="AG54" s="417">
        <v>0</v>
      </c>
      <c r="AH54" s="417"/>
      <c r="AI54" s="417">
        <v>-10000</v>
      </c>
      <c r="AJ54" s="371">
        <f>SUM('OPX_BN+1'!$AC54:$AI54)</f>
        <v>-10000</v>
      </c>
      <c r="AK54" s="424"/>
      <c r="AL54" s="276">
        <f>SUM('OPX_BN+1'!$J54,'OPX_BN+1'!$AB54,'OPX_BN+1'!$S54,'OPX_BN+1'!$AJ54,'OPX_BN+1'!$R54,'OPX_BN+1'!$AK54)</f>
        <v>-92638.875</v>
      </c>
      <c r="AM54" s="427"/>
    </row>
    <row r="55" spans="1:39" ht="15">
      <c r="A55" s="244" t="s">
        <v>487</v>
      </c>
      <c r="B55" s="320" t="str">
        <f>VLOOKUP('OPX_BN+1'!$A55,Tableau106[],3,FALSE)</f>
        <v>A385</v>
      </c>
      <c r="C55" s="320" t="str">
        <f>VLOOKUP('OPX_BN+1'!$A55,Tableau106[],2,FALSE)</f>
        <v>FR28S02E</v>
      </c>
      <c r="D55" s="320" t="str">
        <f>VLOOKUP('OPX_BN+1'!$A55,Tableau106[],8,FALSE)</f>
        <v>SOLAIRE</v>
      </c>
      <c r="E55" s="321">
        <f>VLOOKUP('OPX_BN+1'!$A55,Tableau106[],4,FALSE)</f>
        <v>36</v>
      </c>
      <c r="F55" s="322" t="str">
        <f>VLOOKUP('OPX_BN+1'!$A55,Tableau106[],5,FALSE)</f>
        <v>CY11, CY12, CY13</v>
      </c>
      <c r="G55" s="322" t="str">
        <f>VLOOKUP('OPX_BN+1'!$A55,Tableau106[],7,FALSE)</f>
        <v>GROUPE</v>
      </c>
      <c r="H55" s="322" t="str">
        <f>VLOOKUP('OPX_BN+1'!$A55,Tableau106[],6,FALSE)</f>
        <v>N</v>
      </c>
      <c r="I55" s="372" t="str">
        <f>VLOOKUP(Tableau17[[#This Row],[OPEX VARIABLES en €
BN 2024]],Tableau106[],9,FALSE)</f>
        <v>LoG</v>
      </c>
      <c r="J55" s="360">
        <f>VLOOKUP(Tableau17[[#This Row],[CODE PI]],Tableau16[[CODE PI]:[(mesures compensatoires du PC ou autres)]],5,FALSE)*(1+$B$1)</f>
        <v>-815840.54999999993</v>
      </c>
      <c r="K55" s="228">
        <v>-50290</v>
      </c>
      <c r="L55" s="228"/>
      <c r="M55" s="229"/>
      <c r="N55" s="229">
        <v>0</v>
      </c>
      <c r="O55" s="229">
        <v>0</v>
      </c>
      <c r="P55" s="229">
        <v>0</v>
      </c>
      <c r="Q55" s="229">
        <f>-250*'OPX_BN+1'!$E55</f>
        <v>-9000</v>
      </c>
      <c r="R55" s="274">
        <f>SUM('OPX_BN+1'!$K55:$Q55)</f>
        <v>-59290</v>
      </c>
      <c r="S55" s="337">
        <f>VLOOKUP(Tableau17[[#This Row],[CODE PI]],Tableau16[[CODE PI]:[(mesures compensatoires du PC ou autres)]],14,FALSE)*(1+$B$1)</f>
        <v>0</v>
      </c>
      <c r="T55" s="423">
        <v>0</v>
      </c>
      <c r="U55" s="341">
        <v>0</v>
      </c>
      <c r="V55" s="423"/>
      <c r="W55" s="423">
        <v>0</v>
      </c>
      <c r="X55" s="423">
        <v>0</v>
      </c>
      <c r="Y55" s="423">
        <v>0</v>
      </c>
      <c r="Z55" s="264">
        <f>-250*Tableau17[[#This Row],[MW]]</f>
        <v>-9000</v>
      </c>
      <c r="AA55" s="423"/>
      <c r="AB55" s="273">
        <f>SUM('OPX_BN+1'!$T55:$AA55)</f>
        <v>-9000</v>
      </c>
      <c r="AC55" s="426"/>
      <c r="AD55" s="426"/>
      <c r="AE55" s="417">
        <v>0</v>
      </c>
      <c r="AF55" s="417">
        <v>0</v>
      </c>
      <c r="AG55" s="417">
        <v>0</v>
      </c>
      <c r="AH55" s="417">
        <v>-3000</v>
      </c>
      <c r="AI55" s="417">
        <v>-4000</v>
      </c>
      <c r="AJ55" s="371">
        <f>SUM('OPX_BN+1'!$AC55:$AI55)</f>
        <v>-7000</v>
      </c>
      <c r="AK55" s="424"/>
      <c r="AL55" s="276">
        <f>SUM('OPX_BN+1'!$J55,'OPX_BN+1'!$AB55,'OPX_BN+1'!$S55,'OPX_BN+1'!$AJ55,'OPX_BN+1'!$R55,'OPX_BN+1'!$AK55)</f>
        <v>-891130.54999999993</v>
      </c>
      <c r="AM55" s="427"/>
    </row>
    <row r="56" spans="1:39" ht="15">
      <c r="A56" s="325" t="s">
        <v>118</v>
      </c>
      <c r="B56" s="320" t="str">
        <f>VLOOKUP('OPX_BN+1'!$A56,Tableau106[],3,FALSE)</f>
        <v>F142</v>
      </c>
      <c r="C56" s="320" t="str">
        <f>VLOOKUP('OPX_BN+1'!$A56,Tableau106[],2,FALSE)</f>
        <v>FR55E14E</v>
      </c>
      <c r="D56" s="320" t="str">
        <f>VLOOKUP('OPX_BN+1'!$A56,Tableau106[],8,FALSE)</f>
        <v>EOLIEN</v>
      </c>
      <c r="E56" s="321">
        <f>VLOOKUP('OPX_BN+1'!$A56,Tableau106[],4,FALSE)</f>
        <v>19.8</v>
      </c>
      <c r="F56" s="322" t="str">
        <f>VLOOKUP('OPX_BN+1'!$A56,Tableau106[],5,FALSE)</f>
        <v>DEM1, DEM2</v>
      </c>
      <c r="G56" s="322" t="str">
        <f>VLOOKUP('OPX_BN+1'!$A56,Tableau106[],7,FALSE)</f>
        <v>FUTUREN</v>
      </c>
      <c r="H56" s="322" t="str">
        <f>VLOOKUP('OPX_BN+1'!$A56,Tableau106[],6,FALSE)</f>
        <v>N</v>
      </c>
      <c r="I56" s="372" t="str">
        <f>VLOOKUP(Tableau17[[#This Row],[OPEX VARIABLES en €
BN 2024]],Tableau106[],9,FALSE)</f>
        <v>NiL</v>
      </c>
      <c r="J56" s="360">
        <f>VLOOKUP(Tableau17[[#This Row],[CODE PI]],Tableau16[[CODE PI]:[(mesures compensatoires du PC ou autres)]],5,FALSE)*(1+$B$1)</f>
        <v>-12846.324999999999</v>
      </c>
      <c r="K56" s="228">
        <v>-4430</v>
      </c>
      <c r="L56" s="228"/>
      <c r="M56" s="229">
        <v>0</v>
      </c>
      <c r="N56" s="229">
        <v>0</v>
      </c>
      <c r="O56" s="229">
        <v>0</v>
      </c>
      <c r="P56" s="229">
        <v>-4620</v>
      </c>
      <c r="Q56" s="229">
        <f>-250*'OPX_BN+1'!$E56</f>
        <v>-4950</v>
      </c>
      <c r="R56" s="274">
        <f>SUM('OPX_BN+1'!$K56:$Q56)</f>
        <v>-14000</v>
      </c>
      <c r="S56" s="337">
        <f>VLOOKUP(Tableau17[[#This Row],[CODE PI]],Tableau16[[CODE PI]:[(mesures compensatoires du PC ou autres)]],14,FALSE)*(1+$B$1)</f>
        <v>-340150.35</v>
      </c>
      <c r="T56" s="423">
        <v>0</v>
      </c>
      <c r="U56" s="341">
        <v>0</v>
      </c>
      <c r="V56" s="423">
        <v>-2600</v>
      </c>
      <c r="W56" s="423">
        <f>-450*9</f>
        <v>-4050</v>
      </c>
      <c r="X56" s="423">
        <v>0</v>
      </c>
      <c r="Y56" s="423">
        <v>0</v>
      </c>
      <c r="Z56" s="264">
        <f>-250*Tableau17[[#This Row],[MW]]</f>
        <v>-4950</v>
      </c>
      <c r="AA56" s="423"/>
      <c r="AB56" s="273">
        <f>SUM('OPX_BN+1'!$T56:$AA56)</f>
        <v>-11600</v>
      </c>
      <c r="AC56" s="426"/>
      <c r="AD56" s="426"/>
      <c r="AE56" s="417">
        <v>0</v>
      </c>
      <c r="AF56" s="417">
        <v>0</v>
      </c>
      <c r="AG56" s="417">
        <v>0</v>
      </c>
      <c r="AH56" s="417">
        <v>0</v>
      </c>
      <c r="AI56" s="417">
        <v>0</v>
      </c>
      <c r="AJ56" s="371">
        <f>SUM('OPX_BN+1'!$AC56:$AI56)</f>
        <v>0</v>
      </c>
      <c r="AK56" s="424"/>
      <c r="AL56" s="276">
        <f>SUM('OPX_BN+1'!$J56,'OPX_BN+1'!$AB56,'OPX_BN+1'!$S56,'OPX_BN+1'!$AJ56,'OPX_BN+1'!$R56,'OPX_BN+1'!$AK56)</f>
        <v>-378596.67499999999</v>
      </c>
      <c r="AM56" s="427"/>
    </row>
    <row r="57" spans="1:39" ht="15">
      <c r="A57" s="244" t="s">
        <v>541</v>
      </c>
      <c r="B57" s="320" t="str">
        <f>VLOOKUP('OPX_BN+1'!$A57,Tableau106[],3,FALSE)</f>
        <v>A900</v>
      </c>
      <c r="C57" s="320" t="str">
        <f>VLOOKUP('OPX_BN+1'!$A57,Tableau106[],2,FALSE)</f>
        <v>FR66E99E</v>
      </c>
      <c r="D57" s="320" t="str">
        <f>VLOOKUP('OPX_BN+1'!$A57,Tableau106[],8,FALSE)</f>
        <v>EOLIEN</v>
      </c>
      <c r="E57" s="321">
        <f>VLOOKUP('OPX_BN+1'!$A57,Tableau106[],4,FALSE)</f>
        <v>96</v>
      </c>
      <c r="F57" s="322" t="str">
        <f>VLOOKUP('OPX_BN+1'!$A57,Tableau106[],5,FALSE)</f>
        <v>PEZI</v>
      </c>
      <c r="G57" s="322" t="str">
        <f>VLOOKUP('OPX_BN+1'!$A57,Tableau106[],7,FALSE)</f>
        <v>GROUPE</v>
      </c>
      <c r="H57" s="322" t="str">
        <f>VLOOKUP('OPX_BN+1'!$A57,Tableau106[],6,FALSE)</f>
        <v>S</v>
      </c>
      <c r="I57" s="372" t="str">
        <f>VLOOKUP(Tableau17[[#This Row],[OPEX VARIABLES en €
BN 2024]],Tableau106[],9,FALSE)</f>
        <v>PiM</v>
      </c>
      <c r="J57" s="360">
        <f>VLOOKUP(Tableau17[[#This Row],[CODE PI]],Tableau16[[CODE PI]:[(mesures compensatoires du PC ou autres)]],5,FALSE)*(1+$B$1)</f>
        <v>-2584905.4749999996</v>
      </c>
      <c r="K57" s="228">
        <v>-50380</v>
      </c>
      <c r="L57" s="228"/>
      <c r="M57" s="229">
        <v>0</v>
      </c>
      <c r="N57" s="229">
        <v>0</v>
      </c>
      <c r="O57" s="229">
        <v>-3000</v>
      </c>
      <c r="P57" s="229">
        <v>-42240</v>
      </c>
      <c r="Q57" s="229">
        <f>-250*'OPX_BN+1'!$E57</f>
        <v>-24000</v>
      </c>
      <c r="R57" s="274">
        <f>SUM('OPX_BN+1'!$K57:$Q57)</f>
        <v>-119620</v>
      </c>
      <c r="S57" s="337">
        <f>VLOOKUP(Tableau17[[#This Row],[CODE PI]],Tableau16[[CODE PI]:[(mesures compensatoires du PC ou autres)]],14,FALSE)*(1+$B$1)</f>
        <v>-14328.556999999999</v>
      </c>
      <c r="T57" s="423"/>
      <c r="U57" s="341">
        <v>0</v>
      </c>
      <c r="V57" s="423">
        <f>-15000-15000</f>
        <v>-30000</v>
      </c>
      <c r="W57" s="423">
        <v>0</v>
      </c>
      <c r="X57" s="423">
        <v>-9000</v>
      </c>
      <c r="Y57" s="423">
        <f>-15500-5000</f>
        <v>-20500</v>
      </c>
      <c r="Z57" s="264">
        <f>-250*Tableau17[[#This Row],[MW]]</f>
        <v>-24000</v>
      </c>
      <c r="AA57" s="423">
        <f>-192000-30000-4000</f>
        <v>-226000</v>
      </c>
      <c r="AB57" s="273">
        <f>SUM('OPX_BN+1'!$T57:$AA57)</f>
        <v>-309500</v>
      </c>
      <c r="AC57" s="426"/>
      <c r="AD57" s="426">
        <f>-4924*1.025</f>
        <v>-5047.0999999999995</v>
      </c>
      <c r="AE57" s="417">
        <v>0</v>
      </c>
      <c r="AF57" s="417">
        <v>0</v>
      </c>
      <c r="AG57" s="417">
        <v>0</v>
      </c>
      <c r="AH57" s="417">
        <f>-13000</f>
        <v>-13000</v>
      </c>
      <c r="AI57" s="417">
        <v>-10000</v>
      </c>
      <c r="AJ57" s="371">
        <f>SUM('OPX_BN+1'!$AC57:$AI57)</f>
        <v>-28047.1</v>
      </c>
      <c r="AK57" s="435">
        <v>0</v>
      </c>
      <c r="AL57" s="276">
        <f>SUM('OPX_BN+1'!$J57,'OPX_BN+1'!$AB57,'OPX_BN+1'!$S57,'OPX_BN+1'!$AJ57,'OPX_BN+1'!$R57,'OPX_BN+1'!$AK57)</f>
        <v>-3056401.1319999998</v>
      </c>
      <c r="AM57" s="427"/>
    </row>
    <row r="58" spans="1:39" ht="15">
      <c r="A58" s="325" t="s">
        <v>491</v>
      </c>
      <c r="B58" s="320" t="str">
        <f>VLOOKUP('OPX_BN+1'!$A58,Tableau106[],3,FALSE)</f>
        <v>A266</v>
      </c>
      <c r="C58" s="320" t="str">
        <f>VLOOKUP('OPX_BN+1'!$A58,Tableau106[],2,FALSE)</f>
        <v>FR71S05E</v>
      </c>
      <c r="D58" s="320" t="str">
        <f>VLOOKUP('OPX_BN+1'!$A58,Tableau106[],8,FALSE)</f>
        <v>SOLAIRE</v>
      </c>
      <c r="E58" s="321">
        <f>VLOOKUP('OPX_BN+1'!$A58,Tableau106[],4,FALSE)</f>
        <v>3.1</v>
      </c>
      <c r="F58" s="322" t="str">
        <f>VLOOKUP('OPX_BN+1'!$A58,Tableau106[],5,FALSE)</f>
        <v>EPIN</v>
      </c>
      <c r="G58" s="322" t="str">
        <f>VLOOKUP('OPX_BN+1'!$A58,Tableau106[],7,FALSE)</f>
        <v>GROUPE</v>
      </c>
      <c r="H58" s="322" t="str">
        <f>VLOOKUP('OPX_BN+1'!$A58,Tableau106[],6,FALSE)</f>
        <v>N</v>
      </c>
      <c r="I58" s="372" t="str">
        <f>VLOOKUP(Tableau17[[#This Row],[OPEX VARIABLES en €
BN 2024]],Tableau106[],9,FALSE)</f>
        <v>LoG</v>
      </c>
      <c r="J58" s="360">
        <f>-36107</f>
        <v>-36107</v>
      </c>
      <c r="K58" s="228">
        <v>0</v>
      </c>
      <c r="L58" s="228"/>
      <c r="M58" s="229">
        <v>0</v>
      </c>
      <c r="N58" s="229">
        <v>0</v>
      </c>
      <c r="O58" s="229">
        <v>0</v>
      </c>
      <c r="P58" s="229">
        <v>0</v>
      </c>
      <c r="Q58" s="229">
        <f>-250*'OPX_BN+1'!$E58</f>
        <v>-775</v>
      </c>
      <c r="R58" s="274">
        <f>SUM('OPX_BN+1'!$K58:$Q58)</f>
        <v>-775</v>
      </c>
      <c r="S58" s="337">
        <f>VLOOKUP(Tableau17[[#This Row],[CODE PI]],Tableau16[[CODE PI]:[(mesures compensatoires du PC ou autres)]],14,FALSE)*(1+$B$1)</f>
        <v>0</v>
      </c>
      <c r="T58" s="423">
        <v>0</v>
      </c>
      <c r="U58" s="341">
        <v>0</v>
      </c>
      <c r="V58" s="423">
        <v>0</v>
      </c>
      <c r="W58" s="423">
        <v>0</v>
      </c>
      <c r="X58" s="423">
        <v>0</v>
      </c>
      <c r="Y58" s="423">
        <v>0</v>
      </c>
      <c r="Z58" s="264">
        <f>-250*Tableau17[[#This Row],[MW]]</f>
        <v>-775</v>
      </c>
      <c r="AA58" s="423"/>
      <c r="AB58" s="273">
        <f>SUM('OPX_BN+1'!$T58:$AA58)</f>
        <v>-775</v>
      </c>
      <c r="AC58" s="426"/>
      <c r="AD58" s="426"/>
      <c r="AE58" s="417">
        <v>0</v>
      </c>
      <c r="AF58" s="417">
        <v>0</v>
      </c>
      <c r="AG58" s="417">
        <v>0</v>
      </c>
      <c r="AH58" s="417">
        <v>-5000</v>
      </c>
      <c r="AI58" s="417">
        <v>0</v>
      </c>
      <c r="AJ58" s="371">
        <f>SUM('OPX_BN+1'!$AC58:$AI58)</f>
        <v>-5000</v>
      </c>
      <c r="AK58" s="424"/>
      <c r="AL58" s="276">
        <f>SUM('OPX_BN+1'!$J58,'OPX_BN+1'!$AB58,'OPX_BN+1'!$S58,'OPX_BN+1'!$AJ58,'OPX_BN+1'!$R58,'OPX_BN+1'!$AK58)</f>
        <v>-42657</v>
      </c>
      <c r="AM58" s="427"/>
    </row>
    <row r="59" spans="1:39" ht="15">
      <c r="A59" s="244" t="s">
        <v>506</v>
      </c>
      <c r="B59" s="320" t="str">
        <f>VLOOKUP('OPX_BN+1'!$A59,Tableau106[],3,FALSE)</f>
        <v>A541</v>
      </c>
      <c r="C59" s="320" t="str">
        <f>VLOOKUP('OPX_BN+1'!$A59,Tableau106[],2,FALSE)</f>
        <v>FR55E03E</v>
      </c>
      <c r="D59" s="320" t="str">
        <f>VLOOKUP('OPX_BN+1'!$A59,Tableau106[],8,FALSE)</f>
        <v>EOLIEN</v>
      </c>
      <c r="E59" s="321">
        <f>VLOOKUP('OPX_BN+1'!$A59,Tableau106[],4,FALSE)</f>
        <v>11.5</v>
      </c>
      <c r="F59" s="322" t="str">
        <f>VLOOKUP('OPX_BN+1'!$A59,Tableau106[],5,FALSE)</f>
        <v>ERIZ</v>
      </c>
      <c r="G59" s="322" t="str">
        <f>VLOOKUP('OPX_BN+1'!$A59,Tableau106[],7,FALSE)</f>
        <v>EGM</v>
      </c>
      <c r="H59" s="322" t="str">
        <f>VLOOKUP('OPX_BN+1'!$A59,Tableau106[],6,FALSE)</f>
        <v>N</v>
      </c>
      <c r="I59" s="372" t="str">
        <f>VLOOKUP(Tableau17[[#This Row],[OPEX VARIABLES en €
BN 2024]],Tableau106[],9,FALSE)</f>
        <v>MaA</v>
      </c>
      <c r="J59" s="360">
        <f>VLOOKUP(Tableau17[[#This Row],[CODE PI]],Tableau16[[CODE PI]:[(mesures compensatoires du PC ou autres)]],5,FALSE)*(1+$B$1)</f>
        <v>-317286.69999999995</v>
      </c>
      <c r="K59" s="228">
        <v>-85790</v>
      </c>
      <c r="L59" s="228"/>
      <c r="M59" s="229">
        <v>0</v>
      </c>
      <c r="N59" s="229">
        <v>0</v>
      </c>
      <c r="O59" s="229">
        <v>0</v>
      </c>
      <c r="P59" s="229">
        <v>-4025</v>
      </c>
      <c r="Q59" s="229">
        <f>-250*'OPX_BN+1'!$E59</f>
        <v>-2875</v>
      </c>
      <c r="R59" s="274">
        <f>SUM('OPX_BN+1'!$K59:$Q59)</f>
        <v>-92690</v>
      </c>
      <c r="S59" s="337">
        <f>VLOOKUP(Tableau17[[#This Row],[CODE PI]],Tableau16[[CODE PI]:[(mesures compensatoires du PC ou autres)]],14,FALSE)*(1+$B$1)</f>
        <v>0</v>
      </c>
      <c r="T59" s="423">
        <v>0</v>
      </c>
      <c r="U59" s="341">
        <v>0</v>
      </c>
      <c r="V59" s="423">
        <v>-2000</v>
      </c>
      <c r="W59" s="423">
        <v>0</v>
      </c>
      <c r="X59" s="423">
        <v>0</v>
      </c>
      <c r="Y59" s="423">
        <v>0</v>
      </c>
      <c r="Z59" s="264">
        <f>-250*Tableau17[[#This Row],[MW]]</f>
        <v>-2875</v>
      </c>
      <c r="AA59" s="423"/>
      <c r="AB59" s="273">
        <f>SUM('OPX_BN+1'!$T59:$AA59)</f>
        <v>-4875</v>
      </c>
      <c r="AC59" s="426"/>
      <c r="AD59" s="426"/>
      <c r="AE59" s="417">
        <v>0</v>
      </c>
      <c r="AF59" s="417">
        <v>0</v>
      </c>
      <c r="AG59" s="417">
        <v>0</v>
      </c>
      <c r="AH59" s="417">
        <v>0</v>
      </c>
      <c r="AI59" s="417">
        <v>0</v>
      </c>
      <c r="AJ59" s="371">
        <f>SUM('OPX_BN+1'!$AC59:$AI59)</f>
        <v>0</v>
      </c>
      <c r="AK59" s="424"/>
      <c r="AL59" s="276">
        <f>SUM('OPX_BN+1'!$J59,'OPX_BN+1'!$AB59,'OPX_BN+1'!$S59,'OPX_BN+1'!$AJ59,'OPX_BN+1'!$R59,'OPX_BN+1'!$AK59)</f>
        <v>-414851.69999999995</v>
      </c>
      <c r="AM59" s="427"/>
    </row>
    <row r="60" spans="1:39" ht="15">
      <c r="A60" s="325" t="s">
        <v>526</v>
      </c>
      <c r="B60" s="320" t="str">
        <f>VLOOKUP('OPX_BN+1'!$A60,Tableau106[],3,FALSE)</f>
        <v>A967</v>
      </c>
      <c r="C60" s="320" t="str">
        <f>VLOOKUP('OPX_BN+1'!$A60,Tableau106[],2,FALSE)</f>
        <v>FR28E97E</v>
      </c>
      <c r="D60" s="320" t="str">
        <f>VLOOKUP('OPX_BN+1'!$A60,Tableau106[],8,FALSE)</f>
        <v>EOLIEN</v>
      </c>
      <c r="E60" s="321">
        <f>VLOOKUP('OPX_BN+1'!$A60,Tableau106[],4,FALSE)</f>
        <v>17</v>
      </c>
      <c r="F60" s="322" t="str">
        <f>VLOOKUP('OPX_BN+1'!$A60,Tableau106[],5,FALSE)</f>
        <v>ESPS</v>
      </c>
      <c r="G60" s="322" t="str">
        <f>VLOOKUP('OPX_BN+1'!$A60,Tableau106[],7,FALSE)</f>
        <v>FUTUREN</v>
      </c>
      <c r="H60" s="322" t="str">
        <f>VLOOKUP('OPX_BN+1'!$A60,Tableau106[],6,FALSE)</f>
        <v>N</v>
      </c>
      <c r="I60" s="372" t="str">
        <f>VLOOKUP(Tableau17[[#This Row],[OPEX VARIABLES en €
BN 2024]],Tableau106[],9,FALSE)</f>
        <v>AlY</v>
      </c>
      <c r="J60" s="360">
        <f>VLOOKUP(Tableau17[[#This Row],[CODE PI]],Tableau16[[CODE PI]:[(mesures compensatoires du PC ou autres)]],5,FALSE)*(1+$B$1)</f>
        <v>-24331.449999999997</v>
      </c>
      <c r="K60" s="228">
        <v>-1230</v>
      </c>
      <c r="L60" s="228"/>
      <c r="M60" s="229">
        <v>0</v>
      </c>
      <c r="N60" s="229">
        <v>0</v>
      </c>
      <c r="O60" s="229">
        <v>0</v>
      </c>
      <c r="P60" s="229">
        <f>-440*Tableau17[[#This Row],[MW]]</f>
        <v>-7480</v>
      </c>
      <c r="Q60" s="229">
        <f>-250*'OPX_BN+1'!$E60</f>
        <v>-4250</v>
      </c>
      <c r="R60" s="274">
        <f>SUM('OPX_BN+1'!$K60:$Q60)</f>
        <v>-12960</v>
      </c>
      <c r="S60" s="337">
        <f>VLOOKUP(Tableau17[[#This Row],[CODE PI]],Tableau16[[CODE PI]:[(mesures compensatoires du PC ou autres)]],14,FALSE)*(1+$B$1)</f>
        <v>-288483.17499999999</v>
      </c>
      <c r="T60" s="423">
        <v>0</v>
      </c>
      <c r="U60" s="341">
        <v>0</v>
      </c>
      <c r="V60" s="423">
        <v>-1780</v>
      </c>
      <c r="W60" s="377">
        <v>-3600</v>
      </c>
      <c r="X60" s="423">
        <v>0</v>
      </c>
      <c r="Y60" s="423">
        <v>0</v>
      </c>
      <c r="Z60" s="264">
        <f>-250*Tableau17[[#This Row],[MW]]</f>
        <v>-4250</v>
      </c>
      <c r="AA60" s="423"/>
      <c r="AB60" s="273">
        <f>SUM('OPX_BN+1'!$T60:$AA60)</f>
        <v>-9630</v>
      </c>
      <c r="AC60" s="426"/>
      <c r="AD60" s="426">
        <f>-4924*1.025</f>
        <v>-5047.0999999999995</v>
      </c>
      <c r="AE60" s="417">
        <v>0</v>
      </c>
      <c r="AF60" s="417">
        <v>0</v>
      </c>
      <c r="AG60" s="417"/>
      <c r="AH60" s="417"/>
      <c r="AI60" s="417">
        <v>-4200</v>
      </c>
      <c r="AJ60" s="371">
        <f>SUM('OPX_BN+1'!$AC60:$AI60)</f>
        <v>-9247.0999999999985</v>
      </c>
      <c r="AK60" s="424"/>
      <c r="AL60" s="276">
        <f>SUM('OPX_BN+1'!$J60,'OPX_BN+1'!$AB60,'OPX_BN+1'!$S60,'OPX_BN+1'!$AJ60,'OPX_BN+1'!$R60,'OPX_BN+1'!$AK60)</f>
        <v>-344651.72499999998</v>
      </c>
      <c r="AM60" s="427"/>
    </row>
    <row r="61" spans="1:39" ht="15">
      <c r="A61" s="244" t="s">
        <v>493</v>
      </c>
      <c r="B61" s="320" t="str">
        <f>VLOOKUP('OPX_BN+1'!$A61,Tableau106[],3,FALSE)</f>
        <v>A353</v>
      </c>
      <c r="C61" s="320" t="str">
        <f>VLOOKUP('OPX_BN+1'!$A61,Tableau106[],2,FALSE)</f>
        <v>FR13S08E</v>
      </c>
      <c r="D61" s="320" t="str">
        <f>VLOOKUP('OPX_BN+1'!$A61,Tableau106[],8,FALSE)</f>
        <v>SOLAIRE</v>
      </c>
      <c r="E61" s="321">
        <f>VLOOKUP('OPX_BN+1'!$A61,Tableau106[],4,FALSE)</f>
        <v>10.4</v>
      </c>
      <c r="F61" s="322" t="str">
        <f>VLOOKUP('OPX_BN+1'!$A61,Tableau106[],5,FALSE)</f>
        <v>EYGU</v>
      </c>
      <c r="G61" s="322" t="str">
        <f>VLOOKUP('OPX_BN+1'!$A61,Tableau106[],7,FALSE)</f>
        <v>GROUPE</v>
      </c>
      <c r="H61" s="322" t="str">
        <f>VLOOKUP('OPX_BN+1'!$A61,Tableau106[],6,FALSE)</f>
        <v>S</v>
      </c>
      <c r="I61" s="372" t="str">
        <f>VLOOKUP(Tableau17[[#This Row],[OPEX VARIABLES en €
BN 2024]],Tableau106[],9,FALSE)</f>
        <v>ArB</v>
      </c>
      <c r="J61" s="360">
        <f>-10.4*8000</f>
        <v>-83200</v>
      </c>
      <c r="K61" s="228">
        <v>-3000</v>
      </c>
      <c r="L61" s="228"/>
      <c r="M61" s="229">
        <v>0</v>
      </c>
      <c r="N61" s="229">
        <v>0</v>
      </c>
      <c r="O61" s="229">
        <v>0</v>
      </c>
      <c r="P61" s="229">
        <v>0</v>
      </c>
      <c r="Q61" s="229">
        <f>-250*'OPX_BN+1'!$E61</f>
        <v>-2600</v>
      </c>
      <c r="R61" s="274">
        <f>SUM('OPX_BN+1'!$K61:$Q61)</f>
        <v>-5600</v>
      </c>
      <c r="S61" s="337">
        <f>VLOOKUP(Tableau17[[#This Row],[CODE PI]],Tableau16[[CODE PI]:[(mesures compensatoires du PC ou autres)]],14,FALSE)*(1+$B$1)</f>
        <v>0</v>
      </c>
      <c r="T61" s="423">
        <v>0</v>
      </c>
      <c r="U61" s="341">
        <v>0</v>
      </c>
      <c r="V61" s="423">
        <v>0</v>
      </c>
      <c r="W61" s="423">
        <v>0</v>
      </c>
      <c r="X61" s="423">
        <v>0</v>
      </c>
      <c r="Y61" s="423">
        <v>0</v>
      </c>
      <c r="Z61" s="264">
        <f>-250*Tableau17[[#This Row],[MW]]</f>
        <v>-2600</v>
      </c>
      <c r="AA61" s="423"/>
      <c r="AB61" s="273">
        <f>SUM('OPX_BN+1'!$T61:$AA61)</f>
        <v>-2600</v>
      </c>
      <c r="AC61" s="426"/>
      <c r="AD61" s="426"/>
      <c r="AE61" s="417">
        <v>0</v>
      </c>
      <c r="AF61" s="417">
        <v>0</v>
      </c>
      <c r="AG61" s="417">
        <v>0</v>
      </c>
      <c r="AH61" s="417">
        <v>-13100</v>
      </c>
      <c r="AI61" s="417">
        <v>0</v>
      </c>
      <c r="AJ61" s="371">
        <f>SUM('OPX_BN+1'!$AC61:$AI61)</f>
        <v>-13100</v>
      </c>
      <c r="AK61" s="424"/>
      <c r="AL61" s="276">
        <f>SUM('OPX_BN+1'!$J61,'OPX_BN+1'!$AB61,'OPX_BN+1'!$S61,'OPX_BN+1'!$AJ61,'OPX_BN+1'!$R61,'OPX_BN+1'!$AK61)</f>
        <v>-104500</v>
      </c>
      <c r="AM61" s="427"/>
    </row>
    <row r="62" spans="1:39" ht="15">
      <c r="A62" s="325" t="s">
        <v>616</v>
      </c>
      <c r="B62" s="320" t="str">
        <f>VLOOKUP('OPX_BN+1'!$A62,Tableau106[],3,FALSE)</f>
        <v>A895</v>
      </c>
      <c r="C62" s="320" t="str">
        <f>VLOOKUP('OPX_BN+1'!$A62,Tableau106[],2,FALSE)</f>
        <v>FR76E99E</v>
      </c>
      <c r="D62" s="320" t="str">
        <f>VLOOKUP('OPX_BN+1'!$A62,Tableau106[],8,FALSE)</f>
        <v>EOLIEN</v>
      </c>
      <c r="E62" s="321">
        <f>VLOOKUP('OPX_BN+1'!$A62,Tableau106[],4,FALSE)</f>
        <v>4.5</v>
      </c>
      <c r="F62" s="322" t="str">
        <f>VLOOKUP('OPX_BN+1'!$A62,Tableau106[],5,FALSE)</f>
        <v>FECA</v>
      </c>
      <c r="G62" s="322" t="str">
        <f>VLOOKUP('OPX_BN+1'!$A62,Tableau106[],7,FALSE)</f>
        <v>GROUPE</v>
      </c>
      <c r="H62" s="322" t="str">
        <f>VLOOKUP('OPX_BN+1'!$A62,Tableau106[],6,FALSE)</f>
        <v>N</v>
      </c>
      <c r="I62" s="372" t="str">
        <f>VLOOKUP(Tableau17[[#This Row],[OPEX VARIABLES en €
BN 2024]],Tableau106[],9,FALSE)</f>
        <v>AnN</v>
      </c>
      <c r="J62" s="360">
        <f>VLOOKUP(Tableau17[[#This Row],[CODE PI]],Tableau16[[CODE PI]:[(mesures compensatoires du PC ou autres)]],5,FALSE)*(1+$B$1)</f>
        <v>-80430.724999999991</v>
      </c>
      <c r="K62" s="228">
        <v>-200330</v>
      </c>
      <c r="L62" s="228"/>
      <c r="M62" s="229">
        <v>0</v>
      </c>
      <c r="N62" s="229">
        <v>0</v>
      </c>
      <c r="O62" s="229">
        <v>0</v>
      </c>
      <c r="P62" s="229">
        <v>0</v>
      </c>
      <c r="Q62" s="229">
        <f>-250*'OPX_BN+1'!$E62</f>
        <v>-1125</v>
      </c>
      <c r="R62" s="274">
        <f>SUM('OPX_BN+1'!$K62:$Q62)</f>
        <v>-201455</v>
      </c>
      <c r="S62" s="337">
        <f>VLOOKUP(Tableau17[[#This Row],[CODE PI]],Tableau16[[CODE PI]:[(mesures compensatoires du PC ou autres)]],14,FALSE)*(1+$B$1)</f>
        <v>0</v>
      </c>
      <c r="T62" s="423">
        <v>0</v>
      </c>
      <c r="U62" s="341">
        <v>0</v>
      </c>
      <c r="V62" s="423">
        <v>-1000</v>
      </c>
      <c r="W62" s="423">
        <v>0</v>
      </c>
      <c r="X62" s="423">
        <v>0</v>
      </c>
      <c r="Y62" s="423">
        <v>0</v>
      </c>
      <c r="Z62" s="264">
        <f>-250*Tableau17[[#This Row],[MW]]</f>
        <v>-1125</v>
      </c>
      <c r="AA62" s="423"/>
      <c r="AB62" s="273">
        <f>SUM('OPX_BN+1'!$T62:$AA62)</f>
        <v>-2125</v>
      </c>
      <c r="AC62" s="426"/>
      <c r="AD62" s="426"/>
      <c r="AE62" s="417">
        <v>0</v>
      </c>
      <c r="AF62" s="417">
        <v>0</v>
      </c>
      <c r="AG62" s="417">
        <v>0</v>
      </c>
      <c r="AH62" s="417">
        <v>0</v>
      </c>
      <c r="AI62" s="417">
        <v>0</v>
      </c>
      <c r="AJ62" s="371">
        <f>SUM('OPX_BN+1'!$AC62:$AI62)</f>
        <v>0</v>
      </c>
      <c r="AK62" s="424"/>
      <c r="AL62" s="276">
        <f>SUM('OPX_BN+1'!$J62,'OPX_BN+1'!$AB62,'OPX_BN+1'!$S62,'OPX_BN+1'!$AJ62,'OPX_BN+1'!$R62,'OPX_BN+1'!$AK62)</f>
        <v>-284010.72499999998</v>
      </c>
      <c r="AM62" s="427"/>
    </row>
    <row r="63" spans="1:39" ht="15">
      <c r="A63" s="244" t="s">
        <v>131</v>
      </c>
      <c r="B63" s="320" t="str">
        <f>VLOOKUP('OPX_BN+1'!$A63,Tableau106[],3,FALSE)</f>
        <v>A257</v>
      </c>
      <c r="C63" s="320" t="str">
        <f>VLOOKUP('OPX_BN+1'!$A63,Tableau106[],2,FALSE)</f>
        <v>FR11S07E</v>
      </c>
      <c r="D63" s="320" t="str">
        <f>VLOOKUP('OPX_BN+1'!$A63,Tableau106[],8,FALSE)</f>
        <v>SOLAIRE</v>
      </c>
      <c r="E63" s="321">
        <f>VLOOKUP('OPX_BN+1'!$A63,Tableau106[],4,FALSE)</f>
        <v>5</v>
      </c>
      <c r="F63" s="322" t="str">
        <f>VLOOKUP('OPX_BN+1'!$A63,Tableau106[],5,FALSE)</f>
        <v>FEND</v>
      </c>
      <c r="G63" s="322" t="str">
        <f>VLOOKUP('OPX_BN+1'!$A63,Tableau106[],7,FALSE)</f>
        <v>GROUPE</v>
      </c>
      <c r="H63" s="322" t="str">
        <f>VLOOKUP('OPX_BN+1'!$A63,Tableau106[],6,FALSE)</f>
        <v>S</v>
      </c>
      <c r="I63" s="372" t="str">
        <f>VLOOKUP(Tableau17[[#This Row],[OPEX VARIABLES en €
BN 2024]],Tableau106[],9,FALSE)</f>
        <v>BaA</v>
      </c>
      <c r="J63" s="360">
        <f>VLOOKUP(Tableau17[[#This Row],[CODE PI]],Tableau16[[CODE PI]:[(mesures compensatoires du PC ou autres)]],5,FALSE)*(1+$B$1)</f>
        <v>-25935.574999999997</v>
      </c>
      <c r="K63" s="228">
        <v>-2700</v>
      </c>
      <c r="L63" s="228"/>
      <c r="M63" s="229">
        <v>0</v>
      </c>
      <c r="N63" s="229">
        <v>0</v>
      </c>
      <c r="O63" s="229">
        <v>0</v>
      </c>
      <c r="P63" s="229">
        <v>0</v>
      </c>
      <c r="Q63" s="229">
        <f>-250*'OPX_BN+1'!$E63</f>
        <v>-1250</v>
      </c>
      <c r="R63" s="274">
        <f>SUM('OPX_BN+1'!$K63:$Q63)</f>
        <v>-3950</v>
      </c>
      <c r="S63" s="337">
        <f>VLOOKUP(Tableau17[[#This Row],[CODE PI]],Tableau16[[CODE PI]:[(mesures compensatoires du PC ou autres)]],14,FALSE)*(1+$B$1)</f>
        <v>0</v>
      </c>
      <c r="T63" s="423">
        <v>0</v>
      </c>
      <c r="U63" s="341">
        <v>0</v>
      </c>
      <c r="V63" s="423">
        <v>-1300</v>
      </c>
      <c r="W63" s="423">
        <v>0</v>
      </c>
      <c r="X63" s="423">
        <v>0</v>
      </c>
      <c r="Y63" s="423">
        <v>0</v>
      </c>
      <c r="Z63" s="264">
        <f>-250*Tableau17[[#This Row],[MW]]</f>
        <v>-1250</v>
      </c>
      <c r="AA63" s="423"/>
      <c r="AB63" s="273">
        <f>SUM('OPX_BN+1'!$T63:$AA63)</f>
        <v>-2550</v>
      </c>
      <c r="AC63" s="426"/>
      <c r="AD63" s="426"/>
      <c r="AE63" s="417">
        <v>0</v>
      </c>
      <c r="AF63" s="417">
        <v>0</v>
      </c>
      <c r="AG63" s="417">
        <v>0</v>
      </c>
      <c r="AH63" s="417">
        <v>-2160</v>
      </c>
      <c r="AI63" s="417">
        <v>0</v>
      </c>
      <c r="AJ63" s="371">
        <f>SUM('OPX_BN+1'!$AC63:$AI63)</f>
        <v>-2160</v>
      </c>
      <c r="AK63" s="424"/>
      <c r="AL63" s="276">
        <f>SUM('OPX_BN+1'!$J63,'OPX_BN+1'!$AB63,'OPX_BN+1'!$S63,'OPX_BN+1'!$AJ63,'OPX_BN+1'!$R63,'OPX_BN+1'!$AK63)</f>
        <v>-34595.574999999997</v>
      </c>
      <c r="AM63" s="427"/>
    </row>
    <row r="64" spans="1:39" ht="15">
      <c r="A64" s="325" t="s">
        <v>586</v>
      </c>
      <c r="B64" s="320" t="str">
        <f>VLOOKUP('OPX_BN+1'!$A64,Tableau106[],3,FALSE)</f>
        <v>A053</v>
      </c>
      <c r="C64" s="320" t="str">
        <f>VLOOKUP('OPX_BN+1'!$A64,Tableau106[],2,FALSE)</f>
        <v>FR62E99E</v>
      </c>
      <c r="D64" s="320" t="str">
        <f>VLOOKUP('OPX_BN+1'!$A64,Tableau106[],8,FALSE)</f>
        <v>EOLIEN</v>
      </c>
      <c r="E64" s="321">
        <f>VLOOKUP('OPX_BN+1'!$A64,Tableau106[],4,FALSE)</f>
        <v>11.5</v>
      </c>
      <c r="F64" s="322" t="str">
        <f>VLOOKUP('OPX_BN+1'!$A64,Tableau106[],5,FALSE)</f>
        <v>FIEN</v>
      </c>
      <c r="G64" s="322" t="str">
        <f>VLOOKUP('OPX_BN+1'!$A64,Tableau106[],7,FALSE)</f>
        <v>GROUPE</v>
      </c>
      <c r="H64" s="322" t="str">
        <f>VLOOKUP('OPX_BN+1'!$A64,Tableau106[],6,FALSE)</f>
        <v>N</v>
      </c>
      <c r="I64" s="372" t="str">
        <f>VLOOKUP(Tableau17[[#This Row],[OPEX VARIABLES en €
BN 2024]],Tableau106[],9,FALSE)</f>
        <v>MéS</v>
      </c>
      <c r="J64" s="360">
        <f>VLOOKUP(Tableau17[[#This Row],[CODE PI]],Tableau16[[CODE PI]:[(mesures compensatoires du PC ou autres)]],5,FALSE)*(1+$B$1)</f>
        <v>-6842.9</v>
      </c>
      <c r="K64" s="228">
        <v>-6010</v>
      </c>
      <c r="L64" s="228"/>
      <c r="M64" s="229">
        <v>0</v>
      </c>
      <c r="N64" s="229">
        <v>0</v>
      </c>
      <c r="O64" s="385">
        <v>-1417</v>
      </c>
      <c r="P64" s="229">
        <f>-440*Tableau17[[#This Row],[MW]]</f>
        <v>-5060</v>
      </c>
      <c r="Q64" s="229">
        <f>-250*'OPX_BN+1'!$E64</f>
        <v>-2875</v>
      </c>
      <c r="R64" s="274">
        <f>SUM('OPX_BN+1'!$K64:$Q64)</f>
        <v>-15362</v>
      </c>
      <c r="S64" s="337">
        <f>VLOOKUP(Tableau17[[#This Row],[CODE PI]],Tableau16[[CODE PI]:[(mesures compensatoires du PC ou autres)]],14,FALSE)*(1+$B$1)</f>
        <v>-361183.35</v>
      </c>
      <c r="T64" s="404">
        <v>-459</v>
      </c>
      <c r="U64" s="341">
        <v>0</v>
      </c>
      <c r="V64" s="405">
        <v>-1100</v>
      </c>
      <c r="W64" s="423">
        <v>0</v>
      </c>
      <c r="X64" s="423">
        <v>0</v>
      </c>
      <c r="Y64" s="423">
        <v>0</v>
      </c>
      <c r="Z64" s="264">
        <f>-250*Tableau17[[#This Row],[MW]]</f>
        <v>-2875</v>
      </c>
      <c r="AA64" s="423"/>
      <c r="AB64" s="273">
        <f>SUM('OPX_BN+1'!$T64:$AA64)</f>
        <v>-4434</v>
      </c>
      <c r="AC64" s="426"/>
      <c r="AD64" s="426">
        <f>-4924*1.025</f>
        <v>-5047.0999999999995</v>
      </c>
      <c r="AE64" s="417">
        <v>0</v>
      </c>
      <c r="AF64" s="417">
        <v>0</v>
      </c>
      <c r="AG64" s="417">
        <v>0</v>
      </c>
      <c r="AH64" s="417">
        <v>0</v>
      </c>
      <c r="AI64" s="417">
        <v>-50000</v>
      </c>
      <c r="AJ64" s="371">
        <f>SUM('OPX_BN+1'!$AC64:$AI64)</f>
        <v>-55047.1</v>
      </c>
      <c r="AK64" s="424"/>
      <c r="AL64" s="276">
        <f>SUM('OPX_BN+1'!$J64,'OPX_BN+1'!$AB64,'OPX_BN+1'!$S64,'OPX_BN+1'!$AJ64,'OPX_BN+1'!$R64,'OPX_BN+1'!$AK64)</f>
        <v>-442869.35</v>
      </c>
      <c r="AM64" s="427"/>
    </row>
    <row r="65" spans="1:39" ht="15">
      <c r="A65" s="244" t="s">
        <v>484</v>
      </c>
      <c r="B65" s="320" t="str">
        <f>VLOOKUP('OPX_BN+1'!$A65,Tableau106[],3,FALSE)</f>
        <v>A542</v>
      </c>
      <c r="C65" s="320" t="str">
        <f>VLOOKUP('OPX_BN+1'!$A65,Tableau106[],2,FALSE)</f>
        <v>FR11E03E</v>
      </c>
      <c r="D65" s="320" t="str">
        <f>VLOOKUP('OPX_BN+1'!$A65,Tableau106[],8,FALSE)</f>
        <v>EOLIEN</v>
      </c>
      <c r="E65" s="321">
        <f>VLOOKUP('OPX_BN+1'!$A65,Tableau106[],4,FALSE)</f>
        <v>11.7</v>
      </c>
      <c r="F65" s="322" t="str">
        <f>VLOOKUP('OPX_BN+1'!$A65,Tableau106[],5,FALSE)</f>
        <v>FITO</v>
      </c>
      <c r="G65" s="322" t="str">
        <f>VLOOKUP('OPX_BN+1'!$A65,Tableau106[],7,FALSE)</f>
        <v>EGM</v>
      </c>
      <c r="H65" s="322" t="str">
        <f>VLOOKUP('OPX_BN+1'!$A65,Tableau106[],6,FALSE)</f>
        <v>S</v>
      </c>
      <c r="I65" s="372" t="str">
        <f>VLOOKUP(Tableau17[[#This Row],[OPEX VARIABLES en €
BN 2024]],Tableau106[],9,FALSE)</f>
        <v>StE</v>
      </c>
      <c r="J65" s="360">
        <f>VLOOKUP(Tableau17[[#This Row],[CODE PI]],Tableau16[[CODE PI]:[(mesures compensatoires du PC ou autres)]],5,FALSE)*(1+$B$1)</f>
        <v>-332552.02499999997</v>
      </c>
      <c r="K65" s="228">
        <v>-308060</v>
      </c>
      <c r="L65" s="228"/>
      <c r="M65" s="229">
        <v>0</v>
      </c>
      <c r="N65" s="229">
        <v>0</v>
      </c>
      <c r="O65" s="229">
        <v>0</v>
      </c>
      <c r="P65" s="229">
        <v>-5148</v>
      </c>
      <c r="Q65" s="229">
        <f>-250*'OPX_BN+1'!$E65</f>
        <v>-2925</v>
      </c>
      <c r="R65" s="274">
        <f>SUM('OPX_BN+1'!$K65:$Q65)</f>
        <v>-316133</v>
      </c>
      <c r="S65" s="337">
        <f>VLOOKUP(Tableau17[[#This Row],[CODE PI]],Tableau16[[CODE PI]:[(mesures compensatoires du PC ou autres)]],14,FALSE)*(1+$B$1)</f>
        <v>0</v>
      </c>
      <c r="T65" s="423">
        <v>0</v>
      </c>
      <c r="U65" s="341">
        <v>0</v>
      </c>
      <c r="V65" s="423">
        <v>-20000</v>
      </c>
      <c r="W65" s="423">
        <v>0</v>
      </c>
      <c r="X65" s="423">
        <v>0</v>
      </c>
      <c r="Y65" s="423">
        <v>0</v>
      </c>
      <c r="Z65" s="264">
        <f>-250*Tableau17[[#This Row],[MW]]</f>
        <v>-2925</v>
      </c>
      <c r="AA65" s="423">
        <v>-2000</v>
      </c>
      <c r="AB65" s="273">
        <f>SUM('OPX_BN+1'!$T65:$AA65)</f>
        <v>-24925</v>
      </c>
      <c r="AC65" s="426"/>
      <c r="AD65" s="426">
        <f>-4924*1.025</f>
        <v>-5047.0999999999995</v>
      </c>
      <c r="AE65" s="417">
        <v>0</v>
      </c>
      <c r="AF65" s="417">
        <v>0</v>
      </c>
      <c r="AG65" s="417">
        <v>0</v>
      </c>
      <c r="AH65" s="417">
        <v>0</v>
      </c>
      <c r="AI65" s="417">
        <v>0</v>
      </c>
      <c r="AJ65" s="371">
        <f>SUM('OPX_BN+1'!$AC65:$AI65)</f>
        <v>-5047.0999999999995</v>
      </c>
      <c r="AK65" s="424"/>
      <c r="AL65" s="276">
        <f>SUM('OPX_BN+1'!$J65,'OPX_BN+1'!$AB65,'OPX_BN+1'!$S65,'OPX_BN+1'!$AJ65,'OPX_BN+1'!$R65,'OPX_BN+1'!$AK65)</f>
        <v>-678657.125</v>
      </c>
      <c r="AM65" s="427"/>
    </row>
    <row r="66" spans="1:39" ht="15">
      <c r="A66" s="325" t="s">
        <v>496</v>
      </c>
      <c r="B66" s="320" t="str">
        <f>VLOOKUP('OPX_BN+1'!$A66,Tableau106[],3,FALSE)</f>
        <v>F032</v>
      </c>
      <c r="C66" s="320" t="str">
        <f>VLOOKUP('OPX_BN+1'!$A66,Tableau106[],2,FALSE)</f>
        <v>FR80E96E</v>
      </c>
      <c r="D66" s="320" t="str">
        <f>VLOOKUP('OPX_BN+1'!$A66,Tableau106[],8,FALSE)</f>
        <v>EOLIEN</v>
      </c>
      <c r="E66" s="321">
        <f>VLOOKUP('OPX_BN+1'!$A66,Tableau106[],4,FALSE)</f>
        <v>10</v>
      </c>
      <c r="F66" s="322" t="str">
        <f>VLOOKUP('OPX_BN+1'!$A66,Tableau106[],5,FALSE)</f>
        <v>CEFF</v>
      </c>
      <c r="G66" s="322" t="str">
        <f>VLOOKUP('OPX_BN+1'!$A66,Tableau106[],7,FALSE)</f>
        <v>FUTUREN</v>
      </c>
      <c r="H66" s="322" t="str">
        <f>VLOOKUP('OPX_BN+1'!$A66,Tableau106[],6,FALSE)</f>
        <v>N</v>
      </c>
      <c r="I66" s="372" t="str">
        <f>VLOOKUP(Tableau17[[#This Row],[OPEX VARIABLES en €
BN 2024]],Tableau106[],9,FALSE)</f>
        <v>NiD</v>
      </c>
      <c r="J66" s="360">
        <f>VLOOKUP(Tableau17[[#This Row],[CODE PI]],Tableau16[[CODE PI]:[(mesures compensatoires du PC ou autres)]],5,FALSE)*(1+$B$1)</f>
        <v>-263557.22499999998</v>
      </c>
      <c r="K66" s="228">
        <v>0</v>
      </c>
      <c r="L66" s="228"/>
      <c r="M66" s="229">
        <v>0</v>
      </c>
      <c r="N66" s="229">
        <v>0</v>
      </c>
      <c r="O66" s="229">
        <v>0</v>
      </c>
      <c r="P66" s="229">
        <f>-440*Tableau17[[#This Row],[MW]]</f>
        <v>-4400</v>
      </c>
      <c r="Q66" s="229">
        <f>-250*'OPX_BN+1'!$E66</f>
        <v>-2500</v>
      </c>
      <c r="R66" s="274">
        <f>SUM('OPX_BN+1'!$K66:$Q66)</f>
        <v>-6900</v>
      </c>
      <c r="S66" s="337">
        <f>VLOOKUP(Tableau17[[#This Row],[CODE PI]],Tableau16[[CODE PI]:[(mesures compensatoires du PC ou autres)]],14,FALSE)*(1+$B$1)</f>
        <v>0</v>
      </c>
      <c r="T66" s="423">
        <v>0</v>
      </c>
      <c r="U66" s="341">
        <v>0</v>
      </c>
      <c r="V66" s="423">
        <v>-1500</v>
      </c>
      <c r="W66" s="423"/>
      <c r="X66" s="423">
        <v>0</v>
      </c>
      <c r="Y66" s="423">
        <v>0</v>
      </c>
      <c r="Z66" s="264">
        <f>-250*Tableau17[[#This Row],[MW]]</f>
        <v>-2500</v>
      </c>
      <c r="AA66" s="423"/>
      <c r="AB66" s="273">
        <f>SUM('OPX_BN+1'!$T66:$AA66)</f>
        <v>-4000</v>
      </c>
      <c r="AC66" s="426"/>
      <c r="AD66" s="426"/>
      <c r="AE66" s="417">
        <v>0</v>
      </c>
      <c r="AF66" s="417">
        <v>0</v>
      </c>
      <c r="AG66" s="417">
        <v>0</v>
      </c>
      <c r="AH66" s="417">
        <v>0</v>
      </c>
      <c r="AI66" s="417">
        <v>0</v>
      </c>
      <c r="AJ66" s="371">
        <f>SUM('OPX_BN+1'!$AC66:$AI66)</f>
        <v>0</v>
      </c>
      <c r="AK66" s="424"/>
      <c r="AL66" s="276">
        <f>SUM('OPX_BN+1'!$J66,'OPX_BN+1'!$AB66,'OPX_BN+1'!$S66,'OPX_BN+1'!$AJ66,'OPX_BN+1'!$R66,'OPX_BN+1'!$AK66)</f>
        <v>-274457.22499999998</v>
      </c>
      <c r="AM66" s="427"/>
    </row>
    <row r="67" spans="1:39" ht="15">
      <c r="A67" s="244" t="s">
        <v>507</v>
      </c>
      <c r="B67" s="320" t="str">
        <f>VLOOKUP('OPX_BN+1'!$A67,Tableau106[],3,FALSE)</f>
        <v>A286</v>
      </c>
      <c r="C67" s="320" t="str">
        <f>VLOOKUP('OPX_BN+1'!$A67,Tableau106[],2,FALSE)</f>
        <v>FR28E03E</v>
      </c>
      <c r="D67" s="320" t="str">
        <f>VLOOKUP('OPX_BN+1'!$A67,Tableau106[],8,FALSE)</f>
        <v>EOLIEN</v>
      </c>
      <c r="E67" s="321">
        <f>VLOOKUP('OPX_BN+1'!$A67,Tableau106[],4,FALSE)</f>
        <v>13.2</v>
      </c>
      <c r="F67" s="322" t="str">
        <f>VLOOKUP('OPX_BN+1'!$A67,Tableau106[],5,FALSE)</f>
        <v>FOGU</v>
      </c>
      <c r="G67" s="322" t="str">
        <f>VLOOKUP('OPX_BN+1'!$A67,Tableau106[],7,FALSE)</f>
        <v>GROUPE</v>
      </c>
      <c r="H67" s="322" t="str">
        <f>VLOOKUP('OPX_BN+1'!$A67,Tableau106[],6,FALSE)</f>
        <v>N</v>
      </c>
      <c r="I67" s="372" t="str">
        <f>VLOOKUP(Tableau17[[#This Row],[OPEX VARIABLES en €
BN 2024]],Tableau106[],9,FALSE)</f>
        <v>NiL</v>
      </c>
      <c r="J67" s="360">
        <f>VLOOKUP(Tableau17[[#This Row],[CODE PI]],Tableau16[[CODE PI]:[(mesures compensatoires du PC ou autres)]],5,FALSE)*(1+$B$1)</f>
        <v>-10646.674999999999</v>
      </c>
      <c r="K67" s="228">
        <v>-14410</v>
      </c>
      <c r="L67" s="228"/>
      <c r="M67" s="229">
        <v>0</v>
      </c>
      <c r="N67" s="229">
        <v>0</v>
      </c>
      <c r="O67" s="229">
        <v>0</v>
      </c>
      <c r="P67" s="229">
        <v>-4620</v>
      </c>
      <c r="Q67" s="229">
        <f>-250*'OPX_BN+1'!$E67</f>
        <v>-3300</v>
      </c>
      <c r="R67" s="274">
        <f>SUM('OPX_BN+1'!$K67:$Q67)</f>
        <v>-22330</v>
      </c>
      <c r="S67" s="337">
        <f>VLOOKUP(Tableau17[[#This Row],[CODE PI]],Tableau16[[CODE PI]:[(mesures compensatoires du PC ou autres)]],14,FALSE)*(1+$B$1)</f>
        <v>-211225.84999999998</v>
      </c>
      <c r="T67" s="423">
        <v>0</v>
      </c>
      <c r="U67" s="341">
        <v>0</v>
      </c>
      <c r="V67" s="423">
        <v>-10000</v>
      </c>
      <c r="W67" s="423">
        <f>-450*6</f>
        <v>-2700</v>
      </c>
      <c r="X67" s="423">
        <v>0</v>
      </c>
      <c r="Y67" s="423">
        <v>0</v>
      </c>
      <c r="Z67" s="264">
        <f>-250*Tableau17[[#This Row],[MW]]</f>
        <v>-3300</v>
      </c>
      <c r="AA67" s="423"/>
      <c r="AB67" s="273">
        <f>SUM('OPX_BN+1'!$T67:$AA67)</f>
        <v>-16000</v>
      </c>
      <c r="AC67" s="426"/>
      <c r="AD67" s="426"/>
      <c r="AE67" s="417">
        <v>0</v>
      </c>
      <c r="AF67" s="417">
        <v>0</v>
      </c>
      <c r="AG67" s="417">
        <v>0</v>
      </c>
      <c r="AH67" s="417">
        <v>0</v>
      </c>
      <c r="AI67" s="417">
        <v>0</v>
      </c>
      <c r="AJ67" s="371">
        <f>SUM('OPX_BN+1'!$AC67:$AI67)</f>
        <v>0</v>
      </c>
      <c r="AK67" s="424"/>
      <c r="AL67" s="276">
        <f>SUM('OPX_BN+1'!$J67,'OPX_BN+1'!$AB67,'OPX_BN+1'!$S67,'OPX_BN+1'!$AJ67,'OPX_BN+1'!$R67,'OPX_BN+1'!$AK67)</f>
        <v>-260202.52499999997</v>
      </c>
      <c r="AM67" s="427"/>
    </row>
    <row r="68" spans="1:39" ht="15">
      <c r="A68" s="325" t="s">
        <v>498</v>
      </c>
      <c r="B68" s="320" t="str">
        <f>VLOOKUP('OPX_BN+1'!$A68,Tableau106[],3,FALSE)</f>
        <v>A037</v>
      </c>
      <c r="C68" s="320" t="str">
        <f>VLOOKUP('OPX_BN+1'!$A68,Tableau106[],2,FALSE)</f>
        <v>FR13S15E</v>
      </c>
      <c r="D68" s="320" t="str">
        <f>VLOOKUP('OPX_BN+1'!$A68,Tableau106[],8,FALSE)</f>
        <v>SOLAIRE</v>
      </c>
      <c r="E68" s="321">
        <f>VLOOKUP('OPX_BN+1'!$A68,Tableau106[],4,FALSE)</f>
        <v>11.9</v>
      </c>
      <c r="F68" s="322" t="str">
        <f>VLOOKUP('OPX_BN+1'!$A68,Tableau106[],5,FALSE)</f>
        <v>FOST</v>
      </c>
      <c r="G68" s="322" t="str">
        <f>VLOOKUP('OPX_BN+1'!$A68,Tableau106[],7,FALSE)</f>
        <v>GROUPE</v>
      </c>
      <c r="H68" s="322" t="str">
        <f>VLOOKUP('OPX_BN+1'!$A68,Tableau106[],6,FALSE)</f>
        <v>S</v>
      </c>
      <c r="I68" s="372" t="str">
        <f>VLOOKUP(Tableau17[[#This Row],[OPEX VARIABLES en €
BN 2024]],Tableau106[],9,FALSE)</f>
        <v>ArB</v>
      </c>
      <c r="J68" s="360">
        <f>VLOOKUP(Tableau17[[#This Row],[CODE PI]],Tableau16[[CODE PI]:[(mesures compensatoires du PC ou autres)]],5,FALSE)*(1+$B$1)</f>
        <v>-138674.29999999999</v>
      </c>
      <c r="K68" s="228">
        <v>-20000</v>
      </c>
      <c r="L68" s="228"/>
      <c r="M68" s="229">
        <v>0</v>
      </c>
      <c r="N68" s="229">
        <v>0</v>
      </c>
      <c r="O68" s="229">
        <v>0</v>
      </c>
      <c r="P68" s="229">
        <v>0</v>
      </c>
      <c r="Q68" s="229">
        <f>-250*'OPX_BN+1'!$E68</f>
        <v>-2975</v>
      </c>
      <c r="R68" s="274">
        <f>SUM('OPX_BN+1'!$K68:$Q68)</f>
        <v>-22975</v>
      </c>
      <c r="S68" s="337">
        <f>VLOOKUP(Tableau17[[#This Row],[CODE PI]],Tableau16[[CODE PI]:[(mesures compensatoires du PC ou autres)]],14,FALSE)*(1+$B$1)</f>
        <v>0</v>
      </c>
      <c r="T68" s="423">
        <v>-22080</v>
      </c>
      <c r="U68" s="341">
        <v>0</v>
      </c>
      <c r="V68" s="423">
        <v>0</v>
      </c>
      <c r="W68" s="423">
        <v>0</v>
      </c>
      <c r="X68" s="423">
        <v>0</v>
      </c>
      <c r="Y68" s="423">
        <v>0</v>
      </c>
      <c r="Z68" s="264">
        <f>-250*Tableau17[[#This Row],[MW]]</f>
        <v>-2975</v>
      </c>
      <c r="AA68" s="423">
        <v>-1400</v>
      </c>
      <c r="AB68" s="273">
        <f>SUM('OPX_BN+1'!$T68:$AA68)</f>
        <v>-26455</v>
      </c>
      <c r="AC68" s="426"/>
      <c r="AD68" s="426"/>
      <c r="AE68" s="417">
        <v>0</v>
      </c>
      <c r="AF68" s="417">
        <v>0</v>
      </c>
      <c r="AG68" s="417">
        <v>0</v>
      </c>
      <c r="AH68" s="417">
        <v>0</v>
      </c>
      <c r="AI68" s="417">
        <v>0</v>
      </c>
      <c r="AJ68" s="371">
        <f>SUM('OPX_BN+1'!$AC68:$AI68)</f>
        <v>0</v>
      </c>
      <c r="AK68" s="424"/>
      <c r="AL68" s="276">
        <f>SUM('OPX_BN+1'!$J68,'OPX_BN+1'!$AB68,'OPX_BN+1'!$S68,'OPX_BN+1'!$AJ68,'OPX_BN+1'!$R68,'OPX_BN+1'!$AK68)</f>
        <v>-188104.3</v>
      </c>
      <c r="AM68" s="427"/>
    </row>
    <row r="69" spans="1:39" ht="15">
      <c r="A69" s="325" t="s">
        <v>515</v>
      </c>
      <c r="B69" s="320" t="str">
        <f>VLOOKUP('OPX_BN+1'!$A69,Tableau106[],3,FALSE)</f>
        <v>A894</v>
      </c>
      <c r="C69" s="320" t="str">
        <f>VLOOKUP('OPX_BN+1'!$A69,Tableau106[],2,FALSE)</f>
        <v>FR07E99E</v>
      </c>
      <c r="D69" s="320" t="str">
        <f>VLOOKUP('OPX_BN+1'!$A69,Tableau106[],8,FALSE)</f>
        <v>EOLIEN</v>
      </c>
      <c r="E69" s="321">
        <f>VLOOKUP('OPX_BN+1'!$A69,Tableau106[],4,FALSE)</f>
        <v>10</v>
      </c>
      <c r="F69" s="322" t="str">
        <f>VLOOKUP('OPX_BN+1'!$A69,Tableau106[],5,FALSE)</f>
        <v>FREY</v>
      </c>
      <c r="G69" s="322" t="str">
        <f>VLOOKUP('OPX_BN+1'!$A69,Tableau106[],7,FALSE)</f>
        <v>GROUPE</v>
      </c>
      <c r="H69" s="322" t="str">
        <f>VLOOKUP('OPX_BN+1'!$A69,Tableau106[],6,FALSE)</f>
        <v>S</v>
      </c>
      <c r="I69" s="372" t="str">
        <f>VLOOKUP(Tableau17[[#This Row],[OPEX VARIABLES en €
BN 2024]],Tableau106[],9,FALSE)</f>
        <v>ThC</v>
      </c>
      <c r="J69" s="360">
        <f>VLOOKUP(Tableau17[[#This Row],[CODE PI]],Tableau16[[CODE PI]:[(mesures compensatoires du PC ou autres)]],5,FALSE)*(1+$B$1)</f>
        <v>0</v>
      </c>
      <c r="K69" s="228">
        <v>0</v>
      </c>
      <c r="L69" s="228"/>
      <c r="M69" s="229">
        <v>0</v>
      </c>
      <c r="N69" s="229">
        <v>0</v>
      </c>
      <c r="O69" s="229">
        <v>0</v>
      </c>
      <c r="P69" s="229">
        <f>-4400-5000</f>
        <v>-9400</v>
      </c>
      <c r="Q69" s="229">
        <f>-250*'OPX_BN+1'!$E69</f>
        <v>-2500</v>
      </c>
      <c r="R69" s="274">
        <f>SUM('OPX_BN+1'!$K69:$Q69)</f>
        <v>-11900</v>
      </c>
      <c r="S69" s="337">
        <f>VLOOKUP(Tableau17[[#This Row],[CODE PI]],Tableau16[[CODE PI]:[(mesures compensatoires du PC ou autres)]],14,FALSE)*(1+$B$1)</f>
        <v>-338748.14999999997</v>
      </c>
      <c r="T69" s="361">
        <v>-30000</v>
      </c>
      <c r="U69" s="362">
        <v>0</v>
      </c>
      <c r="V69" s="361">
        <v>-10000</v>
      </c>
      <c r="W69" s="361">
        <v>-3000</v>
      </c>
      <c r="X69" s="361">
        <v>0</v>
      </c>
      <c r="Y69" s="423"/>
      <c r="Z69" s="264">
        <f>-250*Tableau17[[#This Row],[MW]]</f>
        <v>-2500</v>
      </c>
      <c r="AA69" s="423">
        <v>-4000</v>
      </c>
      <c r="AB69" s="273">
        <f>SUM('OPX_BN+1'!$T69:$AA69)</f>
        <v>-49500</v>
      </c>
      <c r="AC69" s="426"/>
      <c r="AD69" s="426">
        <f t="shared" ref="AD69" si="2">-4924*1.025</f>
        <v>-5047.0999999999995</v>
      </c>
      <c r="AE69" s="417">
        <v>0</v>
      </c>
      <c r="AF69" s="417">
        <v>0</v>
      </c>
      <c r="AG69" s="417">
        <v>0</v>
      </c>
      <c r="AH69" s="417">
        <v>0</v>
      </c>
      <c r="AI69" s="417">
        <v>0</v>
      </c>
      <c r="AJ69" s="371">
        <f>SUM('OPX_BN+1'!$AC69:$AI69)</f>
        <v>-5047.0999999999995</v>
      </c>
      <c r="AK69" s="424"/>
      <c r="AL69" s="276">
        <f>SUM('OPX_BN+1'!$J69,'OPX_BN+1'!$AB69,'OPX_BN+1'!$S69,'OPX_BN+1'!$AJ69,'OPX_BN+1'!$R69,'OPX_BN+1'!$AK69)</f>
        <v>-405195.24999999994</v>
      </c>
      <c r="AM69" s="427"/>
    </row>
    <row r="70" spans="1:39" ht="15">
      <c r="A70" s="244" t="s">
        <v>500</v>
      </c>
      <c r="B70" s="320" t="str">
        <f>VLOOKUP('OPX_BN+1'!$A70,Tableau106[],3,FALSE)</f>
        <v>A191</v>
      </c>
      <c r="C70" s="320" t="str">
        <f>VLOOKUP('OPX_BN+1'!$A70,Tableau106[],2,FALSE)</f>
        <v>FR40S04E</v>
      </c>
      <c r="D70" s="320" t="str">
        <f>VLOOKUP('OPX_BN+1'!$A70,Tableau106[],8,FALSE)</f>
        <v>SOLAIRE</v>
      </c>
      <c r="E70" s="321">
        <f>VLOOKUP('OPX_BN+1'!$A70,Tableau106[],4,FALSE)</f>
        <v>11.9</v>
      </c>
      <c r="F70" s="322" t="str">
        <f>VLOOKUP('OPX_BN+1'!$A70,Tableau106[],5,FALSE)</f>
        <v>GAB1</v>
      </c>
      <c r="G70" s="322" t="str">
        <f>VLOOKUP('OPX_BN+1'!$A70,Tableau106[],7,FALSE)</f>
        <v>GROUPE</v>
      </c>
      <c r="H70" s="322" t="str">
        <f>VLOOKUP('OPX_BN+1'!$A70,Tableau106[],6,FALSE)</f>
        <v>S</v>
      </c>
      <c r="I70" s="372" t="str">
        <f>VLOOKUP(Tableau17[[#This Row],[OPEX VARIABLES en €
BN 2024]],Tableau106[],9,FALSE)</f>
        <v>BaA</v>
      </c>
      <c r="J70" s="360">
        <f>VLOOKUP(Tableau17[[#This Row],[CODE PI]],Tableau16[[CODE PI]:[(mesures compensatoires du PC ou autres)]],5,FALSE)*(1+$B$1)</f>
        <v>-304821.67499999999</v>
      </c>
      <c r="K70" s="228">
        <v>-50540</v>
      </c>
      <c r="L70" s="228"/>
      <c r="M70" s="229">
        <v>-6000</v>
      </c>
      <c r="N70" s="229">
        <v>0</v>
      </c>
      <c r="O70" s="229">
        <v>0</v>
      </c>
      <c r="P70" s="229">
        <v>0</v>
      </c>
      <c r="Q70" s="229">
        <f>-250*'OPX_BN+1'!$E70</f>
        <v>-2975</v>
      </c>
      <c r="R70" s="274">
        <f>SUM('OPX_BN+1'!$K70:$Q70)</f>
        <v>-59515</v>
      </c>
      <c r="S70" s="337">
        <f>VLOOKUP(Tableau17[[#This Row],[CODE PI]],Tableau16[[CODE PI]:[(mesures compensatoires du PC ou autres)]],14,FALSE)*(1+$B$1)</f>
        <v>0</v>
      </c>
      <c r="T70" s="423">
        <v>0</v>
      </c>
      <c r="U70" s="341">
        <v>0</v>
      </c>
      <c r="V70" s="423">
        <v>0</v>
      </c>
      <c r="W70" s="423">
        <v>0</v>
      </c>
      <c r="X70" s="423">
        <v>0</v>
      </c>
      <c r="Y70" s="423">
        <v>0</v>
      </c>
      <c r="Z70" s="264">
        <f>-250*Tableau17[[#This Row],[MW]]</f>
        <v>-2975</v>
      </c>
      <c r="AA70" s="423"/>
      <c r="AB70" s="273">
        <f>SUM('OPX_BN+1'!$T70:$AA70)</f>
        <v>-2975</v>
      </c>
      <c r="AC70" s="426"/>
      <c r="AD70" s="426"/>
      <c r="AE70" s="417">
        <v>0</v>
      </c>
      <c r="AF70" s="417">
        <v>0</v>
      </c>
      <c r="AG70" s="417">
        <v>0</v>
      </c>
      <c r="AH70" s="417">
        <v>-6000</v>
      </c>
      <c r="AI70" s="417">
        <v>0</v>
      </c>
      <c r="AJ70" s="371">
        <f>SUM('OPX_BN+1'!$AC70:$AI70)</f>
        <v>-6000</v>
      </c>
      <c r="AK70" s="424"/>
      <c r="AL70" s="276">
        <f>SUM('OPX_BN+1'!$J70,'OPX_BN+1'!$AB70,'OPX_BN+1'!$S70,'OPX_BN+1'!$AJ70,'OPX_BN+1'!$R70,'OPX_BN+1'!$AK70)</f>
        <v>-373311.67499999999</v>
      </c>
      <c r="AM70" s="427">
        <v>-55000</v>
      </c>
    </row>
    <row r="71" spans="1:39" ht="15">
      <c r="A71" s="325" t="s">
        <v>501</v>
      </c>
      <c r="B71" s="320" t="str">
        <f>VLOOKUP('OPX_BN+1'!$A71,Tableau106[],3,FALSE)</f>
        <v>A194</v>
      </c>
      <c r="C71" s="320" t="str">
        <f>VLOOKUP('OPX_BN+1'!$A71,Tableau106[],2,FALSE)</f>
        <v>FR40S07E</v>
      </c>
      <c r="D71" s="320" t="str">
        <f>VLOOKUP('OPX_BN+1'!$A71,Tableau106[],8,FALSE)</f>
        <v>SOLAIRE</v>
      </c>
      <c r="E71" s="321">
        <f>VLOOKUP('OPX_BN+1'!$A71,Tableau106[],4,FALSE)</f>
        <v>11.89</v>
      </c>
      <c r="F71" s="322" t="str">
        <f>VLOOKUP('OPX_BN+1'!$A71,Tableau106[],5,FALSE)</f>
        <v>GAB4</v>
      </c>
      <c r="G71" s="322" t="str">
        <f>VLOOKUP('OPX_BN+1'!$A71,Tableau106[],7,FALSE)</f>
        <v>GROUPE</v>
      </c>
      <c r="H71" s="322" t="str">
        <f>VLOOKUP('OPX_BN+1'!$A71,Tableau106[],6,FALSE)</f>
        <v>S</v>
      </c>
      <c r="I71" s="372" t="str">
        <f>VLOOKUP(Tableau17[[#This Row],[OPEX VARIABLES en €
BN 2024]],Tableau106[],9,FALSE)</f>
        <v>BaA</v>
      </c>
      <c r="J71" s="360">
        <f>VLOOKUP(Tableau17[[#This Row],[CODE PI]],Tableau16[[CODE PI]:[(mesures compensatoires du PC ou autres)]],5,FALSE)*(1+$B$1)</f>
        <v>-299966.25</v>
      </c>
      <c r="K71" s="228">
        <v>-17840</v>
      </c>
      <c r="L71" s="228"/>
      <c r="M71" s="229">
        <v>-6000</v>
      </c>
      <c r="N71" s="229">
        <v>0</v>
      </c>
      <c r="O71" s="229">
        <v>0</v>
      </c>
      <c r="P71" s="229">
        <v>0</v>
      </c>
      <c r="Q71" s="229">
        <f>-250*'OPX_BN+1'!$E71</f>
        <v>-2972.5</v>
      </c>
      <c r="R71" s="274">
        <f>SUM('OPX_BN+1'!$K71:$Q71)</f>
        <v>-26812.5</v>
      </c>
      <c r="S71" s="337">
        <f>VLOOKUP(Tableau17[[#This Row],[CODE PI]],Tableau16[[CODE PI]:[(mesures compensatoires du PC ou autres)]],14,FALSE)*(1+$B$1)</f>
        <v>0</v>
      </c>
      <c r="T71" s="423">
        <v>0</v>
      </c>
      <c r="U71" s="341">
        <v>0</v>
      </c>
      <c r="V71" s="423">
        <v>0</v>
      </c>
      <c r="W71" s="423">
        <v>0</v>
      </c>
      <c r="X71" s="423">
        <v>0</v>
      </c>
      <c r="Y71" s="423">
        <v>0</v>
      </c>
      <c r="Z71" s="264">
        <f>-250*Tableau17[[#This Row],[MW]]</f>
        <v>-2972.5</v>
      </c>
      <c r="AA71" s="423"/>
      <c r="AB71" s="273">
        <f>SUM('OPX_BN+1'!$T71:$AA71)</f>
        <v>-2972.5</v>
      </c>
      <c r="AC71" s="426"/>
      <c r="AD71" s="426"/>
      <c r="AE71" s="417">
        <v>0</v>
      </c>
      <c r="AF71" s="417">
        <v>0</v>
      </c>
      <c r="AG71" s="417">
        <v>0</v>
      </c>
      <c r="AH71" s="417">
        <v>0</v>
      </c>
      <c r="AI71" s="417">
        <v>0</v>
      </c>
      <c r="AJ71" s="371">
        <f>SUM('OPX_BN+1'!$AC71:$AI71)</f>
        <v>0</v>
      </c>
      <c r="AK71" s="424"/>
      <c r="AL71" s="276">
        <f>SUM('OPX_BN+1'!$J71,'OPX_BN+1'!$AB71,'OPX_BN+1'!$S71,'OPX_BN+1'!$AJ71,'OPX_BN+1'!$R71,'OPX_BN+1'!$AK71)</f>
        <v>-329751.25</v>
      </c>
      <c r="AM71" s="427"/>
    </row>
    <row r="72" spans="1:39" ht="15">
      <c r="A72" s="244" t="s">
        <v>502</v>
      </c>
      <c r="B72" s="320" t="str">
        <f>VLOOKUP('OPX_BN+1'!$A72,Tableau106[],3,FALSE)</f>
        <v>A197</v>
      </c>
      <c r="C72" s="320" t="str">
        <f>VLOOKUP('OPX_BN+1'!$A72,Tableau106[],2,FALSE)</f>
        <v>FR40S10E</v>
      </c>
      <c r="D72" s="320" t="str">
        <f>VLOOKUP('OPX_BN+1'!$A72,Tableau106[],8,FALSE)</f>
        <v>SOLAIRE</v>
      </c>
      <c r="E72" s="321">
        <f>VLOOKUP('OPX_BN+1'!$A72,Tableau106[],4,FALSE)</f>
        <v>2.89</v>
      </c>
      <c r="F72" s="322" t="str">
        <f>VLOOKUP('OPX_BN+1'!$A72,Tableau106[],5,FALSE)</f>
        <v>GAB7</v>
      </c>
      <c r="G72" s="322" t="str">
        <f>VLOOKUP('OPX_BN+1'!$A72,Tableau106[],7,FALSE)</f>
        <v>GROUPE</v>
      </c>
      <c r="H72" s="322" t="str">
        <f>VLOOKUP('OPX_BN+1'!$A72,Tableau106[],6,FALSE)</f>
        <v>S</v>
      </c>
      <c r="I72" s="372" t="str">
        <f>VLOOKUP(Tableau17[[#This Row],[OPEX VARIABLES en €
BN 2024]],Tableau106[],9,FALSE)</f>
        <v>BaA</v>
      </c>
      <c r="J72" s="360">
        <f>VLOOKUP(Tableau17[[#This Row],[CODE PI]],Tableau16[[CODE PI]:[(mesures compensatoires du PC ou autres)]],5,FALSE)*(1+$B$1)</f>
        <v>-65742.474999999991</v>
      </c>
      <c r="K72" s="228">
        <v>-4090</v>
      </c>
      <c r="L72" s="228"/>
      <c r="M72" s="229">
        <v>-9000</v>
      </c>
      <c r="N72" s="229">
        <v>0</v>
      </c>
      <c r="O72" s="229">
        <v>0</v>
      </c>
      <c r="P72" s="229">
        <v>0</v>
      </c>
      <c r="Q72" s="229">
        <f>-250*'OPX_BN+1'!$E72</f>
        <v>-722.5</v>
      </c>
      <c r="R72" s="274">
        <f>SUM('OPX_BN+1'!$K72:$Q72)</f>
        <v>-13812.5</v>
      </c>
      <c r="S72" s="337">
        <f>VLOOKUP(Tableau17[[#This Row],[CODE PI]],Tableau16[[CODE PI]:[(mesures compensatoires du PC ou autres)]],14,FALSE)*(1+$B$1)</f>
        <v>0</v>
      </c>
      <c r="T72" s="423">
        <v>0</v>
      </c>
      <c r="U72" s="341">
        <v>0</v>
      </c>
      <c r="V72" s="423">
        <v>0</v>
      </c>
      <c r="W72" s="423">
        <v>0</v>
      </c>
      <c r="X72" s="423">
        <v>0</v>
      </c>
      <c r="Y72" s="423">
        <v>0</v>
      </c>
      <c r="Z72" s="264">
        <f>-250*Tableau17[[#This Row],[MW]]</f>
        <v>-722.5</v>
      </c>
      <c r="AA72" s="423"/>
      <c r="AB72" s="273">
        <f>SUM('OPX_BN+1'!$T72:$AA72)</f>
        <v>-722.5</v>
      </c>
      <c r="AC72" s="426"/>
      <c r="AD72" s="426"/>
      <c r="AE72" s="417">
        <v>0</v>
      </c>
      <c r="AF72" s="417">
        <v>0</v>
      </c>
      <c r="AG72" s="417">
        <v>0</v>
      </c>
      <c r="AH72" s="417">
        <v>-20000</v>
      </c>
      <c r="AI72" s="417">
        <v>0</v>
      </c>
      <c r="AJ72" s="371">
        <f>SUM('OPX_BN+1'!$AC72:$AI72)</f>
        <v>-20000</v>
      </c>
      <c r="AK72" s="424"/>
      <c r="AL72" s="276">
        <f>SUM('OPX_BN+1'!$J72,'OPX_BN+1'!$AB72,'OPX_BN+1'!$S72,'OPX_BN+1'!$AJ72,'OPX_BN+1'!$R72,'OPX_BN+1'!$AK72)</f>
        <v>-100277.47499999999</v>
      </c>
      <c r="AM72" s="427"/>
    </row>
    <row r="73" spans="1:39" ht="15">
      <c r="A73" s="325" t="s">
        <v>503</v>
      </c>
      <c r="B73" s="320" t="str">
        <f>VLOOKUP('OPX_BN+1'!$A73,Tableau106[],3,FALSE)</f>
        <v>A139</v>
      </c>
      <c r="C73" s="320" t="str">
        <f>VLOOKUP('OPX_BN+1'!$A73,Tableau106[],2,FALSE)</f>
        <v>FR40S99E</v>
      </c>
      <c r="D73" s="320" t="str">
        <f>VLOOKUP('OPX_BN+1'!$A73,Tableau106[],8,FALSE)</f>
        <v>SOLAIRE</v>
      </c>
      <c r="E73" s="321">
        <f>VLOOKUP('OPX_BN+1'!$A73,Tableau106[],4,FALSE)</f>
        <v>1.998</v>
      </c>
      <c r="F73" s="322" t="str">
        <f>VLOOKUP('OPX_BN+1'!$A73,Tableau106[],5,FALSE)</f>
        <v>GABT</v>
      </c>
      <c r="G73" s="322" t="str">
        <f>VLOOKUP('OPX_BN+1'!$A73,Tableau106[],7,FALSE)</f>
        <v>GROUPE</v>
      </c>
      <c r="H73" s="322" t="str">
        <f>VLOOKUP('OPX_BN+1'!$A73,Tableau106[],6,FALSE)</f>
        <v>S</v>
      </c>
      <c r="I73" s="372" t="str">
        <f>VLOOKUP(Tableau17[[#This Row],[OPEX VARIABLES en €
BN 2024]],Tableau106[],9,FALSE)</f>
        <v>BaA</v>
      </c>
      <c r="J73" s="360">
        <f>VLOOKUP(Tableau17[[#This Row],[CODE PI]],Tableau16[[CODE PI]:[(mesures compensatoires du PC ou autres)]],5,FALSE)*(1+$B$1)</f>
        <v>-58325.574999999997</v>
      </c>
      <c r="K73" s="228">
        <v>-77860</v>
      </c>
      <c r="L73" s="228"/>
      <c r="M73" s="229">
        <v>-6000</v>
      </c>
      <c r="N73" s="229">
        <v>0</v>
      </c>
      <c r="O73" s="229">
        <v>0</v>
      </c>
      <c r="P73" s="229">
        <v>0</v>
      </c>
      <c r="Q73" s="229">
        <f>-250*'OPX_BN+1'!$E73</f>
        <v>-499.5</v>
      </c>
      <c r="R73" s="274">
        <f>SUM('OPX_BN+1'!$K73:$Q73)</f>
        <v>-84359.5</v>
      </c>
      <c r="S73" s="337">
        <f>VLOOKUP(Tableau17[[#This Row],[CODE PI]],Tableau16[[CODE PI]:[(mesures compensatoires du PC ou autres)]],14,FALSE)*(1+$B$1)</f>
        <v>0</v>
      </c>
      <c r="T73" s="423">
        <v>0</v>
      </c>
      <c r="U73" s="341">
        <v>0</v>
      </c>
      <c r="V73" s="423">
        <v>0</v>
      </c>
      <c r="W73" s="423">
        <v>0</v>
      </c>
      <c r="X73" s="423">
        <v>0</v>
      </c>
      <c r="Y73" s="423">
        <v>0</v>
      </c>
      <c r="Z73" s="264">
        <f>-250*Tableau17[[#This Row],[MW]]</f>
        <v>-499.5</v>
      </c>
      <c r="AA73" s="423"/>
      <c r="AB73" s="273">
        <f>SUM('OPX_BN+1'!$T73:$AA73)</f>
        <v>-499.5</v>
      </c>
      <c r="AC73" s="426"/>
      <c r="AD73" s="426"/>
      <c r="AE73" s="417">
        <v>0</v>
      </c>
      <c r="AF73" s="417">
        <v>0</v>
      </c>
      <c r="AG73" s="417">
        <v>0</v>
      </c>
      <c r="AH73" s="417">
        <v>0</v>
      </c>
      <c r="AI73" s="417">
        <v>0</v>
      </c>
      <c r="AJ73" s="371">
        <f>SUM('OPX_BN+1'!$AC73:$AI73)</f>
        <v>0</v>
      </c>
      <c r="AK73" s="424"/>
      <c r="AL73" s="276">
        <f>SUM('OPX_BN+1'!$J73,'OPX_BN+1'!$AB73,'OPX_BN+1'!$S73,'OPX_BN+1'!$AJ73,'OPX_BN+1'!$R73,'OPX_BN+1'!$AK73)</f>
        <v>-143184.57500000001</v>
      </c>
      <c r="AM73" s="427"/>
    </row>
    <row r="74" spans="1:39" ht="15">
      <c r="A74" s="244" t="s">
        <v>155</v>
      </c>
      <c r="B74" s="320" t="str">
        <f>VLOOKUP('OPX_BN+1'!$A74,Tableau106[],3,FALSE)</f>
        <v>F239</v>
      </c>
      <c r="C74" s="320" t="str">
        <f>VLOOKUP('OPX_BN+1'!$A74,Tableau106[],2,FALSE)</f>
        <v>FR28E91E</v>
      </c>
      <c r="D74" s="320" t="str">
        <f>VLOOKUP('OPX_BN+1'!$A74,Tableau106[],8,FALSE)</f>
        <v>EOLIEN</v>
      </c>
      <c r="E74" s="321">
        <f>VLOOKUP('OPX_BN+1'!$A74,Tableau106[],4,FALSE)</f>
        <v>18.399999999999999</v>
      </c>
      <c r="F74" s="322" t="str">
        <f>VLOOKUP('OPX_BN+1'!$A74,Tableau106[],5,FALSE)</f>
        <v>GAR1, GAR2</v>
      </c>
      <c r="G74" s="322" t="str">
        <f>VLOOKUP('OPX_BN+1'!$A74,Tableau106[],7,FALSE)</f>
        <v>FUTUREN</v>
      </c>
      <c r="H74" s="322" t="str">
        <f>VLOOKUP('OPX_BN+1'!$A74,Tableau106[],6,FALSE)</f>
        <v>N</v>
      </c>
      <c r="I74" s="372" t="str">
        <f>VLOOKUP(Tableau17[[#This Row],[OPEX VARIABLES en €
BN 2024]],Tableau106[],9,FALSE)</f>
        <v>NoS</v>
      </c>
      <c r="J74" s="360">
        <f>VLOOKUP(Tableau17[[#This Row],[CODE PI]],Tableau16[[CODE PI]:[(mesures compensatoires du PC ou autres)]],5,FALSE)*(1+$B$1)</f>
        <v>-17231.274999999998</v>
      </c>
      <c r="K74" s="228">
        <v>-7690</v>
      </c>
      <c r="L74" s="228"/>
      <c r="M74" s="229">
        <v>0</v>
      </c>
      <c r="N74" s="229">
        <v>0</v>
      </c>
      <c r="O74" s="229">
        <v>0</v>
      </c>
      <c r="P74" s="229">
        <v>0</v>
      </c>
      <c r="Q74" s="229">
        <f>-250*'OPX_BN+1'!$E74</f>
        <v>-4600</v>
      </c>
      <c r="R74" s="274">
        <f>SUM('OPX_BN+1'!$K74:$Q74)</f>
        <v>-12290</v>
      </c>
      <c r="S74" s="337">
        <f>VLOOKUP(Tableau17[[#This Row],[CODE PI]],Tableau16[[CODE PI]:[(mesures compensatoires du PC ou autres)]],14,FALSE)*(1+$B$1)</f>
        <v>-560760.07499999995</v>
      </c>
      <c r="T74" s="423">
        <v>-2500</v>
      </c>
      <c r="U74" s="341">
        <v>0</v>
      </c>
      <c r="V74" s="423">
        <v>-2500</v>
      </c>
      <c r="W74" s="423">
        <v>-9600</v>
      </c>
      <c r="X74" s="423">
        <v>0</v>
      </c>
      <c r="Y74" s="423">
        <v>0</v>
      </c>
      <c r="Z74" s="264">
        <f>-250*Tableau17[[#This Row],[MW]]</f>
        <v>-4600</v>
      </c>
      <c r="AA74" s="423"/>
      <c r="AB74" s="273">
        <f>SUM('OPX_BN+1'!$T74:$AA74)</f>
        <v>-19200</v>
      </c>
      <c r="AC74" s="426"/>
      <c r="AD74" s="426"/>
      <c r="AE74" s="417">
        <v>0</v>
      </c>
      <c r="AF74" s="417">
        <v>0</v>
      </c>
      <c r="AG74" s="417">
        <v>0</v>
      </c>
      <c r="AH74" s="417">
        <v>0</v>
      </c>
      <c r="AI74" s="417">
        <v>0</v>
      </c>
      <c r="AJ74" s="371">
        <f>SUM('OPX_BN+1'!$AC74:$AI74)</f>
        <v>0</v>
      </c>
      <c r="AK74" s="424"/>
      <c r="AL74" s="276">
        <f>SUM('OPX_BN+1'!$J74,'OPX_BN+1'!$AB74,'OPX_BN+1'!$S74,'OPX_BN+1'!$AJ74,'OPX_BN+1'!$R74,'OPX_BN+1'!$AK74)</f>
        <v>-609481.35</v>
      </c>
      <c r="AM74" s="427"/>
    </row>
    <row r="75" spans="1:39" ht="15">
      <c r="A75" s="325" t="s">
        <v>505</v>
      </c>
      <c r="B75" s="320" t="str">
        <f>VLOOKUP('OPX_BN+1'!$A75,Tableau106[],3,FALSE)</f>
        <v>A237</v>
      </c>
      <c r="C75" s="320" t="str">
        <f>VLOOKUP('OPX_BN+1'!$A75,Tableau106[],2,FALSE)</f>
        <v>FR23S01E</v>
      </c>
      <c r="D75" s="320" t="str">
        <f>VLOOKUP('OPX_BN+1'!$A75,Tableau106[],8,FALSE)</f>
        <v>SOLAIRE</v>
      </c>
      <c r="E75" s="321">
        <f>VLOOKUP('OPX_BN+1'!$A75,Tableau106[],4,FALSE)</f>
        <v>14.7</v>
      </c>
      <c r="F75" s="322" t="str">
        <f>VLOOKUP('OPX_BN+1'!$A75,Tableau106[],5,FALSE)</f>
        <v>GDGT</v>
      </c>
      <c r="G75" s="322" t="str">
        <f>VLOOKUP('OPX_BN+1'!$A75,Tableau106[],7,FALSE)</f>
        <v>GROUPE</v>
      </c>
      <c r="H75" s="322" t="str">
        <f>VLOOKUP('OPX_BN+1'!$A75,Tableau106[],6,FALSE)</f>
        <v>S</v>
      </c>
      <c r="I75" s="372" t="str">
        <f>VLOOKUP(Tableau17[[#This Row],[OPEX VARIABLES en €
BN 2024]],Tableau106[],9,FALSE)</f>
        <v>ArB</v>
      </c>
      <c r="J75" s="360">
        <f>VLOOKUP(Tableau17[[#This Row],[CODE PI]],Tableau16[[CODE PI]:[(mesures compensatoires du PC ou autres)]],5,FALSE)*(1+$B$1)</f>
        <v>0</v>
      </c>
      <c r="K75" s="228">
        <v>0</v>
      </c>
      <c r="L75" s="228"/>
      <c r="M75" s="229">
        <v>0</v>
      </c>
      <c r="N75" s="229">
        <v>0</v>
      </c>
      <c r="O75" s="229">
        <v>0</v>
      </c>
      <c r="P75" s="229">
        <v>0</v>
      </c>
      <c r="Q75" s="229">
        <f>-250*'OPX_BN+1'!$E75</f>
        <v>-3675</v>
      </c>
      <c r="R75" s="274">
        <f>SUM('OPX_BN+1'!$K75:$Q75)</f>
        <v>-3675</v>
      </c>
      <c r="S75" s="337">
        <f>VLOOKUP(Tableau17[[#This Row],[CODE PI]],Tableau16[[CODE PI]:[(mesures compensatoires du PC ou autres)]],14,FALSE)*(1+$B$1)</f>
        <v>-36854.899999999994</v>
      </c>
      <c r="T75" s="423">
        <v>-6000</v>
      </c>
      <c r="U75" s="341">
        <v>0</v>
      </c>
      <c r="V75" s="423">
        <v>-15000</v>
      </c>
      <c r="W75" s="423">
        <v>0</v>
      </c>
      <c r="X75" s="423">
        <v>0</v>
      </c>
      <c r="Y75" s="423">
        <v>0</v>
      </c>
      <c r="Z75" s="264">
        <f>-250*Tableau17[[#This Row],[MW]]</f>
        <v>-3675</v>
      </c>
      <c r="AA75" s="423">
        <v>-1800</v>
      </c>
      <c r="AB75" s="273">
        <f>SUM('OPX_BN+1'!$T75:$AA75)</f>
        <v>-26475</v>
      </c>
      <c r="AC75" s="426"/>
      <c r="AD75" s="426"/>
      <c r="AE75" s="417">
        <v>0</v>
      </c>
      <c r="AF75" s="417">
        <v>0</v>
      </c>
      <c r="AG75" s="417">
        <v>0</v>
      </c>
      <c r="AH75" s="417">
        <v>-3250</v>
      </c>
      <c r="AI75" s="417">
        <v>0</v>
      </c>
      <c r="AJ75" s="371">
        <f>SUM('OPX_BN+1'!$AC75:$AI75)</f>
        <v>-3250</v>
      </c>
      <c r="AK75" s="424"/>
      <c r="AL75" s="276">
        <f>SUM('OPX_BN+1'!$J75,'OPX_BN+1'!$AB75,'OPX_BN+1'!$S75,'OPX_BN+1'!$AJ75,'OPX_BN+1'!$R75,'OPX_BN+1'!$AK75)</f>
        <v>-70254.899999999994</v>
      </c>
      <c r="AM75" s="427"/>
    </row>
    <row r="76" spans="1:39" ht="15">
      <c r="A76" s="244" t="s">
        <v>565</v>
      </c>
      <c r="B76" s="320" t="str">
        <f>VLOOKUP('OPX_BN+1'!$A76,Tableau106[],3,FALSE)</f>
        <v>A540</v>
      </c>
      <c r="C76" s="320" t="str">
        <f>VLOOKUP('OPX_BN+1'!$A76,Tableau106[],2,FALSE)</f>
        <v>FR56E02E</v>
      </c>
      <c r="D76" s="320" t="str">
        <f>VLOOKUP('OPX_BN+1'!$A76,Tableau106[],8,FALSE)</f>
        <v>EOLIEN</v>
      </c>
      <c r="E76" s="321">
        <f>VLOOKUP('OPX_BN+1'!$A76,Tableau106[],4,FALSE)</f>
        <v>12</v>
      </c>
      <c r="F76" s="322" t="str">
        <f>VLOOKUP('OPX_BN+1'!$A76,Tableau106[],5,FALSE)</f>
        <v>GRPL</v>
      </c>
      <c r="G76" s="322" t="str">
        <f>VLOOKUP('OPX_BN+1'!$A76,Tableau106[],7,FALSE)</f>
        <v>EGM</v>
      </c>
      <c r="H76" s="322" t="str">
        <f>VLOOKUP('OPX_BN+1'!$A76,Tableau106[],6,FALSE)</f>
        <v>N</v>
      </c>
      <c r="I76" s="372" t="str">
        <f>VLOOKUP(Tableau17[[#This Row],[OPEX VARIABLES en €
BN 2024]],Tableau106[],9,FALSE)</f>
        <v>MaA</v>
      </c>
      <c r="J76" s="360">
        <f>VLOOKUP(Tableau17[[#This Row],[CODE PI]],Tableau16[[CODE PI]:[(mesures compensatoires du PC ou autres)]],5,FALSE)*(1+$B$1)</f>
        <v>-317491.69999999995</v>
      </c>
      <c r="K76" s="228">
        <v>-340000</v>
      </c>
      <c r="L76" s="228"/>
      <c r="M76" s="229">
        <v>0</v>
      </c>
      <c r="N76" s="229">
        <v>0</v>
      </c>
      <c r="O76" s="229">
        <v>-3000</v>
      </c>
      <c r="P76" s="229">
        <v>-4200</v>
      </c>
      <c r="Q76" s="229">
        <f>-250*'OPX_BN+1'!$E76</f>
        <v>-3000</v>
      </c>
      <c r="R76" s="274">
        <f>SUM('OPX_BN+1'!$K76:$Q76)</f>
        <v>-350200</v>
      </c>
      <c r="S76" s="337">
        <f>VLOOKUP(Tableau17[[#This Row],[CODE PI]],Tableau16[[CODE PI]:[(mesures compensatoires du PC ou autres)]],14,FALSE)*(1+$B$1)</f>
        <v>0</v>
      </c>
      <c r="T76" s="423">
        <v>0</v>
      </c>
      <c r="U76" s="341">
        <v>0</v>
      </c>
      <c r="V76" s="423">
        <v>-2000</v>
      </c>
      <c r="W76" s="423">
        <v>0</v>
      </c>
      <c r="X76" s="423">
        <v>-4000</v>
      </c>
      <c r="Y76" s="423">
        <v>0</v>
      </c>
      <c r="Z76" s="264">
        <f>-250*Tableau17[[#This Row],[MW]]</f>
        <v>-3000</v>
      </c>
      <c r="AA76" s="423"/>
      <c r="AB76" s="273">
        <f>SUM('OPX_BN+1'!$T76:$AA76)</f>
        <v>-9000</v>
      </c>
      <c r="AC76" s="426"/>
      <c r="AD76" s="426"/>
      <c r="AE76" s="417">
        <v>0</v>
      </c>
      <c r="AF76" s="417">
        <v>0</v>
      </c>
      <c r="AG76" s="417">
        <v>0</v>
      </c>
      <c r="AH76" s="417">
        <v>0</v>
      </c>
      <c r="AI76" s="417">
        <v>0</v>
      </c>
      <c r="AJ76" s="371">
        <f>SUM('OPX_BN+1'!$AC76:$AI76)</f>
        <v>0</v>
      </c>
      <c r="AK76" s="424"/>
      <c r="AL76" s="276">
        <f>SUM('OPX_BN+1'!$J76,'OPX_BN+1'!$AB76,'OPX_BN+1'!$S76,'OPX_BN+1'!$AJ76,'OPX_BN+1'!$R76,'OPX_BN+1'!$AK76)</f>
        <v>-676691.7</v>
      </c>
      <c r="AM76" s="427"/>
    </row>
    <row r="77" spans="1:39" ht="15">
      <c r="A77" s="325" t="s">
        <v>467</v>
      </c>
      <c r="B77" s="320" t="str">
        <f>VLOOKUP('OPX_BN+1'!$A77,Tableau106[],3,FALSE)</f>
        <v>A420</v>
      </c>
      <c r="C77" s="320" t="str">
        <f>VLOOKUP('OPX_BN+1'!$A77,Tableau106[],2,FALSE)</f>
        <v>FR28E02E</v>
      </c>
      <c r="D77" s="320" t="str">
        <f>VLOOKUP('OPX_BN+1'!$A77,Tableau106[],8,FALSE)</f>
        <v>EOLIEN</v>
      </c>
      <c r="E77" s="321">
        <f>VLOOKUP('OPX_BN+1'!$A77,Tableau106[],4,FALSE)</f>
        <v>17.7</v>
      </c>
      <c r="F77" s="322" t="str">
        <f>VLOOKUP('OPX_BN+1'!$A77,Tableau106[],5,FALSE)</f>
        <v>GUIL</v>
      </c>
      <c r="G77" s="322" t="str">
        <f>VLOOKUP('OPX_BN+1'!$A77,Tableau106[],7,FALSE)</f>
        <v>GROUPE</v>
      </c>
      <c r="H77" s="322" t="str">
        <f>VLOOKUP('OPX_BN+1'!$A77,Tableau106[],6,FALSE)</f>
        <v>N</v>
      </c>
      <c r="I77" s="372" t="str">
        <f>VLOOKUP(Tableau17[[#This Row],[OPEX VARIABLES en €
BN 2024]],Tableau106[],9,FALSE)</f>
        <v>AlY</v>
      </c>
      <c r="J77" s="360">
        <f>VLOOKUP(Tableau17[[#This Row],[CODE PI]],Tableau16[[CODE PI]:[(mesures compensatoires du PC ou autres)]],5,FALSE)*(1+$B$1)</f>
        <v>-23753.35</v>
      </c>
      <c r="K77" s="228">
        <v>-1220</v>
      </c>
      <c r="L77" s="228"/>
      <c r="M77" s="229">
        <v>0</v>
      </c>
      <c r="N77" s="229">
        <v>0</v>
      </c>
      <c r="O77" s="229">
        <v>0</v>
      </c>
      <c r="P77" s="229">
        <f>-440*Tableau17[[#This Row],[MW]]</f>
        <v>-7788</v>
      </c>
      <c r="Q77" s="229">
        <f>-250*'OPX_BN+1'!$E77</f>
        <v>-4425</v>
      </c>
      <c r="R77" s="274">
        <f>SUM('OPX_BN+1'!$K77:$Q77)</f>
        <v>-13433</v>
      </c>
      <c r="S77" s="337">
        <f>VLOOKUP(Tableau17[[#This Row],[CODE PI]],Tableau16[[CODE PI]:[(mesures compensatoires du PC ou autres)]],14,FALSE)*(1+$B$1)</f>
        <v>-272715.59999999998</v>
      </c>
      <c r="T77" s="423">
        <v>0</v>
      </c>
      <c r="U77" s="341">
        <v>0</v>
      </c>
      <c r="V77" s="423">
        <v>0</v>
      </c>
      <c r="W77" s="377">
        <v>-3600</v>
      </c>
      <c r="X77" s="423">
        <v>0</v>
      </c>
      <c r="Y77" s="423">
        <v>0</v>
      </c>
      <c r="Z77" s="264">
        <f>-250*Tableau17[[#This Row],[MW]]</f>
        <v>-4425</v>
      </c>
      <c r="AA77" s="423"/>
      <c r="AB77" s="273">
        <f>SUM('OPX_BN+1'!$T77:$AA77)</f>
        <v>-8025</v>
      </c>
      <c r="AC77" s="426"/>
      <c r="AD77" s="426">
        <f>-4924*1.025</f>
        <v>-5047.0999999999995</v>
      </c>
      <c r="AE77" s="417">
        <v>0</v>
      </c>
      <c r="AF77" s="417">
        <v>0</v>
      </c>
      <c r="AG77" s="417">
        <v>0</v>
      </c>
      <c r="AH77" s="417">
        <v>0</v>
      </c>
      <c r="AI77" s="417">
        <v>-12200</v>
      </c>
      <c r="AJ77" s="371">
        <f>SUM('OPX_BN+1'!$AC77:$AI77)</f>
        <v>-17247.099999999999</v>
      </c>
      <c r="AK77" s="424"/>
      <c r="AL77" s="276">
        <f>SUM('OPX_BN+1'!$J77,'OPX_BN+1'!$AB77,'OPX_BN+1'!$S77,'OPX_BN+1'!$AJ77,'OPX_BN+1'!$R77,'OPX_BN+1'!$AK77)</f>
        <v>-335174.04999999993</v>
      </c>
      <c r="AM77" s="427"/>
    </row>
    <row r="78" spans="1:39" ht="15">
      <c r="A78" s="244" t="s">
        <v>547</v>
      </c>
      <c r="B78" s="320" t="str">
        <f>VLOOKUP('OPX_BN+1'!$A78,Tableau106[],3,FALSE)</f>
        <v>F168</v>
      </c>
      <c r="C78" s="320" t="str">
        <f>VLOOKUP('OPX_BN+1'!$A78,Tableau106[],2,FALSE)</f>
        <v>FR80E91E</v>
      </c>
      <c r="D78" s="320" t="str">
        <f>VLOOKUP('OPX_BN+1'!$A78,Tableau106[],8,FALSE)</f>
        <v>EOLIEN</v>
      </c>
      <c r="E78" s="321">
        <f>VLOOKUP('OPX_BN+1'!$A78,Tableau106[],4,FALSE)</f>
        <v>21</v>
      </c>
      <c r="F78" s="322" t="str">
        <f>VLOOKUP('OPX_BN+1'!$A78,Tableau106[],5,FALSE)</f>
        <v>HAB1, HAB2</v>
      </c>
      <c r="G78" s="322" t="str">
        <f>VLOOKUP('OPX_BN+1'!$A78,Tableau106[],7,FALSE)</f>
        <v>FUTUREN</v>
      </c>
      <c r="H78" s="322" t="str">
        <f>VLOOKUP('OPX_BN+1'!$A78,Tableau106[],6,FALSE)</f>
        <v>N</v>
      </c>
      <c r="I78" s="372" t="str">
        <f>VLOOKUP(Tableau17[[#This Row],[OPEX VARIABLES en €
BN 2024]],Tableau106[],9,FALSE)</f>
        <v>NiD</v>
      </c>
      <c r="J78" s="360">
        <f>VLOOKUP(Tableau17[[#This Row],[CODE PI]],Tableau16[[CODE PI]:[(mesures compensatoires du PC ou autres)]],5,FALSE)*(1+$B$1)</f>
        <v>-15590.249999999998</v>
      </c>
      <c r="K78" s="228">
        <v>-3380</v>
      </c>
      <c r="L78" s="228"/>
      <c r="M78" s="229">
        <v>0</v>
      </c>
      <c r="N78" s="229">
        <v>0</v>
      </c>
      <c r="O78" s="229">
        <v>0</v>
      </c>
      <c r="P78" s="229">
        <f>-440*Tableau17[[#This Row],[MW]]</f>
        <v>-9240</v>
      </c>
      <c r="Q78" s="229">
        <f>-250*'OPX_BN+1'!$E78</f>
        <v>-5250</v>
      </c>
      <c r="R78" s="274">
        <f>SUM('OPX_BN+1'!$K78:$Q78)</f>
        <v>-17870</v>
      </c>
      <c r="S78" s="337">
        <f>VLOOKUP(Tableau17[[#This Row],[CODE PI]],Tableau16[[CODE PI]:[(mesures compensatoires du PC ou autres)]],14,FALSE)*(1+$B$1)</f>
        <v>-539492.35</v>
      </c>
      <c r="T78" s="423">
        <v>0</v>
      </c>
      <c r="U78" s="341">
        <v>0</v>
      </c>
      <c r="V78" s="423">
        <v>-2000</v>
      </c>
      <c r="W78" s="423">
        <v>-3500</v>
      </c>
      <c r="X78" s="423">
        <v>0</v>
      </c>
      <c r="Y78" s="423">
        <v>0</v>
      </c>
      <c r="Z78" s="264">
        <f>-250*Tableau17[[#This Row],[MW]]</f>
        <v>-5250</v>
      </c>
      <c r="AA78" s="423"/>
      <c r="AB78" s="273">
        <f>SUM('OPX_BN+1'!$T78:$AA78)</f>
        <v>-10750</v>
      </c>
      <c r="AC78" s="426"/>
      <c r="AD78" s="426"/>
      <c r="AE78" s="417">
        <v>0</v>
      </c>
      <c r="AF78" s="417">
        <v>0</v>
      </c>
      <c r="AG78" s="417">
        <v>0</v>
      </c>
      <c r="AH78" s="417">
        <v>0</v>
      </c>
      <c r="AI78" s="417">
        <v>0</v>
      </c>
      <c r="AJ78" s="371">
        <f>SUM('OPX_BN+1'!$AC78:$AI78)</f>
        <v>0</v>
      </c>
      <c r="AK78" s="424"/>
      <c r="AL78" s="276">
        <f>SUM('OPX_BN+1'!$J78,'OPX_BN+1'!$AB78,'OPX_BN+1'!$S78,'OPX_BN+1'!$AJ78,'OPX_BN+1'!$R78,'OPX_BN+1'!$AK78)</f>
        <v>-583702.6</v>
      </c>
      <c r="AM78" s="427"/>
    </row>
    <row r="79" spans="1:39" ht="15">
      <c r="A79" s="325" t="s">
        <v>477</v>
      </c>
      <c r="B79" s="320" t="str">
        <f>VLOOKUP('OPX_BN+1'!$A79,Tableau106[],3,FALSE)</f>
        <v>A531</v>
      </c>
      <c r="C79" s="320" t="str">
        <f>VLOOKUP('OPX_BN+1'!$A79,Tableau106[],2,FALSE)</f>
        <v>FR62E01E</v>
      </c>
      <c r="D79" s="320" t="str">
        <f>VLOOKUP('OPX_BN+1'!$A79,Tableau106[],8,FALSE)</f>
        <v>EOLIEN</v>
      </c>
      <c r="E79" s="321">
        <f>VLOOKUP('OPX_BN+1'!$A79,Tableau106[],4,FALSE)</f>
        <v>6</v>
      </c>
      <c r="F79" s="322" t="str">
        <f>VLOOKUP('OPX_BN+1'!$A79,Tableau106[],5,FALSE)</f>
        <v>HENI</v>
      </c>
      <c r="G79" s="322" t="str">
        <f>VLOOKUP('OPX_BN+1'!$A79,Tableau106[],7,FALSE)</f>
        <v>GROUPE</v>
      </c>
      <c r="H79" s="322" t="str">
        <f>VLOOKUP('OPX_BN+1'!$A79,Tableau106[],6,FALSE)</f>
        <v>N</v>
      </c>
      <c r="I79" s="372" t="str">
        <f>VLOOKUP(Tableau17[[#This Row],[OPEX VARIABLES en €
BN 2024]],Tableau106[],9,FALSE)</f>
        <v>NiL</v>
      </c>
      <c r="J79" s="360">
        <f>VLOOKUP(Tableau17[[#This Row],[CODE PI]],Tableau16[[CODE PI]:[(mesures compensatoires du PC ou autres)]],5,FALSE)*(1+$B$1)</f>
        <v>-9450.5</v>
      </c>
      <c r="K79" s="228">
        <v>-13340</v>
      </c>
      <c r="L79" s="228"/>
      <c r="M79" s="229">
        <v>0</v>
      </c>
      <c r="N79" s="229">
        <v>0</v>
      </c>
      <c r="O79" s="229">
        <v>0</v>
      </c>
      <c r="P79" s="229">
        <v>-2100</v>
      </c>
      <c r="Q79" s="229">
        <f>-250*'OPX_BN+1'!$E79</f>
        <v>-1500</v>
      </c>
      <c r="R79" s="274">
        <f>SUM('OPX_BN+1'!$K79:$Q79)</f>
        <v>-16940</v>
      </c>
      <c r="S79" s="337">
        <f>VLOOKUP(Tableau17[[#This Row],[CODE PI]],Tableau16[[CODE PI]:[(mesures compensatoires du PC ou autres)]],14,FALSE)*(1+$B$1)</f>
        <v>-202241.72499999998</v>
      </c>
      <c r="T79" s="423">
        <v>0</v>
      </c>
      <c r="U79" s="341">
        <v>0</v>
      </c>
      <c r="V79" s="423">
        <v>-600</v>
      </c>
      <c r="W79" s="423">
        <f>-450*3</f>
        <v>-1350</v>
      </c>
      <c r="X79" s="423">
        <v>0</v>
      </c>
      <c r="Y79" s="423">
        <v>0</v>
      </c>
      <c r="Z79" s="264">
        <f>-250*Tableau17[[#This Row],[MW]]</f>
        <v>-1500</v>
      </c>
      <c r="AA79" s="423"/>
      <c r="AB79" s="273">
        <f>SUM('OPX_BN+1'!$T79:$AA79)</f>
        <v>-3450</v>
      </c>
      <c r="AC79" s="426"/>
      <c r="AD79" s="426"/>
      <c r="AE79" s="417">
        <v>0</v>
      </c>
      <c r="AF79" s="417">
        <v>-10000</v>
      </c>
      <c r="AG79" s="417">
        <v>-40000</v>
      </c>
      <c r="AH79" s="417">
        <v>0</v>
      </c>
      <c r="AI79" s="417">
        <v>-1000</v>
      </c>
      <c r="AJ79" s="371">
        <f>SUM('OPX_BN+1'!$AC79:$AI79)</f>
        <v>-51000</v>
      </c>
      <c r="AK79" s="424"/>
      <c r="AL79" s="276">
        <f>SUM('OPX_BN+1'!$J79,'OPX_BN+1'!$AB79,'OPX_BN+1'!$S79,'OPX_BN+1'!$AJ79,'OPX_BN+1'!$R79,'OPX_BN+1'!$AK79)</f>
        <v>-283082.22499999998</v>
      </c>
      <c r="AM79" s="427"/>
    </row>
    <row r="80" spans="1:39" ht="15">
      <c r="A80" s="325" t="s">
        <v>458</v>
      </c>
      <c r="B80" s="320" t="str">
        <f>VLOOKUP('OPX_BN+1'!$A80,Tableau106[],3,FALSE)</f>
        <v>A540</v>
      </c>
      <c r="C80" s="320" t="str">
        <f>VLOOKUP('OPX_BN+1'!$A80,Tableau106[],2,FALSE)</f>
        <v>FR14E03E</v>
      </c>
      <c r="D80" s="320" t="str">
        <f>VLOOKUP('OPX_BN+1'!$A80,Tableau106[],8,FALSE)</f>
        <v>EOLIEN</v>
      </c>
      <c r="E80" s="321">
        <f>VLOOKUP('OPX_BN+1'!$A80,Tableau106[],4,FALSE)</f>
        <v>8</v>
      </c>
      <c r="F80" s="322" t="str">
        <f>VLOOKUP('OPX_BN+1'!$A80,Tableau106[],5,FALSE)</f>
        <v>HERO</v>
      </c>
      <c r="G80" s="322" t="str">
        <f>VLOOKUP('OPX_BN+1'!$A80,Tableau106[],7,FALSE)</f>
        <v>EGM</v>
      </c>
      <c r="H80" s="322" t="str">
        <f>VLOOKUP('OPX_BN+1'!$A80,Tableau106[],6,FALSE)</f>
        <v>N</v>
      </c>
      <c r="I80" s="372" t="str">
        <f>VLOOKUP(Tableau17[[#This Row],[OPEX VARIABLES en €
BN 2024]],Tableau106[],9,FALSE)</f>
        <v>DeN</v>
      </c>
      <c r="J80" s="360">
        <f>VLOOKUP(Tableau17[[#This Row],[CODE PI]],Tableau16[[CODE PI]:[(mesures compensatoires du PC ou autres)]],5,FALSE)*(1+$B$1)</f>
        <v>-211661.47499999998</v>
      </c>
      <c r="K80" s="228">
        <v>-120000</v>
      </c>
      <c r="L80" s="228"/>
      <c r="M80" s="229">
        <v>0</v>
      </c>
      <c r="N80" s="229">
        <v>0</v>
      </c>
      <c r="O80" s="229">
        <v>0</v>
      </c>
      <c r="P80" s="229">
        <v>-2800</v>
      </c>
      <c r="Q80" s="229">
        <f>-250*'OPX_BN+1'!$E80</f>
        <v>-2000</v>
      </c>
      <c r="R80" s="274">
        <f>SUM('OPX_BN+1'!$K80:$Q80)</f>
        <v>-124800</v>
      </c>
      <c r="S80" s="337">
        <f>VLOOKUP(Tableau17[[#This Row],[CODE PI]],Tableau16[[CODE PI]:[(mesures compensatoires du PC ou autres)]],14,FALSE)*(1+$B$1)</f>
        <v>0</v>
      </c>
      <c r="T80" s="423">
        <v>0</v>
      </c>
      <c r="U80" s="341">
        <v>0</v>
      </c>
      <c r="V80" s="423">
        <v>-1000</v>
      </c>
      <c r="W80" s="423">
        <v>0</v>
      </c>
      <c r="X80" s="423">
        <v>0</v>
      </c>
      <c r="Y80" s="423">
        <v>0</v>
      </c>
      <c r="Z80" s="264">
        <f>-250*Tableau17[[#This Row],[MW]]</f>
        <v>-2000</v>
      </c>
      <c r="AA80" s="423"/>
      <c r="AB80" s="273">
        <f>SUM('OPX_BN+1'!$T80:$AA80)</f>
        <v>-3000</v>
      </c>
      <c r="AC80" s="426"/>
      <c r="AD80" s="426"/>
      <c r="AE80" s="417">
        <v>0</v>
      </c>
      <c r="AF80" s="417">
        <v>0</v>
      </c>
      <c r="AG80" s="417">
        <v>0</v>
      </c>
      <c r="AH80" s="417">
        <v>0</v>
      </c>
      <c r="AI80" s="417">
        <v>0</v>
      </c>
      <c r="AJ80" s="371">
        <f>SUM('OPX_BN+1'!$AC80:$AI80)</f>
        <v>0</v>
      </c>
      <c r="AK80" s="424"/>
      <c r="AL80" s="276">
        <f>SUM('OPX_BN+1'!$J80,'OPX_BN+1'!$AB80,'OPX_BN+1'!$S80,'OPX_BN+1'!$AJ80,'OPX_BN+1'!$R80,'OPX_BN+1'!$AK80)</f>
        <v>-339461.47499999998</v>
      </c>
      <c r="AM80" s="427"/>
    </row>
    <row r="81" spans="1:40" ht="15">
      <c r="A81" s="325" t="s">
        <v>464</v>
      </c>
      <c r="B81" s="320" t="str">
        <f>VLOOKUP('OPX_BN+1'!$A81,Tableau106[],3,FALSE)</f>
        <v>A281</v>
      </c>
      <c r="C81" s="320" t="str">
        <f>VLOOKUP('OPX_BN+1'!$A81,Tableau106[],2,FALSE)</f>
        <v>FR86E05E</v>
      </c>
      <c r="D81" s="320" t="str">
        <f>VLOOKUP('OPX_BN+1'!$A81,Tableau106[],8,FALSE)</f>
        <v>EOLIEN</v>
      </c>
      <c r="E81" s="321">
        <f>VLOOKUP('OPX_BN+1'!$A81,Tableau106[],4,FALSE)</f>
        <v>15</v>
      </c>
      <c r="F81" s="322" t="str">
        <f>VLOOKUP('OPX_BN+1'!$A81,Tableau106[],5,FALSE)</f>
        <v>JAVI</v>
      </c>
      <c r="G81" s="322" t="str">
        <f>VLOOKUP('OPX_BN+1'!$A81,Tableau106[],7,FALSE)</f>
        <v>PARTNER</v>
      </c>
      <c r="H81" s="322" t="str">
        <f>VLOOKUP('OPX_BN+1'!$A81,Tableau106[],6,FALSE)</f>
        <v>S</v>
      </c>
      <c r="I81" s="372" t="str">
        <f>VLOOKUP(Tableau17[[#This Row],[OPEX VARIABLES en €
BN 2024]],Tableau106[],9,FALSE)</f>
        <v>PiM</v>
      </c>
      <c r="J81" s="360">
        <f>VLOOKUP(Tableau17[[#This Row],[CODE PI]],Tableau16[[CODE PI]:[(mesures compensatoires du PC ou autres)]],5,FALSE)*(1+$B$1)</f>
        <v>0</v>
      </c>
      <c r="K81" s="228">
        <v>0</v>
      </c>
      <c r="L81" s="228"/>
      <c r="M81" s="229">
        <v>0</v>
      </c>
      <c r="N81" s="229">
        <v>0</v>
      </c>
      <c r="O81" s="229">
        <v>0</v>
      </c>
      <c r="P81" s="229">
        <v>-6600</v>
      </c>
      <c r="Q81" s="229">
        <f>-250*'OPX_BN+1'!$E81</f>
        <v>-3750</v>
      </c>
      <c r="R81" s="274">
        <f>SUM('OPX_BN+1'!$K81:$Q81)</f>
        <v>-10350</v>
      </c>
      <c r="S81" s="337">
        <f>VLOOKUP(Tableau17[[#This Row],[CODE PI]],Tableau16[[CODE PI]:[(mesures compensatoires du PC ou autres)]],14,FALSE)*(1+$B$1)</f>
        <v>-282517.67499999999</v>
      </c>
      <c r="T81" s="423">
        <f>-2000</f>
        <v>-2000</v>
      </c>
      <c r="U81" s="341">
        <v>0</v>
      </c>
      <c r="V81" s="423">
        <v>-3000</v>
      </c>
      <c r="W81" s="423">
        <f>-2250-15000</f>
        <v>-17250</v>
      </c>
      <c r="X81" s="423">
        <v>0</v>
      </c>
      <c r="Y81" s="423">
        <v>-5000</v>
      </c>
      <c r="Z81" s="264">
        <f>-250*Tableau17[[#This Row],[MW]]</f>
        <v>-3750</v>
      </c>
      <c r="AA81" s="423"/>
      <c r="AB81" s="273">
        <f>SUM('OPX_BN+1'!$T81:$AA81)</f>
        <v>-31000</v>
      </c>
      <c r="AC81" s="426"/>
      <c r="AD81" s="426">
        <f>-4924*1.025</f>
        <v>-5047.0999999999995</v>
      </c>
      <c r="AE81" s="417">
        <v>0</v>
      </c>
      <c r="AF81" s="417">
        <v>-10283.969999999999</v>
      </c>
      <c r="AG81" s="417">
        <v>-45647.83</v>
      </c>
      <c r="AH81" s="417">
        <v>-5000</v>
      </c>
      <c r="AI81" s="417">
        <f>-12500</f>
        <v>-12500</v>
      </c>
      <c r="AJ81" s="371">
        <f>SUM('OPX_BN+1'!$AC81:$AI81)</f>
        <v>-78478.899999999994</v>
      </c>
      <c r="AK81" s="435">
        <v>0</v>
      </c>
      <c r="AL81" s="276">
        <f>SUM('OPX_BN+1'!$J81,'OPX_BN+1'!$AB81,'OPX_BN+1'!$S81,'OPX_BN+1'!$AJ81,'OPX_BN+1'!$R81,'OPX_BN+1'!$AK81)</f>
        <v>-402346.57499999995</v>
      </c>
      <c r="AM81" s="427"/>
    </row>
    <row r="82" spans="1:40" ht="15">
      <c r="A82" s="244" t="s">
        <v>549</v>
      </c>
      <c r="B82" s="320" t="str">
        <f>VLOOKUP('OPX_BN+1'!$A82,Tableau106[],3,FALSE)</f>
        <v>F156</v>
      </c>
      <c r="C82" s="320" t="str">
        <f>VLOOKUP('OPX_BN+1'!$A82,Tableau106[],2,FALSE)</f>
        <v>FR34E10E</v>
      </c>
      <c r="D82" s="320" t="str">
        <f>VLOOKUP('OPX_BN+1'!$A82,Tableau106[],8,FALSE)</f>
        <v>EOLIEN</v>
      </c>
      <c r="E82" s="321">
        <f>VLOOKUP('OPX_BN+1'!$A82,Tableau106[],4,FALSE)</f>
        <v>6.3</v>
      </c>
      <c r="F82" s="322" t="str">
        <f>VLOOKUP('OPX_BN+1'!$A82,Tableau106[],5,FALSE)</f>
        <v>JON2</v>
      </c>
      <c r="G82" s="322" t="str">
        <f>VLOOKUP('OPX_BN+1'!$A82,Tableau106[],7,FALSE)</f>
        <v>FUTUREN</v>
      </c>
      <c r="H82" s="322" t="str">
        <f>VLOOKUP('OPX_BN+1'!$A82,Tableau106[],6,FALSE)</f>
        <v>S</v>
      </c>
      <c r="I82" s="372" t="str">
        <f>VLOOKUP(Tableau17[[#This Row],[OPEX VARIABLES en €
BN 2024]],Tableau106[],9,FALSE)</f>
        <v>KéC</v>
      </c>
      <c r="J82" s="360">
        <f>VLOOKUP(Tableau17[[#This Row],[CODE PI]],Tableau16[[CODE PI]:[(mesures compensatoires du PC ou autres)]],5,FALSE)*(1+$B$1)</f>
        <v>-10400.674999999999</v>
      </c>
      <c r="K82" s="228">
        <v>-14580</v>
      </c>
      <c r="L82" s="228"/>
      <c r="M82" s="229">
        <v>0</v>
      </c>
      <c r="N82" s="229">
        <v>0</v>
      </c>
      <c r="O82" s="229">
        <v>0</v>
      </c>
      <c r="P82" s="229">
        <f>-440*6.3</f>
        <v>-2772</v>
      </c>
      <c r="Q82" s="229">
        <f>-250*'OPX_BN+1'!$E82</f>
        <v>-1575</v>
      </c>
      <c r="R82" s="274">
        <f>SUM('OPX_BN+1'!$K82:$Q82)</f>
        <v>-18927</v>
      </c>
      <c r="S82" s="337">
        <f>VLOOKUP(Tableau17[[#This Row],[CODE PI]],Tableau16[[CODE PI]:[(mesures compensatoires du PC ou autres)]],14,FALSE)*(1+$B$1)</f>
        <v>-83843.441999999995</v>
      </c>
      <c r="T82" s="423">
        <v>0</v>
      </c>
      <c r="U82" s="341">
        <v>0</v>
      </c>
      <c r="V82" s="423">
        <f>-5000*1.03</f>
        <v>-5150</v>
      </c>
      <c r="W82" s="423">
        <v>0</v>
      </c>
      <c r="X82" s="423">
        <v>0</v>
      </c>
      <c r="Y82" s="423">
        <f>-7756*1.025-792*1.025</f>
        <v>-8761.6999999999989</v>
      </c>
      <c r="Z82" s="264">
        <f>-250*Tableau17[[#This Row],[MW]]</f>
        <v>-1575</v>
      </c>
      <c r="AA82" s="423">
        <v>-2282.7256298492061</v>
      </c>
      <c r="AB82" s="273">
        <f>SUM('OPX_BN+1'!$T82:$AA82)</f>
        <v>-17769.425629849204</v>
      </c>
      <c r="AC82" s="426">
        <f>-51644*1.025-1500*3</f>
        <v>-57435.1</v>
      </c>
      <c r="AD82" s="426"/>
      <c r="AE82" s="417">
        <f>-7000</f>
        <v>-7000</v>
      </c>
      <c r="AF82" s="417">
        <v>0</v>
      </c>
      <c r="AG82" s="417">
        <v>0</v>
      </c>
      <c r="AH82" s="417">
        <v>0</v>
      </c>
      <c r="AI82" s="417">
        <v>0</v>
      </c>
      <c r="AJ82" s="371">
        <f>SUM('OPX_BN+1'!$AC82:$AI82)</f>
        <v>-64435.1</v>
      </c>
      <c r="AK82" s="424"/>
      <c r="AL82" s="276">
        <f>SUM('OPX_BN+1'!$J82,'OPX_BN+1'!$AB82,'OPX_BN+1'!$S82,'OPX_BN+1'!$AJ82,'OPX_BN+1'!$R82,'OPX_BN+1'!$AK82)</f>
        <v>-195375.6426298492</v>
      </c>
      <c r="AM82" s="427"/>
    </row>
    <row r="83" spans="1:40" ht="15">
      <c r="A83" s="244" t="s">
        <v>568</v>
      </c>
      <c r="B83" s="320" t="str">
        <f>VLOOKUP('OPX_BN+1'!$A83,Tableau106[],3,FALSE)</f>
        <v>A100</v>
      </c>
      <c r="C83" s="320" t="str">
        <f>VLOOKUP('OPX_BN+1'!$A83,Tableau106[],2,FALSE)</f>
        <v>FR34E05E</v>
      </c>
      <c r="D83" s="320" t="str">
        <f>VLOOKUP('OPX_BN+1'!$A83,Tableau106[],8,FALSE)</f>
        <v>EOLIEN</v>
      </c>
      <c r="E83" s="321">
        <f>VLOOKUP('OPX_BN+1'!$A83,Tableau106[],4,FALSE)</f>
        <v>14.5</v>
      </c>
      <c r="F83" s="322" t="str">
        <f>VLOOKUP('OPX_BN+1'!$A83,Tableau106[],5,FALSE)</f>
        <v>JONC</v>
      </c>
      <c r="G83" s="322" t="str">
        <f>VLOOKUP('OPX_BN+1'!$A83,Tableau106[],7,FALSE)</f>
        <v>GROUPE</v>
      </c>
      <c r="H83" s="322" t="str">
        <f>VLOOKUP('OPX_BN+1'!$A83,Tableau106[],6,FALSE)</f>
        <v>S</v>
      </c>
      <c r="I83" s="372" t="str">
        <f>VLOOKUP(Tableau17[[#This Row],[OPEX VARIABLES en €
BN 2024]],Tableau106[],9,FALSE)</f>
        <v>KéC</v>
      </c>
      <c r="J83" s="360">
        <f>VLOOKUP(Tableau17[[#This Row],[CODE PI]],Tableau16[[CODE PI]:[(mesures compensatoires du PC ou autres)]],5,FALSE)*(1+$B$1)</f>
        <v>-11432.849999999999</v>
      </c>
      <c r="K83" s="228">
        <v>-5380</v>
      </c>
      <c r="L83" s="228"/>
      <c r="M83" s="229">
        <v>0</v>
      </c>
      <c r="N83" s="229">
        <v>0</v>
      </c>
      <c r="O83" s="229">
        <v>0</v>
      </c>
      <c r="P83" s="229">
        <f>-440*11.9</f>
        <v>-5236</v>
      </c>
      <c r="Q83" s="229">
        <f>-250*'OPX_BN+1'!$E83</f>
        <v>-3625</v>
      </c>
      <c r="R83" s="274">
        <f>SUM('OPX_BN+1'!$K83:$Q83)</f>
        <v>-14241</v>
      </c>
      <c r="S83" s="337">
        <f>VLOOKUP(Tableau17[[#This Row],[CODE PI]],Tableau16[[CODE PI]:[(mesures compensatoires du PC ou autres)]],14,FALSE)*(1+$B$1)</f>
        <v>-474504.27499999997</v>
      </c>
      <c r="T83" s="423">
        <v>0</v>
      </c>
      <c r="U83" s="341">
        <v>0</v>
      </c>
      <c r="V83" s="423">
        <f>-14689.22*1.03</f>
        <v>-15129.8966</v>
      </c>
      <c r="W83" s="423">
        <v>0</v>
      </c>
      <c r="X83" s="423">
        <v>0</v>
      </c>
      <c r="Y83" s="423">
        <v>-5000</v>
      </c>
      <c r="Z83" s="264">
        <f>-250*Tableau17[[#This Row],[MW]]</f>
        <v>-3625</v>
      </c>
      <c r="AA83" s="423">
        <f>-0.002*'CA_BN+1'!M100</f>
        <v>-5187.4964877075045</v>
      </c>
      <c r="AB83" s="273">
        <f>SUM('OPX_BN+1'!$T83:$AA83)</f>
        <v>-28942.393087707504</v>
      </c>
      <c r="AC83" s="426">
        <f>-106000*1.025-5*1300</f>
        <v>-115149.99999999999</v>
      </c>
      <c r="AD83" s="426">
        <f>-4924*1.025</f>
        <v>-5047.0999999999995</v>
      </c>
      <c r="AE83" s="417">
        <v>-10000</v>
      </c>
      <c r="AF83" s="417">
        <v>0</v>
      </c>
      <c r="AG83" s="417">
        <v>-40000</v>
      </c>
      <c r="AH83" s="417">
        <v>0</v>
      </c>
      <c r="AI83" s="417">
        <v>-10000</v>
      </c>
      <c r="AJ83" s="371">
        <f>SUM('OPX_BN+1'!$AC83:$AI83)</f>
        <v>-180197.09999999998</v>
      </c>
      <c r="AK83" s="424"/>
      <c r="AL83" s="276">
        <f>SUM('OPX_BN+1'!$J83,'OPX_BN+1'!$AB83,'OPX_BN+1'!$S83,'OPX_BN+1'!$AJ83,'OPX_BN+1'!$R83,'OPX_BN+1'!$AK83)</f>
        <v>-709317.61808770744</v>
      </c>
      <c r="AM83" s="427"/>
    </row>
    <row r="84" spans="1:40" ht="15">
      <c r="A84" s="325" t="s">
        <v>601</v>
      </c>
      <c r="B84" s="320" t="str">
        <f>VLOOKUP('OPX_BN+1'!$A84,Tableau106[],3,FALSE)</f>
        <v>A936</v>
      </c>
      <c r="C84" s="320" t="str">
        <f>VLOOKUP('OPX_BN+1'!$A84,Tableau106[],2,FALSE)</f>
        <v>FR34E83E</v>
      </c>
      <c r="D84" s="320" t="str">
        <f>VLOOKUP('OPX_BN+1'!$A84,Tableau106[],8,FALSE)</f>
        <v>EOLIEN</v>
      </c>
      <c r="E84" s="321">
        <f>VLOOKUP('OPX_BN+1'!$A84,Tableau106[],4,FALSE)</f>
        <v>8</v>
      </c>
      <c r="F84" s="322" t="str">
        <f>VLOOKUP('OPX_BN+1'!$A84,Tableau106[],5,FALSE)</f>
        <v>LAPI</v>
      </c>
      <c r="G84" s="322" t="str">
        <f>VLOOKUP('OPX_BN+1'!$A84,Tableau106[],7,FALSE)</f>
        <v>FUTUREN</v>
      </c>
      <c r="H84" s="322" t="str">
        <f>VLOOKUP('OPX_BN+1'!$A84,Tableau106[],6,FALSE)</f>
        <v>S</v>
      </c>
      <c r="I84" s="372" t="str">
        <f>VLOOKUP(Tableau17[[#This Row],[OPEX VARIABLES en €
BN 2024]],Tableau106[],9,FALSE)</f>
        <v>KéD</v>
      </c>
      <c r="J84" s="360">
        <f>VLOOKUP(Tableau17[[#This Row],[CODE PI]],Tableau16[[CODE PI]:[(mesures compensatoires du PC ou autres)]],5,FALSE)*(1+$B$1)</f>
        <v>-255233.19999999998</v>
      </c>
      <c r="K84" s="228">
        <v>-17380</v>
      </c>
      <c r="L84" s="228"/>
      <c r="M84" s="229">
        <v>0</v>
      </c>
      <c r="N84" s="229">
        <v>0</v>
      </c>
      <c r="O84" s="229">
        <v>0</v>
      </c>
      <c r="P84" s="229">
        <f>-2800-5000</f>
        <v>-7800</v>
      </c>
      <c r="Q84" s="229">
        <f>-250*'OPX_BN+1'!$E84</f>
        <v>-2000</v>
      </c>
      <c r="R84" s="274">
        <f>SUM('OPX_BN+1'!$K84:$Q84)</f>
        <v>-27180</v>
      </c>
      <c r="S84" s="337">
        <f>VLOOKUP(Tableau17[[#This Row],[CODE PI]],Tableau16[[CODE PI]:[(mesures compensatoires du PC ou autres)]],14,FALSE)*(1+$B$1)</f>
        <v>0</v>
      </c>
      <c r="T84" s="423">
        <v>0</v>
      </c>
      <c r="U84" s="341">
        <v>0</v>
      </c>
      <c r="V84" s="423">
        <v>-10000</v>
      </c>
      <c r="W84" s="423">
        <v>0</v>
      </c>
      <c r="X84" s="423">
        <v>0</v>
      </c>
      <c r="Y84" s="423">
        <v>0</v>
      </c>
      <c r="Z84" s="264">
        <f>-250*Tableau17[[#This Row],[MW]]</f>
        <v>-2000</v>
      </c>
      <c r="AA84" s="423"/>
      <c r="AB84" s="273">
        <f>SUM('OPX_BN+1'!$T84:$AA84)</f>
        <v>-12000</v>
      </c>
      <c r="AC84" s="426">
        <f>-((6184*4)+1500)</f>
        <v>-26236</v>
      </c>
      <c r="AD84" s="426"/>
      <c r="AE84" s="417">
        <v>-2920</v>
      </c>
      <c r="AF84" s="417">
        <v>0</v>
      </c>
      <c r="AG84" s="417">
        <v>-20214</v>
      </c>
      <c r="AH84" s="417"/>
      <c r="AI84" s="417">
        <v>-23275</v>
      </c>
      <c r="AJ84" s="371">
        <f>SUM('OPX_BN+1'!$AC84:$AI84)</f>
        <v>-72645</v>
      </c>
      <c r="AK84" s="424"/>
      <c r="AL84" s="276">
        <f>SUM('OPX_BN+1'!$J84,'OPX_BN+1'!$AB84,'OPX_BN+1'!$S84,'OPX_BN+1'!$AJ84,'OPX_BN+1'!$R84,'OPX_BN+1'!$AK84)</f>
        <v>-367058.19999999995</v>
      </c>
      <c r="AM84" s="427"/>
    </row>
    <row r="85" spans="1:40" ht="15">
      <c r="A85" s="325" t="s">
        <v>519</v>
      </c>
      <c r="B85" s="320" t="str">
        <f>VLOOKUP('OPX_BN+1'!$A85,Tableau106[],3,FALSE)</f>
        <v>A071</v>
      </c>
      <c r="C85" s="320" t="str">
        <f>VLOOKUP('OPX_BN+1'!$A85,Tableau106[],2,FALSE)</f>
        <v>FR97S87E</v>
      </c>
      <c r="D85" s="320" t="str">
        <f>VLOOKUP('OPX_BN+1'!$A85,Tableau106[],8,FALSE)</f>
        <v>SOLAIRE DOM</v>
      </c>
      <c r="E85" s="321">
        <f>VLOOKUP('OPX_BN+1'!$A85,Tableau106[],4,FALSE)</f>
        <v>10.452</v>
      </c>
      <c r="F85" s="322" t="str">
        <f>VLOOKUP('OPX_BN+1'!$A85,Tableau106[],5,FALSE)</f>
        <v>ROSE</v>
      </c>
      <c r="G85" s="322" t="str">
        <f>VLOOKUP('OPX_BN+1'!$A85,Tableau106[],7,FALSE)</f>
        <v>GROUPE</v>
      </c>
      <c r="H85" s="322" t="str">
        <f>VLOOKUP('OPX_BN+1'!$A85,Tableau106[],6,FALSE)</f>
        <v>DOM</v>
      </c>
      <c r="I85" s="372" t="str">
        <f>VLOOKUP(Tableau17[[#This Row],[OPEX VARIABLES en €
BN 2024]],Tableau106[],9,FALSE)</f>
        <v>BéK</v>
      </c>
      <c r="J85" s="360">
        <f>VLOOKUP(Tableau17[[#This Row],[CODE PI]],Tableau16[[CODE PI]:[(mesures compensatoires du PC ou autres)]],5,FALSE)*(1+$B$1)</f>
        <v>0</v>
      </c>
      <c r="K85" s="228">
        <v>0</v>
      </c>
      <c r="L85" s="228"/>
      <c r="M85" s="229">
        <v>0</v>
      </c>
      <c r="N85" s="229">
        <v>0</v>
      </c>
      <c r="O85" s="229">
        <v>0</v>
      </c>
      <c r="P85" s="229">
        <v>0</v>
      </c>
      <c r="Q85" s="229">
        <f>-250*'OPX_BN+1'!$E85</f>
        <v>-2613</v>
      </c>
      <c r="R85" s="274">
        <f>SUM('OPX_BN+1'!$K85:$Q85)</f>
        <v>-2613</v>
      </c>
      <c r="S85" s="337">
        <f>VLOOKUP(Tableau17[[#This Row],[CODE PI]],Tableau16[[CODE PI]:[(mesures compensatoires du PC ou autres)]],14,FALSE)*(1+$B$1)</f>
        <v>-509359.39999999997</v>
      </c>
      <c r="T85" s="423">
        <v>0</v>
      </c>
      <c r="U85" s="341">
        <v>0</v>
      </c>
      <c r="V85" s="423">
        <v>-115000</v>
      </c>
      <c r="W85" s="423"/>
      <c r="X85" s="423">
        <v>0</v>
      </c>
      <c r="Y85" s="423">
        <v>0</v>
      </c>
      <c r="Z85" s="264">
        <f>-250*Tableau17[[#This Row],[MW]]</f>
        <v>-2613</v>
      </c>
      <c r="AA85" s="423">
        <v>-13000</v>
      </c>
      <c r="AB85" s="273">
        <f>SUM('OPX_BN+1'!$T85:$AA85)</f>
        <v>-130613</v>
      </c>
      <c r="AC85" s="426"/>
      <c r="AD85" s="426"/>
      <c r="AE85" s="417">
        <v>0</v>
      </c>
      <c r="AF85" s="417">
        <v>0</v>
      </c>
      <c r="AG85" s="417">
        <v>0</v>
      </c>
      <c r="AH85" s="417">
        <v>0</v>
      </c>
      <c r="AI85" s="417">
        <v>0</v>
      </c>
      <c r="AJ85" s="371">
        <f>SUM('OPX_BN+1'!$AC85:$AI85)</f>
        <v>0</v>
      </c>
      <c r="AK85" s="424"/>
      <c r="AL85" s="276">
        <f>SUM('OPX_BN+1'!$J85,'OPX_BN+1'!$AB85,'OPX_BN+1'!$S85,'OPX_BN+1'!$AJ85,'OPX_BN+1'!$R85,'OPX_BN+1'!$AK85)</f>
        <v>-642585.39999999991</v>
      </c>
      <c r="AM85" s="427">
        <v>-80000</v>
      </c>
      <c r="AN85" s="6" t="s">
        <v>881</v>
      </c>
    </row>
    <row r="86" spans="1:40" ht="15">
      <c r="A86" s="244" t="s">
        <v>520</v>
      </c>
      <c r="B86" s="320" t="str">
        <f>VLOOKUP('OPX_BN+1'!$A86,Tableau106[],3,FALSE)</f>
        <v>A257</v>
      </c>
      <c r="C86" s="320" t="str">
        <f>VLOOKUP('OPX_BN+1'!$A86,Tableau106[],2,FALSE)</f>
        <v>FR01S06E</v>
      </c>
      <c r="D86" s="320" t="str">
        <f>VLOOKUP('OPX_BN+1'!$A86,Tableau106[],8,FALSE)</f>
        <v>SOLAIRE</v>
      </c>
      <c r="E86" s="321">
        <f>VLOOKUP('OPX_BN+1'!$A86,Tableau106[],4,FALSE)</f>
        <v>2.9</v>
      </c>
      <c r="F86" s="322" t="str">
        <f>VLOOKUP('OPX_BN+1'!$A86,Tableau106[],5,FALSE)</f>
        <v>LAGN</v>
      </c>
      <c r="G86" s="322" t="str">
        <f>VLOOKUP('OPX_BN+1'!$A86,Tableau106[],7,FALSE)</f>
        <v>GROUPE</v>
      </c>
      <c r="H86" s="322" t="str">
        <f>VLOOKUP('OPX_BN+1'!$A86,Tableau106[],6,FALSE)</f>
        <v>S</v>
      </c>
      <c r="I86" s="372" t="str">
        <f>VLOOKUP(Tableau17[[#This Row],[OPEX VARIABLES en €
BN 2024]],Tableau106[],9,FALSE)</f>
        <v>ArB</v>
      </c>
      <c r="J86" s="360">
        <f>VLOOKUP(Tableau17[[#This Row],[CODE PI]],Tableau16[[CODE PI]:[(mesures compensatoires du PC ou autres)]],5,FALSE)*(1+$B$1)</f>
        <v>0</v>
      </c>
      <c r="K86" s="228">
        <v>0</v>
      </c>
      <c r="L86" s="228"/>
      <c r="M86" s="229">
        <v>0</v>
      </c>
      <c r="N86" s="229">
        <v>0</v>
      </c>
      <c r="O86" s="229">
        <v>0</v>
      </c>
      <c r="P86" s="229">
        <v>0</v>
      </c>
      <c r="Q86" s="229">
        <f>-250*'OPX_BN+1'!$E86</f>
        <v>-725</v>
      </c>
      <c r="R86" s="274">
        <f>SUM('OPX_BN+1'!$K86:$Q86)</f>
        <v>-725</v>
      </c>
      <c r="S86" s="337">
        <f>VLOOKUP(Tableau17[[#This Row],[CODE PI]],Tableau16[[CODE PI]:[(mesures compensatoires du PC ou autres)]],14,FALSE)*(1+$B$1)</f>
        <v>-19762</v>
      </c>
      <c r="T86" s="423">
        <v>-1900</v>
      </c>
      <c r="U86" s="341">
        <v>0</v>
      </c>
      <c r="V86" s="423">
        <v>-2907</v>
      </c>
      <c r="W86" s="423">
        <v>0</v>
      </c>
      <c r="X86" s="423">
        <v>0</v>
      </c>
      <c r="Y86" s="423">
        <v>0</v>
      </c>
      <c r="Z86" s="264">
        <f>-250*Tableau17[[#This Row],[MW]]</f>
        <v>-725</v>
      </c>
      <c r="AA86" s="423">
        <v>-400</v>
      </c>
      <c r="AB86" s="273">
        <f>SUM('OPX_BN+1'!$T86:$AA86)</f>
        <v>-5932</v>
      </c>
      <c r="AC86" s="426"/>
      <c r="AD86" s="426"/>
      <c r="AE86" s="417">
        <v>0</v>
      </c>
      <c r="AF86" s="417">
        <v>0</v>
      </c>
      <c r="AG86" s="417">
        <v>0</v>
      </c>
      <c r="AH86" s="417">
        <v>-6898</v>
      </c>
      <c r="AI86" s="417">
        <v>0</v>
      </c>
      <c r="AJ86" s="371">
        <f>SUM('OPX_BN+1'!$AC86:$AI86)</f>
        <v>-6898</v>
      </c>
      <c r="AK86" s="424"/>
      <c r="AL86" s="276">
        <f>SUM('OPX_BN+1'!$J86,'OPX_BN+1'!$AB86,'OPX_BN+1'!$S86,'OPX_BN+1'!$AJ86,'OPX_BN+1'!$R86,'OPX_BN+1'!$AK86)</f>
        <v>-33317</v>
      </c>
      <c r="AM86" s="427"/>
    </row>
    <row r="87" spans="1:40" ht="15">
      <c r="A87" s="325" t="s">
        <v>499</v>
      </c>
      <c r="B87" s="320" t="str">
        <f>VLOOKUP('OPX_BN+1'!$A87,Tableau106[],3,FALSE)</f>
        <v>A540</v>
      </c>
      <c r="C87" s="320" t="str">
        <f>VLOOKUP('OPX_BN+1'!$A87,Tableau106[],2,FALSE)</f>
        <v>FR22E03E</v>
      </c>
      <c r="D87" s="320" t="str">
        <f>VLOOKUP('OPX_BN+1'!$A87,Tableau106[],8,FALSE)</f>
        <v>EOLIEN</v>
      </c>
      <c r="E87" s="321">
        <f>VLOOKUP('OPX_BN+1'!$A87,Tableau106[],4,FALSE)</f>
        <v>10</v>
      </c>
      <c r="F87" s="322" t="str">
        <f>VLOOKUP('OPX_BN+1'!$A87,Tableau106[],5,FALSE)</f>
        <v>LDTE</v>
      </c>
      <c r="G87" s="322" t="str">
        <f>VLOOKUP('OPX_BN+1'!$A87,Tableau106[],7,FALSE)</f>
        <v>EGM</v>
      </c>
      <c r="H87" s="322" t="str">
        <f>VLOOKUP('OPX_BN+1'!$A87,Tableau106[],6,FALSE)</f>
        <v>N</v>
      </c>
      <c r="I87" s="372" t="str">
        <f>VLOOKUP(Tableau17[[#This Row],[OPEX VARIABLES en €
BN 2024]],Tableau106[],9,FALSE)</f>
        <v>BoK</v>
      </c>
      <c r="J87" s="360">
        <f>VLOOKUP(Tableau17[[#This Row],[CODE PI]],Tableau16[[CODE PI]:[(mesures compensatoires du PC ou autres)]],5,FALSE)*(1+$B$1)</f>
        <v>-264576.07499999995</v>
      </c>
      <c r="K87" s="228">
        <v>-106790</v>
      </c>
      <c r="L87" s="228"/>
      <c r="M87" s="229">
        <v>0</v>
      </c>
      <c r="N87" s="229">
        <v>0</v>
      </c>
      <c r="O87" s="229">
        <v>-3000</v>
      </c>
      <c r="P87" s="229">
        <v>-3500</v>
      </c>
      <c r="Q87" s="229">
        <f>-250*'OPX_BN+1'!$E87</f>
        <v>-2500</v>
      </c>
      <c r="R87" s="274">
        <f>SUM('OPX_BN+1'!$K87:$Q87)</f>
        <v>-115790</v>
      </c>
      <c r="S87" s="337">
        <f>VLOOKUP(Tableau17[[#This Row],[CODE PI]],Tableau16[[CODE PI]:[(mesures compensatoires du PC ou autres)]],14,FALSE)*(1+$B$1)</f>
        <v>0</v>
      </c>
      <c r="T87" s="423">
        <v>0</v>
      </c>
      <c r="U87" s="341">
        <v>0</v>
      </c>
      <c r="V87" s="423">
        <v>-2000</v>
      </c>
      <c r="W87" s="423">
        <v>0</v>
      </c>
      <c r="X87" s="423">
        <v>-4000</v>
      </c>
      <c r="Y87" s="423">
        <v>0</v>
      </c>
      <c r="Z87" s="264">
        <f>-250*Tableau17[[#This Row],[MW]]</f>
        <v>-2500</v>
      </c>
      <c r="AA87" s="423"/>
      <c r="AB87" s="273">
        <f>SUM('OPX_BN+1'!$T87:$AA87)</f>
        <v>-8500</v>
      </c>
      <c r="AC87" s="426"/>
      <c r="AD87" s="426"/>
      <c r="AE87" s="417">
        <v>0</v>
      </c>
      <c r="AF87" s="417">
        <v>0</v>
      </c>
      <c r="AG87" s="417">
        <v>0</v>
      </c>
      <c r="AH87" s="417">
        <v>0</v>
      </c>
      <c r="AI87" s="417">
        <v>0</v>
      </c>
      <c r="AJ87" s="371">
        <f>SUM('OPX_BN+1'!$AC87:$AI87)</f>
        <v>0</v>
      </c>
      <c r="AK87" s="424"/>
      <c r="AL87" s="276">
        <f>SUM('OPX_BN+1'!$J87,'OPX_BN+1'!$AB87,'OPX_BN+1'!$S87,'OPX_BN+1'!$AJ87,'OPX_BN+1'!$R87,'OPX_BN+1'!$AK87)</f>
        <v>-388866.07499999995</v>
      </c>
      <c r="AM87" s="427"/>
    </row>
    <row r="88" spans="1:40" ht="15">
      <c r="A88" s="244" t="s">
        <v>546</v>
      </c>
      <c r="B88" s="320" t="str">
        <f>VLOOKUP('OPX_BN+1'!$A88,Tableau106[],3,FALSE)</f>
        <v>A541</v>
      </c>
      <c r="C88" s="320" t="str">
        <f>VLOOKUP('OPX_BN+1'!$A88,Tableau106[],2,FALSE)</f>
        <v>FR55E04E</v>
      </c>
      <c r="D88" s="320" t="str">
        <f>VLOOKUP('OPX_BN+1'!$A88,Tableau106[],8,FALSE)</f>
        <v>EOLIEN</v>
      </c>
      <c r="E88" s="321">
        <f>VLOOKUP('OPX_BN+1'!$A88,Tableau106[],4,FALSE)</f>
        <v>11.5</v>
      </c>
      <c r="F88" s="322" t="str">
        <f>VLOOKUP('OPX_BN+1'!$A88,Tableau106[],5,FALSE)</f>
        <v>LANE</v>
      </c>
      <c r="G88" s="322" t="str">
        <f>VLOOKUP('OPX_BN+1'!$A88,Tableau106[],7,FALSE)</f>
        <v>EGM</v>
      </c>
      <c r="H88" s="322" t="str">
        <f>VLOOKUP('OPX_BN+1'!$A88,Tableau106[],6,FALSE)</f>
        <v>N</v>
      </c>
      <c r="I88" s="372" t="str">
        <f>VLOOKUP(Tableau17[[#This Row],[OPEX VARIABLES en €
BN 2024]],Tableau106[],9,FALSE)</f>
        <v>MaA</v>
      </c>
      <c r="J88" s="360">
        <f>VLOOKUP(Tableau17[[#This Row],[CODE PI]],Tableau16[[CODE PI]:[(mesures compensatoires du PC ou autres)]],5,FALSE)*(1+$B$1)</f>
        <v>-264576.07499999995</v>
      </c>
      <c r="K88" s="228">
        <v>-517590.00000000006</v>
      </c>
      <c r="L88" s="228"/>
      <c r="M88" s="229">
        <v>0</v>
      </c>
      <c r="N88" s="229">
        <v>0</v>
      </c>
      <c r="O88" s="229">
        <v>-3000</v>
      </c>
      <c r="P88" s="229">
        <v>-4025</v>
      </c>
      <c r="Q88" s="229">
        <f>-250*'OPX_BN+1'!$E88</f>
        <v>-2875</v>
      </c>
      <c r="R88" s="274">
        <f>SUM('OPX_BN+1'!$K88:$Q88)</f>
        <v>-527490</v>
      </c>
      <c r="S88" s="337">
        <v>-25471</v>
      </c>
      <c r="T88" s="423">
        <v>0</v>
      </c>
      <c r="U88" s="341">
        <v>0</v>
      </c>
      <c r="V88" s="423">
        <v>-2000</v>
      </c>
      <c r="W88" s="423">
        <v>0</v>
      </c>
      <c r="X88" s="423">
        <v>-4000</v>
      </c>
      <c r="Y88" s="423">
        <v>0</v>
      </c>
      <c r="Z88" s="264">
        <f>-250*Tableau17[[#This Row],[MW]]</f>
        <v>-2875</v>
      </c>
      <c r="AA88" s="423"/>
      <c r="AB88" s="273">
        <f>SUM('OPX_BN+1'!$T88:$AA88)</f>
        <v>-8875</v>
      </c>
      <c r="AC88" s="426"/>
      <c r="AD88" s="426"/>
      <c r="AE88" s="417">
        <v>0</v>
      </c>
      <c r="AF88" s="417">
        <v>-10000</v>
      </c>
      <c r="AG88" s="417">
        <v>-40000</v>
      </c>
      <c r="AH88" s="417">
        <v>0</v>
      </c>
      <c r="AI88" s="417">
        <v>0</v>
      </c>
      <c r="AJ88" s="371">
        <f>SUM('OPX_BN+1'!$AC88:$AI88)</f>
        <v>-50000</v>
      </c>
      <c r="AK88" s="424"/>
      <c r="AL88" s="276">
        <f>SUM('OPX_BN+1'!$J88,'OPX_BN+1'!$AB88,'OPX_BN+1'!$S88,'OPX_BN+1'!$AJ88,'OPX_BN+1'!$R88,'OPX_BN+1'!$AK88)</f>
        <v>-876412.07499999995</v>
      </c>
      <c r="AM88" s="427"/>
    </row>
    <row r="89" spans="1:40" ht="15">
      <c r="A89" s="325" t="s">
        <v>522</v>
      </c>
      <c r="B89" s="320" t="str">
        <f>VLOOKUP('OPX_BN+1'!$A89,Tableau106[],3,FALSE)</f>
        <v>A258</v>
      </c>
      <c r="C89" s="320" t="str">
        <f>VLOOKUP('OPX_BN+1'!$A89,Tableau106[],2,FALSE)</f>
        <v>FR05S02E</v>
      </c>
      <c r="D89" s="320" t="str">
        <f>VLOOKUP('OPX_BN+1'!$A89,Tableau106[],8,FALSE)</f>
        <v>SOLAIRE</v>
      </c>
      <c r="E89" s="321">
        <f>VLOOKUP('OPX_BN+1'!$A89,Tableau106[],4,FALSE)</f>
        <v>19.8</v>
      </c>
      <c r="F89" s="322" t="str">
        <f>VLOOKUP('OPX_BN+1'!$A89,Tableau106[],5,FALSE)</f>
        <v>LAZE</v>
      </c>
      <c r="G89" s="322" t="str">
        <f>VLOOKUP('OPX_BN+1'!$A89,Tableau106[],7,FALSE)</f>
        <v>GROUPE</v>
      </c>
      <c r="H89" s="322" t="str">
        <f>VLOOKUP('OPX_BN+1'!$A89,Tableau106[],6,FALSE)</f>
        <v>S</v>
      </c>
      <c r="I89" s="372" t="str">
        <f>VLOOKUP(Tableau17[[#This Row],[OPEX VARIABLES en €
BN 2024]],Tableau106[],9,FALSE)</f>
        <v>ArB</v>
      </c>
      <c r="J89" s="360">
        <v>-160000</v>
      </c>
      <c r="K89" s="228">
        <v>0</v>
      </c>
      <c r="L89" s="228"/>
      <c r="M89" s="229">
        <v>0</v>
      </c>
      <c r="N89" s="229">
        <v>0</v>
      </c>
      <c r="O89" s="229">
        <v>0</v>
      </c>
      <c r="P89" s="229">
        <v>0</v>
      </c>
      <c r="Q89" s="229">
        <f>-250*'OPX_BN+1'!$E89</f>
        <v>-4950</v>
      </c>
      <c r="R89" s="274">
        <f>SUM('OPX_BN+1'!$K89:$Q89)</f>
        <v>-4950</v>
      </c>
      <c r="S89" s="337">
        <f>VLOOKUP(Tableau17[[#This Row],[CODE PI]],Tableau16[[CODE PI]:[(mesures compensatoires du PC ou autres)]],14,FALSE)*(1+$B$1)</f>
        <v>0</v>
      </c>
      <c r="T89" s="423">
        <v>-20000</v>
      </c>
      <c r="U89" s="341">
        <v>0</v>
      </c>
      <c r="V89" s="423">
        <v>0</v>
      </c>
      <c r="W89" s="423">
        <v>0</v>
      </c>
      <c r="X89" s="423">
        <v>0</v>
      </c>
      <c r="Y89" s="423">
        <v>0</v>
      </c>
      <c r="Z89" s="264">
        <f>-250*Tableau17[[#This Row],[MW]]</f>
        <v>-4950</v>
      </c>
      <c r="AA89" s="423"/>
      <c r="AB89" s="273">
        <f>SUM('OPX_BN+1'!$T89:$AA89)</f>
        <v>-24950</v>
      </c>
      <c r="AC89" s="426"/>
      <c r="AD89" s="426"/>
      <c r="AE89" s="417">
        <v>0</v>
      </c>
      <c r="AF89" s="417">
        <v>0</v>
      </c>
      <c r="AG89" s="417">
        <v>0</v>
      </c>
      <c r="AH89" s="417">
        <v>-5300</v>
      </c>
      <c r="AI89" s="417">
        <v>0</v>
      </c>
      <c r="AJ89" s="371">
        <f>SUM('OPX_BN+1'!$AC89:$AI89)</f>
        <v>-5300</v>
      </c>
      <c r="AK89" s="424"/>
      <c r="AL89" s="276">
        <f>SUM('OPX_BN+1'!$J89,'OPX_BN+1'!$AB89,'OPX_BN+1'!$S89,'OPX_BN+1'!$AJ89,'OPX_BN+1'!$R89,'OPX_BN+1'!$AK89)</f>
        <v>-195200</v>
      </c>
      <c r="AM89" s="427">
        <v>-100000</v>
      </c>
      <c r="AN89" s="6" t="s">
        <v>873</v>
      </c>
    </row>
    <row r="90" spans="1:40" ht="15">
      <c r="A90" s="244" t="s">
        <v>523</v>
      </c>
      <c r="B90" s="320" t="str">
        <f>VLOOKUP('OPX_BN+1'!$A90,Tableau106[],3,FALSE)</f>
        <v>A272</v>
      </c>
      <c r="C90" s="320" t="str">
        <f>VLOOKUP('OPX_BN+1'!$A90,Tableau106[],2,FALSE)</f>
        <v>FR07S04E</v>
      </c>
      <c r="D90" s="320" t="str">
        <f>VLOOKUP('OPX_BN+1'!$A90,Tableau106[],8,FALSE)</f>
        <v>SOLAIRE</v>
      </c>
      <c r="E90" s="321">
        <f>VLOOKUP('OPX_BN+1'!$A90,Tableau106[],4,FALSE)</f>
        <v>8.1999999999999993</v>
      </c>
      <c r="F90" s="322" t="str">
        <f>VLOOKUP('OPX_BN+1'!$A90,Tableau106[],5,FALSE)</f>
        <v>PZIN</v>
      </c>
      <c r="G90" s="322" t="str">
        <f>VLOOKUP('OPX_BN+1'!$A90,Tableau106[],7,FALSE)</f>
        <v>GROUPE</v>
      </c>
      <c r="H90" s="322" t="str">
        <f>VLOOKUP('OPX_BN+1'!$A90,Tableau106[],6,FALSE)</f>
        <v>S</v>
      </c>
      <c r="I90" s="372" t="str">
        <f>VLOOKUP(Tableau17[[#This Row],[OPEX VARIABLES en €
BN 2024]],Tableau106[],9,FALSE)</f>
        <v>ArB</v>
      </c>
      <c r="J90" s="360">
        <f>VLOOKUP(Tableau17[[#This Row],[CODE PI]],Tableau16[[CODE PI]:[(mesures compensatoires du PC ou autres)]],5,FALSE)*(1+$B$1)</f>
        <v>-38751.149999999994</v>
      </c>
      <c r="K90" s="228">
        <v>-4150</v>
      </c>
      <c r="L90" s="228"/>
      <c r="M90" s="229">
        <v>0</v>
      </c>
      <c r="N90" s="229">
        <v>0</v>
      </c>
      <c r="O90" s="229">
        <v>0</v>
      </c>
      <c r="P90" s="229">
        <v>0</v>
      </c>
      <c r="Q90" s="229">
        <f>-250*'OPX_BN+1'!$E90</f>
        <v>-2050</v>
      </c>
      <c r="R90" s="274">
        <f>SUM('OPX_BN+1'!$K90:$Q90)</f>
        <v>-6200</v>
      </c>
      <c r="S90" s="337">
        <f>VLOOKUP(Tableau17[[#This Row],[CODE PI]],Tableau16[[CODE PI]:[(mesures compensatoires du PC ou autres)]],14,FALSE)*(1+$B$1)</f>
        <v>0</v>
      </c>
      <c r="T90" s="423">
        <v>0</v>
      </c>
      <c r="U90" s="341">
        <v>0</v>
      </c>
      <c r="V90" s="423">
        <v>0</v>
      </c>
      <c r="W90" s="423">
        <v>0</v>
      </c>
      <c r="X90" s="423">
        <v>0</v>
      </c>
      <c r="Y90" s="423">
        <v>0</v>
      </c>
      <c r="Z90" s="264">
        <f>-250*Tableau17[[#This Row],[MW]]</f>
        <v>-2050</v>
      </c>
      <c r="AA90" s="423">
        <v>-1500</v>
      </c>
      <c r="AB90" s="273">
        <f>SUM('OPX_BN+1'!$T90:$AA90)</f>
        <v>-3550</v>
      </c>
      <c r="AC90" s="426"/>
      <c r="AD90" s="426"/>
      <c r="AE90" s="417">
        <v>0</v>
      </c>
      <c r="AF90" s="417">
        <v>0</v>
      </c>
      <c r="AG90" s="417">
        <v>0</v>
      </c>
      <c r="AH90" s="417">
        <v>-7450</v>
      </c>
      <c r="AI90" s="417">
        <v>0</v>
      </c>
      <c r="AJ90" s="371">
        <f>SUM('OPX_BN+1'!$AC90:$AI90)</f>
        <v>-7450</v>
      </c>
      <c r="AK90" s="424"/>
      <c r="AL90" s="276">
        <f>SUM('OPX_BN+1'!$J90,'OPX_BN+1'!$AB90,'OPX_BN+1'!$S90,'OPX_BN+1'!$AJ90,'OPX_BN+1'!$R90,'OPX_BN+1'!$AK90)</f>
        <v>-55951.149999999994</v>
      </c>
      <c r="AM90" s="427"/>
    </row>
    <row r="91" spans="1:40" ht="15">
      <c r="A91" s="244" t="s">
        <v>606</v>
      </c>
      <c r="B91" s="320" t="str">
        <f>VLOOKUP('OPX_BN+1'!$A91,Tableau106[],3,FALSE)</f>
        <v>A540</v>
      </c>
      <c r="C91" s="320" t="str">
        <f>VLOOKUP('OPX_BN+1'!$A91,Tableau106[],2,FALSE)</f>
        <v>FR56E03E</v>
      </c>
      <c r="D91" s="320" t="str">
        <f>VLOOKUP('OPX_BN+1'!$A91,Tableau106[],8,FALSE)</f>
        <v>EOLIEN</v>
      </c>
      <c r="E91" s="321">
        <f>VLOOKUP('OPX_BN+1'!$A91,Tableau106[],4,FALSE)</f>
        <v>4.8499999999999996</v>
      </c>
      <c r="F91" s="322" t="str">
        <f>VLOOKUP('OPX_BN+1'!$A91,Tableau106[],5,FALSE)</f>
        <v>LERO</v>
      </c>
      <c r="G91" s="322" t="str">
        <f>VLOOKUP('OPX_BN+1'!$A91,Tableau106[],7,FALSE)</f>
        <v>EGM</v>
      </c>
      <c r="H91" s="322" t="str">
        <f>VLOOKUP('OPX_BN+1'!$A91,Tableau106[],6,FALSE)</f>
        <v>N</v>
      </c>
      <c r="I91" s="372" t="str">
        <f>VLOOKUP(Tableau17[[#This Row],[OPEX VARIABLES en €
BN 2024]],Tableau106[],9,FALSE)</f>
        <v>DeN</v>
      </c>
      <c r="J91" s="360">
        <f>VLOOKUP(Tableau17[[#This Row],[CODE PI]],Tableau16[[CODE PI]:[(mesures compensatoires du PC ou autres)]],5,FALSE)*(1+$B$1)</f>
        <v>-138738.875</v>
      </c>
      <c r="K91" s="228">
        <v>-27850</v>
      </c>
      <c r="L91" s="228"/>
      <c r="M91" s="229">
        <v>0</v>
      </c>
      <c r="N91" s="229">
        <v>0</v>
      </c>
      <c r="O91" s="229">
        <v>0</v>
      </c>
      <c r="P91" s="229">
        <v>-1697.5</v>
      </c>
      <c r="Q91" s="229">
        <f>-250*'OPX_BN+1'!$E91</f>
        <v>-1212.5</v>
      </c>
      <c r="R91" s="274">
        <f>SUM('OPX_BN+1'!$K91:$Q91)</f>
        <v>-30760</v>
      </c>
      <c r="S91" s="337">
        <f>VLOOKUP(Tableau17[[#This Row],[CODE PI]],Tableau16[[CODE PI]:[(mesures compensatoires du PC ou autres)]],14,FALSE)*(1+$B$1)</f>
        <v>0</v>
      </c>
      <c r="T91" s="423">
        <v>0</v>
      </c>
      <c r="U91" s="341">
        <v>0</v>
      </c>
      <c r="V91" s="423">
        <v>-1000</v>
      </c>
      <c r="W91" s="423">
        <v>0</v>
      </c>
      <c r="X91" s="423">
        <v>0</v>
      </c>
      <c r="Y91" s="423">
        <v>0</v>
      </c>
      <c r="Z91" s="264">
        <f>-250*Tableau17[[#This Row],[MW]]</f>
        <v>-1212.5</v>
      </c>
      <c r="AA91" s="423"/>
      <c r="AB91" s="273">
        <f>SUM('OPX_BN+1'!$T91:$AA91)</f>
        <v>-2212.5</v>
      </c>
      <c r="AC91" s="426"/>
      <c r="AD91" s="426"/>
      <c r="AE91" s="417">
        <v>0</v>
      </c>
      <c r="AF91" s="417">
        <v>0</v>
      </c>
      <c r="AG91" s="417">
        <v>0</v>
      </c>
      <c r="AH91" s="417">
        <v>0</v>
      </c>
      <c r="AI91" s="417">
        <v>0</v>
      </c>
      <c r="AJ91" s="371">
        <f>SUM('OPX_BN+1'!$AC91:$AI91)</f>
        <v>0</v>
      </c>
      <c r="AK91" s="424"/>
      <c r="AL91" s="276">
        <f>SUM('OPX_BN+1'!$J91,'OPX_BN+1'!$AB91,'OPX_BN+1'!$S91,'OPX_BN+1'!$AJ91,'OPX_BN+1'!$R91,'OPX_BN+1'!$AK91)</f>
        <v>-171711.375</v>
      </c>
      <c r="AM91" s="427"/>
    </row>
    <row r="92" spans="1:40" ht="15">
      <c r="A92" s="325" t="s">
        <v>192</v>
      </c>
      <c r="B92" s="320" t="str">
        <f>VLOOKUP('OPX_BN+1'!$A92,Tableau106[],3,FALSE)</f>
        <v>F247</v>
      </c>
      <c r="C92" s="320" t="str">
        <f>VLOOKUP('OPX_BN+1'!$A92,Tableau106[],2,FALSE)</f>
        <v>FR10E02E</v>
      </c>
      <c r="D92" s="320" t="str">
        <f>VLOOKUP('OPX_BN+1'!$A92,Tableau106[],8,FALSE)</f>
        <v>EOLIEN</v>
      </c>
      <c r="E92" s="321">
        <f>VLOOKUP('OPX_BN+1'!$A92,Tableau106[],4,FALSE)</f>
        <v>37.950000000000003</v>
      </c>
      <c r="F92" s="322" t="str">
        <f>VLOOKUP('OPX_BN+1'!$A92,Tableau106[],5,FALSE)</f>
        <v>COT1, COT2, COT3, COT4</v>
      </c>
      <c r="G92" s="322" t="str">
        <f>VLOOKUP('OPX_BN+1'!$A92,Tableau106[],7,FALSE)</f>
        <v>FUTUREN</v>
      </c>
      <c r="H92" s="322" t="str">
        <f>VLOOKUP('OPX_BN+1'!$A92,Tableau106[],6,FALSE)</f>
        <v>N</v>
      </c>
      <c r="I92" s="372" t="str">
        <f>VLOOKUP(Tableau17[[#This Row],[OPEX VARIABLES en €
BN 2024]],Tableau106[],9,FALSE)</f>
        <v>MéS</v>
      </c>
      <c r="J92" s="360">
        <f>VLOOKUP(Tableau17[[#This Row],[CODE PI]],Tableau16[[CODE PI]:[(mesures compensatoires du PC ou autres)]],5,FALSE)*(1+$B$1)</f>
        <v>-644025.94999999995</v>
      </c>
      <c r="K92" s="228">
        <v>-23570</v>
      </c>
      <c r="L92" s="228"/>
      <c r="M92" s="229">
        <v>0</v>
      </c>
      <c r="N92" s="229">
        <v>0</v>
      </c>
      <c r="O92" s="229">
        <v>0</v>
      </c>
      <c r="P92" s="229">
        <f>-440*Tableau17[[#This Row],[MW]]</f>
        <v>-16698</v>
      </c>
      <c r="Q92" s="229">
        <f>-250*'OPX_BN+1'!$E92</f>
        <v>-9487.5</v>
      </c>
      <c r="R92" s="274">
        <f>SUM('OPX_BN+1'!$K92:$Q92)</f>
        <v>-49755.5</v>
      </c>
      <c r="S92" s="337">
        <f>VLOOKUP(Tableau17[[#This Row],[CODE PI]],Tableau16[[CODE PI]:[(mesures compensatoires du PC ou autres)]],14,FALSE)*(1+$B$1)</f>
        <v>0</v>
      </c>
      <c r="T92" s="386">
        <v>-2052</v>
      </c>
      <c r="U92" s="341">
        <v>0</v>
      </c>
      <c r="V92" s="386">
        <v>-5800</v>
      </c>
      <c r="W92" s="423">
        <v>0</v>
      </c>
      <c r="X92" s="423">
        <v>0</v>
      </c>
      <c r="Y92" s="423">
        <v>0</v>
      </c>
      <c r="Z92" s="264">
        <f>-250*Tableau17[[#This Row],[MW]]</f>
        <v>-9487.5</v>
      </c>
      <c r="AA92" s="423"/>
      <c r="AB92" s="273">
        <f>SUM('OPX_BN+1'!$T92:$AA92)</f>
        <v>-17339.5</v>
      </c>
      <c r="AC92" s="426"/>
      <c r="AD92" s="426">
        <f>-4924*1.025</f>
        <v>-5047.0999999999995</v>
      </c>
      <c r="AE92" s="417">
        <v>-5000</v>
      </c>
      <c r="AF92" s="417">
        <v>0</v>
      </c>
      <c r="AG92" s="417">
        <v>0</v>
      </c>
      <c r="AH92" s="417">
        <v>0</v>
      </c>
      <c r="AI92" s="417">
        <v>-8539</v>
      </c>
      <c r="AJ92" s="371">
        <f>SUM('OPX_BN+1'!$AC92:$AI92)</f>
        <v>-18586.099999999999</v>
      </c>
      <c r="AK92" s="424"/>
      <c r="AL92" s="276">
        <f>SUM('OPX_BN+1'!$J92,'OPX_BN+1'!$AB92,'OPX_BN+1'!$S92,'OPX_BN+1'!$AJ92,'OPX_BN+1'!$R92,'OPX_BN+1'!$AK92)</f>
        <v>-729707.04999999993</v>
      </c>
      <c r="AM92" s="427"/>
    </row>
    <row r="93" spans="1:40" ht="15">
      <c r="A93" s="244" t="s">
        <v>194</v>
      </c>
      <c r="B93" s="320" t="str">
        <f>VLOOKUP('OPX_BN+1'!$A93,Tableau106[],3,FALSE)</f>
        <v>F046</v>
      </c>
      <c r="C93" s="320" t="str">
        <f>VLOOKUP('OPX_BN+1'!$A93,Tableau106[],2,FALSE)</f>
        <v>FR10E03E</v>
      </c>
      <c r="D93" s="320" t="str">
        <f>VLOOKUP('OPX_BN+1'!$A93,Tableau106[],8,FALSE)</f>
        <v>EOLIEN</v>
      </c>
      <c r="E93" s="321">
        <f>VLOOKUP('OPX_BN+1'!$A93,Tableau106[],4,FALSE)</f>
        <v>13.2</v>
      </c>
      <c r="F93" s="322" t="str">
        <f>VLOOKUP('OPX_BN+1'!$A93,Tableau106[],5,FALSE)</f>
        <v>LEMO</v>
      </c>
      <c r="G93" s="322" t="str">
        <f>VLOOKUP('OPX_BN+1'!$A93,Tableau106[],7,FALSE)</f>
        <v>FUTUREN</v>
      </c>
      <c r="H93" s="322" t="str">
        <f>VLOOKUP('OPX_BN+1'!$A93,Tableau106[],6,FALSE)</f>
        <v>N</v>
      </c>
      <c r="I93" s="372" t="str">
        <f>VLOOKUP(Tableau17[[#This Row],[OPEX VARIABLES en €
BN 2024]],Tableau106[],9,FALSE)</f>
        <v>MéS</v>
      </c>
      <c r="J93" s="360">
        <f>VLOOKUP(Tableau17[[#This Row],[CODE PI]],Tableau16[[CODE PI]:[(mesures compensatoires du PC ou autres)]],5,FALSE)*(1+$B$1)</f>
        <v>-13362.924999999999</v>
      </c>
      <c r="K93" s="228">
        <v>-2370</v>
      </c>
      <c r="L93" s="228"/>
      <c r="M93" s="229">
        <v>0</v>
      </c>
      <c r="N93" s="229">
        <v>0</v>
      </c>
      <c r="O93" s="229">
        <v>0</v>
      </c>
      <c r="P93" s="229">
        <f>-440*Tableau17[[#This Row],[MW]]</f>
        <v>-5808</v>
      </c>
      <c r="Q93" s="229">
        <f>-250*'OPX_BN+1'!$E93</f>
        <v>-3300</v>
      </c>
      <c r="R93" s="274">
        <f>SUM('OPX_BN+1'!$K93:$Q93)</f>
        <v>-11478</v>
      </c>
      <c r="S93" s="337">
        <f>VLOOKUP(Tableau17[[#This Row],[CODE PI]],Tableau16[[CODE PI]:[(mesures compensatoires du PC ou autres)]],14,FALSE)*(1+$B$1)</f>
        <v>-258800.19999999998</v>
      </c>
      <c r="T93" s="405">
        <v>-2484</v>
      </c>
      <c r="U93" s="341">
        <v>0</v>
      </c>
      <c r="V93" s="405">
        <v>-4600</v>
      </c>
      <c r="W93" s="423">
        <v>0</v>
      </c>
      <c r="X93" s="423">
        <v>0</v>
      </c>
      <c r="Y93" s="423">
        <v>0</v>
      </c>
      <c r="Z93" s="264">
        <f>-250*Tableau17[[#This Row],[MW]]</f>
        <v>-3300</v>
      </c>
      <c r="AA93" s="423"/>
      <c r="AB93" s="273">
        <f>SUM('OPX_BN+1'!$T93:$AA93)</f>
        <v>-10384</v>
      </c>
      <c r="AC93" s="426"/>
      <c r="AD93" s="426">
        <f>-4924*1.025</f>
        <v>-5047.0999999999995</v>
      </c>
      <c r="AE93" s="417">
        <v>0</v>
      </c>
      <c r="AF93" s="417">
        <v>0</v>
      </c>
      <c r="AG93" s="417">
        <v>0</v>
      </c>
      <c r="AH93" s="417">
        <v>0</v>
      </c>
      <c r="AI93" s="417">
        <v>-2207</v>
      </c>
      <c r="AJ93" s="371">
        <f>SUM('OPX_BN+1'!$AC93:$AI93)</f>
        <v>-7254.0999999999995</v>
      </c>
      <c r="AK93" s="424"/>
      <c r="AL93" s="276">
        <f>SUM('OPX_BN+1'!$J93,'OPX_BN+1'!$AB93,'OPX_BN+1'!$S93,'OPX_BN+1'!$AJ93,'OPX_BN+1'!$R93,'OPX_BN+1'!$AK93)</f>
        <v>-301279.22499999998</v>
      </c>
      <c r="AM93" s="427"/>
    </row>
    <row r="94" spans="1:40" ht="15">
      <c r="A94" s="244" t="s">
        <v>495</v>
      </c>
      <c r="B94" s="320" t="str">
        <f>VLOOKUP('OPX_BN+1'!$A94,Tableau106[],3,FALSE)</f>
        <v>A366</v>
      </c>
      <c r="C94" s="320" t="str">
        <f>VLOOKUP('OPX_BN+1'!$A94,Tableau106[],2,FALSE)</f>
        <v>FR48E96E</v>
      </c>
      <c r="D94" s="320" t="str">
        <f>VLOOKUP('OPX_BN+1'!$A94,Tableau106[],8,FALSE)</f>
        <v>EOLIEN</v>
      </c>
      <c r="E94" s="321">
        <f>VLOOKUP('OPX_BN+1'!$A94,Tableau106[],4,FALSE)</f>
        <v>27.18</v>
      </c>
      <c r="F94" s="322" t="str">
        <f>VLOOKUP('OPX_BN+1'!$A94,Tableau106[],5,FALSE)</f>
        <v>TAIL</v>
      </c>
      <c r="G94" s="322" t="str">
        <f>VLOOKUP('OPX_BN+1'!$A94,Tableau106[],7,FALSE)</f>
        <v>GROUPE</v>
      </c>
      <c r="H94" s="322" t="str">
        <f>VLOOKUP('OPX_BN+1'!$A94,Tableau106[],6,FALSE)</f>
        <v>S</v>
      </c>
      <c r="I94" s="372" t="str">
        <f>VLOOKUP(Tableau17[[#This Row],[OPEX VARIABLES en €
BN 2024]],Tableau106[],9,FALSE)</f>
        <v>StE</v>
      </c>
      <c r="J94" s="360">
        <f>VLOOKUP(Tableau17[[#This Row],[CODE PI]],Tableau16[[CODE PI]:[(mesures compensatoires du PC ou autres)]],5,FALSE)*(1+$B$1)</f>
        <v>0</v>
      </c>
      <c r="K94" s="228">
        <v>0</v>
      </c>
      <c r="L94" s="228"/>
      <c r="M94" s="229">
        <v>0</v>
      </c>
      <c r="N94" s="229">
        <v>0</v>
      </c>
      <c r="O94" s="229">
        <v>-3200</v>
      </c>
      <c r="P94" s="229">
        <v>-11968</v>
      </c>
      <c r="Q94" s="229">
        <f>-250*'OPX_BN+1'!$E94</f>
        <v>-6795</v>
      </c>
      <c r="R94" s="274">
        <f>SUM('OPX_BN+1'!$K94:$Q94)</f>
        <v>-21963</v>
      </c>
      <c r="S94" s="337">
        <f>VLOOKUP(Tableau17[[#This Row],[CODE PI]],Tableau16[[CODE PI]:[(mesures compensatoires du PC ou autres)]],14,FALSE)*(1+$B$1)</f>
        <v>-286064.17499999999</v>
      </c>
      <c r="T94" s="423">
        <v>0</v>
      </c>
      <c r="U94" s="341">
        <v>0</v>
      </c>
      <c r="V94" s="423">
        <v>-9000</v>
      </c>
      <c r="W94" s="423">
        <v>-10000</v>
      </c>
      <c r="X94" s="423">
        <v>-4000</v>
      </c>
      <c r="Y94" s="423">
        <v>0</v>
      </c>
      <c r="Z94" s="264">
        <f>-250*Tableau17[[#This Row],[MW]]</f>
        <v>-6795</v>
      </c>
      <c r="AA94" s="423">
        <v>-10000</v>
      </c>
      <c r="AB94" s="273">
        <f>SUM('OPX_BN+1'!$T94:$AA94)</f>
        <v>-39795</v>
      </c>
      <c r="AC94" s="426">
        <v>-46000</v>
      </c>
      <c r="AD94" s="426">
        <f>-4924*1.025</f>
        <v>-5047.0999999999995</v>
      </c>
      <c r="AE94" s="417">
        <v>0</v>
      </c>
      <c r="AF94" s="417">
        <v>-10000</v>
      </c>
      <c r="AG94" s="417">
        <v>-40000</v>
      </c>
      <c r="AH94" s="417">
        <v>0</v>
      </c>
      <c r="AI94" s="417"/>
      <c r="AJ94" s="371">
        <f>SUM('OPX_BN+1'!$AC94:$AI94)</f>
        <v>-101047.1</v>
      </c>
      <c r="AK94" s="424"/>
      <c r="AL94" s="276">
        <f>SUM('OPX_BN+1'!$J94,'OPX_BN+1'!$AB94,'OPX_BN+1'!$S94,'OPX_BN+1'!$AJ94,'OPX_BN+1'!$R94,'OPX_BN+1'!$AK94)</f>
        <v>-448869.27500000002</v>
      </c>
      <c r="AM94" s="427"/>
    </row>
    <row r="95" spans="1:40" ht="15">
      <c r="A95" s="325" t="s">
        <v>579</v>
      </c>
      <c r="B95" s="320" t="str">
        <f>VLOOKUP('OPX_BN+1'!$A95,Tableau106[],3,FALSE)</f>
        <v>A899</v>
      </c>
      <c r="C95" s="320" t="str">
        <f>VLOOKUP('OPX_BN+1'!$A95,Tableau106[],2,FALSE)</f>
        <v>FR25E01E</v>
      </c>
      <c r="D95" s="320" t="str">
        <f>VLOOKUP('OPX_BN+1'!$A95,Tableau106[],8,FALSE)</f>
        <v>EOLIEN</v>
      </c>
      <c r="E95" s="321">
        <f>VLOOKUP('OPX_BN+1'!$A95,Tableau106[],4,FALSE)</f>
        <v>20</v>
      </c>
      <c r="F95" s="322" t="str">
        <f>VLOOKUP('OPX_BN+1'!$A95,Tableau106[],5,FALSE)</f>
        <v>LOMO</v>
      </c>
      <c r="G95" s="322" t="str">
        <f>VLOOKUP('OPX_BN+1'!$A95,Tableau106[],7,FALSE)</f>
        <v>GROUPE</v>
      </c>
      <c r="H95" s="322" t="str">
        <f>VLOOKUP('OPX_BN+1'!$A95,Tableau106[],6,FALSE)</f>
        <v>N</v>
      </c>
      <c r="I95" s="372" t="str">
        <f>VLOOKUP(Tableau17[[#This Row],[OPEX VARIABLES en €
BN 2024]],Tableau106[],9,FALSE)</f>
        <v>LoH</v>
      </c>
      <c r="J95" s="360">
        <f>VLOOKUP(Tableau17[[#This Row],[CODE PI]],Tableau16[[CODE PI]:[(mesures compensatoires du PC ou autres)]],5,FALSE)*(1+$B$1)</f>
        <v>-40036.5</v>
      </c>
      <c r="K95" s="228">
        <v>-1.7763568394002505E-12</v>
      </c>
      <c r="L95" s="228"/>
      <c r="M95" s="229">
        <v>0</v>
      </c>
      <c r="N95" s="229">
        <v>0</v>
      </c>
      <c r="O95" s="229">
        <v>0</v>
      </c>
      <c r="P95" s="229">
        <f>-440*Tableau17[[#This Row],[MW]]</f>
        <v>-8800</v>
      </c>
      <c r="Q95" s="229">
        <f>-250*'OPX_BN+1'!$E95</f>
        <v>-5000</v>
      </c>
      <c r="R95" s="274">
        <f>SUM('OPX_BN+1'!$K95:$Q95)</f>
        <v>-13800.000000000002</v>
      </c>
      <c r="S95" s="337">
        <f>VLOOKUP(Tableau17[[#This Row],[CODE PI]],Tableau16[[CODE PI]:[(mesures compensatoires du PC ou autres)]],14,FALSE)*(1+$B$1)</f>
        <v>-473991.77499999997</v>
      </c>
      <c r="T95" s="423">
        <v>-5000</v>
      </c>
      <c r="U95" s="341">
        <v>0</v>
      </c>
      <c r="V95" s="423">
        <v>-17500</v>
      </c>
      <c r="W95" s="423">
        <v>-4500</v>
      </c>
      <c r="X95" s="423">
        <v>0</v>
      </c>
      <c r="Y95" s="423">
        <v>-1400</v>
      </c>
      <c r="Z95" s="264">
        <f>-250*Tableau17[[#This Row],[MW]]</f>
        <v>-5000</v>
      </c>
      <c r="AA95" s="423"/>
      <c r="AB95" s="273">
        <f>SUM('OPX_BN+1'!$T95:$AA95)</f>
        <v>-33400</v>
      </c>
      <c r="AC95" s="426">
        <v>-27500</v>
      </c>
      <c r="AD95" s="426">
        <f>-4924*1.025</f>
        <v>-5047.0999999999995</v>
      </c>
      <c r="AE95" s="417">
        <v>0</v>
      </c>
      <c r="AF95" s="417">
        <v>0</v>
      </c>
      <c r="AG95" s="417">
        <v>0</v>
      </c>
      <c r="AH95" s="417">
        <v>0</v>
      </c>
      <c r="AI95" s="417">
        <v>0</v>
      </c>
      <c r="AJ95" s="371">
        <f>SUM('OPX_BN+1'!$AC95:$AI95)</f>
        <v>-32547.1</v>
      </c>
      <c r="AK95" s="424"/>
      <c r="AL95" s="276">
        <f>SUM('OPX_BN+1'!$J95,'OPX_BN+1'!$AB95,'OPX_BN+1'!$S95,'OPX_BN+1'!$AJ95,'OPX_BN+1'!$R95,'OPX_BN+1'!$AK95)</f>
        <v>-593775.37499999988</v>
      </c>
      <c r="AM95" s="427"/>
    </row>
    <row r="96" spans="1:40" ht="15">
      <c r="A96" s="244" t="s">
        <v>497</v>
      </c>
      <c r="B96" s="320" t="str">
        <f>VLOOKUP('OPX_BN+1'!$A96,Tableau106[],3,FALSE)</f>
        <v>A895</v>
      </c>
      <c r="C96" s="320" t="str">
        <f>VLOOKUP('OPX_BN+1'!$A96,Tableau106[],2,FALSE)</f>
        <v>FR80E97E</v>
      </c>
      <c r="D96" s="320" t="str">
        <f>VLOOKUP('OPX_BN+1'!$A96,Tableau106[],8,FALSE)</f>
        <v>EOLIEN</v>
      </c>
      <c r="E96" s="321">
        <f>VLOOKUP('OPX_BN+1'!$A96,Tableau106[],4,FALSE)</f>
        <v>10</v>
      </c>
      <c r="F96" s="322" t="str">
        <f>VLOOKUP('OPX_BN+1'!$A96,Tableau106[],5,FALSE)</f>
        <v>LEPI</v>
      </c>
      <c r="G96" s="322" t="str">
        <f>VLOOKUP('OPX_BN+1'!$A96,Tableau106[],7,FALSE)</f>
        <v>GROUPE</v>
      </c>
      <c r="H96" s="322" t="str">
        <f>VLOOKUP('OPX_BN+1'!$A96,Tableau106[],6,FALSE)</f>
        <v>N</v>
      </c>
      <c r="I96" s="372" t="str">
        <f>VLOOKUP(Tableau17[[#This Row],[OPEX VARIABLES en €
BN 2024]],Tableau106[],9,FALSE)</f>
        <v>NiD</v>
      </c>
      <c r="J96" s="360">
        <v>-265000</v>
      </c>
      <c r="K96" s="228">
        <v>-180000.00000000003</v>
      </c>
      <c r="L96" s="228"/>
      <c r="M96" s="229">
        <v>0</v>
      </c>
      <c r="N96" s="229">
        <v>0</v>
      </c>
      <c r="O96" s="229">
        <v>0</v>
      </c>
      <c r="P96" s="229">
        <f>-440*Tableau17[[#This Row],[MW]]</f>
        <v>-4400</v>
      </c>
      <c r="Q96" s="229">
        <f>-250*'OPX_BN+1'!$E96</f>
        <v>-2500</v>
      </c>
      <c r="R96" s="274">
        <f>SUM('OPX_BN+1'!$K96:$Q96)</f>
        <v>-186900.00000000003</v>
      </c>
      <c r="S96" s="337">
        <f>VLOOKUP(Tableau17[[#This Row],[CODE PI]],Tableau16[[CODE PI]:[(mesures compensatoires du PC ou autres)]],14,FALSE)*(1+$B$1)</f>
        <v>0</v>
      </c>
      <c r="T96" s="423">
        <v>0</v>
      </c>
      <c r="U96" s="341">
        <v>0</v>
      </c>
      <c r="V96" s="423">
        <v>-1500</v>
      </c>
      <c r="W96" s="423"/>
      <c r="X96" s="423">
        <v>0</v>
      </c>
      <c r="Y96" s="423">
        <v>0</v>
      </c>
      <c r="Z96" s="264">
        <f>-250*Tableau17[[#This Row],[MW]]</f>
        <v>-2500</v>
      </c>
      <c r="AA96" s="423"/>
      <c r="AB96" s="273">
        <f>SUM('OPX_BN+1'!$T96:$AA96)</f>
        <v>-4000</v>
      </c>
      <c r="AC96" s="426"/>
      <c r="AD96" s="426"/>
      <c r="AE96" s="417">
        <v>0</v>
      </c>
      <c r="AF96" s="417">
        <v>0</v>
      </c>
      <c r="AG96" s="417">
        <v>0</v>
      </c>
      <c r="AH96" s="417">
        <v>0</v>
      </c>
      <c r="AI96" s="417">
        <v>0</v>
      </c>
      <c r="AJ96" s="371">
        <f>SUM('OPX_BN+1'!$AC96:$AI96)</f>
        <v>0</v>
      </c>
      <c r="AK96" s="424"/>
      <c r="AL96" s="276">
        <f>SUM('OPX_BN+1'!$J96,'OPX_BN+1'!$AB96,'OPX_BN+1'!$S96,'OPX_BN+1'!$AJ96,'OPX_BN+1'!$R96,'OPX_BN+1'!$AK96)</f>
        <v>-455900</v>
      </c>
      <c r="AM96" s="427"/>
    </row>
    <row r="97" spans="1:39" ht="15">
      <c r="A97" s="325" t="s">
        <v>450</v>
      </c>
      <c r="B97" s="320" t="str">
        <f>VLOOKUP('OPX_BN+1'!$A97,Tableau106[],3,FALSE)</f>
        <v>A279</v>
      </c>
      <c r="C97" s="320" t="str">
        <f>VLOOKUP('OPX_BN+1'!$A97,Tableau106[],2,FALSE)</f>
        <v>FR51E07E</v>
      </c>
      <c r="D97" s="320" t="str">
        <f>VLOOKUP('OPX_BN+1'!$A97,Tableau106[],8,FALSE)</f>
        <v>EOLIEN</v>
      </c>
      <c r="E97" s="321">
        <f>VLOOKUP('OPX_BN+1'!$A97,Tableau106[],4,FALSE)</f>
        <v>43.2</v>
      </c>
      <c r="F97" s="322" t="str">
        <f>VLOOKUP('OPX_BN+1'!$A97,Tableau106[],5,FALSE)</f>
        <v>LORO</v>
      </c>
      <c r="G97" s="322" t="str">
        <f>VLOOKUP('OPX_BN+1'!$A97,Tableau106[],7,FALSE)</f>
        <v>GROUPE</v>
      </c>
      <c r="H97" s="322" t="str">
        <f>VLOOKUP('OPX_BN+1'!$A97,Tableau106[],6,FALSE)</f>
        <v>N</v>
      </c>
      <c r="I97" s="372" t="str">
        <f>VLOOKUP(Tableau17[[#This Row],[OPEX VARIABLES en €
BN 2024]],Tableau106[],9,FALSE)</f>
        <v>BaB</v>
      </c>
      <c r="J97" s="360">
        <f>VLOOKUP(Tableau17[[#This Row],[CODE PI]],Tableau16[[CODE PI]:[(mesures compensatoires du PC ou autres)]],5,FALSE)*(1+$B$1)</f>
        <v>-44558.799999999996</v>
      </c>
      <c r="K97" s="228">
        <v>-42470</v>
      </c>
      <c r="L97" s="228"/>
      <c r="M97" s="229">
        <v>0</v>
      </c>
      <c r="N97" s="229">
        <v>0</v>
      </c>
      <c r="O97" s="229">
        <v>0</v>
      </c>
      <c r="P97" s="229">
        <v>-16695</v>
      </c>
      <c r="Q97" s="229">
        <f>-250*'OPX_BN+1'!$E97</f>
        <v>-10800</v>
      </c>
      <c r="R97" s="274">
        <f>SUM('OPX_BN+1'!$K97:$Q97)</f>
        <v>-69965</v>
      </c>
      <c r="S97" s="337">
        <f>VLOOKUP(Tableau17[[#This Row],[CODE PI]],Tableau16[[CODE PI]:[(mesures compensatoires du PC ou autres)]],14,FALSE)*(1+$B$1)</f>
        <v>-589037.77499999991</v>
      </c>
      <c r="T97" s="423">
        <v>0</v>
      </c>
      <c r="U97" s="341">
        <v>0</v>
      </c>
      <c r="V97" s="423">
        <v>0</v>
      </c>
      <c r="W97" s="423">
        <v>0</v>
      </c>
      <c r="X97" s="423">
        <v>0</v>
      </c>
      <c r="Y97" s="423">
        <v>0</v>
      </c>
      <c r="Z97" s="264">
        <f>-250*Tableau17[[#This Row],[MW]]</f>
        <v>-10800</v>
      </c>
      <c r="AA97" s="423"/>
      <c r="AB97" s="273">
        <f>SUM('OPX_BN+1'!$T97:$AA97)</f>
        <v>-10800</v>
      </c>
      <c r="AC97" s="426"/>
      <c r="AD97" s="426"/>
      <c r="AE97" s="417">
        <v>0</v>
      </c>
      <c r="AF97" s="417">
        <v>-18000</v>
      </c>
      <c r="AG97" s="417">
        <v>-35000</v>
      </c>
      <c r="AH97" s="417">
        <v>0</v>
      </c>
      <c r="AI97" s="417">
        <v>0</v>
      </c>
      <c r="AJ97" s="371">
        <f>SUM('OPX_BN+1'!$AC97:$AI97)</f>
        <v>-53000</v>
      </c>
      <c r="AK97" s="424"/>
      <c r="AL97" s="276">
        <f>SUM('OPX_BN+1'!$J97,'OPX_BN+1'!$AB97,'OPX_BN+1'!$S97,'OPX_BN+1'!$AJ97,'OPX_BN+1'!$R97,'OPX_BN+1'!$AK97)</f>
        <v>-767361.57499999995</v>
      </c>
      <c r="AM97" s="427"/>
    </row>
    <row r="98" spans="1:39" ht="15">
      <c r="A98" s="244" t="s">
        <v>452</v>
      </c>
      <c r="B98" s="320" t="str">
        <f>VLOOKUP('OPX_BN+1'!$A98,Tableau106[],3,FALSE)</f>
        <v>A896</v>
      </c>
      <c r="C98" s="320" t="str">
        <f>VLOOKUP('OPX_BN+1'!$A98,Tableau106[],2,FALSE)</f>
        <v>FR48E99E</v>
      </c>
      <c r="D98" s="320" t="str">
        <f>VLOOKUP('OPX_BN+1'!$A98,Tableau106[],8,FALSE)</f>
        <v>EOLIEN</v>
      </c>
      <c r="E98" s="321">
        <f>VLOOKUP('OPX_BN+1'!$A98,Tableau106[],4,FALSE)</f>
        <v>14</v>
      </c>
      <c r="F98" s="322" t="str">
        <f>VLOOKUP('OPX_BN+1'!$A98,Tableau106[],5,FALSE)</f>
        <v>LOPV</v>
      </c>
      <c r="G98" s="322" t="str">
        <f>VLOOKUP('OPX_BN+1'!$A98,Tableau106[],7,FALSE)</f>
        <v>GROUPE</v>
      </c>
      <c r="H98" s="322" t="str">
        <f>VLOOKUP('OPX_BN+1'!$A98,Tableau106[],6,FALSE)</f>
        <v>S</v>
      </c>
      <c r="I98" s="372" t="str">
        <f>VLOOKUP(Tableau17[[#This Row],[OPEX VARIABLES en €
BN 2024]],Tableau106[],9,FALSE)</f>
        <v>ThC</v>
      </c>
      <c r="J98" s="360">
        <f>VLOOKUP(Tableau17[[#This Row],[CODE PI]],Tableau16[[CODE PI]:[(mesures compensatoires du PC ou autres)]],5,FALSE)*(1+$B$1)</f>
        <v>-15169.999999999998</v>
      </c>
      <c r="K98" s="228">
        <v>-3590</v>
      </c>
      <c r="L98" s="228"/>
      <c r="M98" s="229">
        <v>0</v>
      </c>
      <c r="N98" s="229">
        <v>0</v>
      </c>
      <c r="O98" s="229">
        <v>-1500</v>
      </c>
      <c r="P98" s="229">
        <f>-6200-5000</f>
        <v>-11200</v>
      </c>
      <c r="Q98" s="229">
        <f>-250*'OPX_BN+1'!$E98</f>
        <v>-3500</v>
      </c>
      <c r="R98" s="274">
        <f>SUM('OPX_BN+1'!$K98:$Q98)</f>
        <v>-19790</v>
      </c>
      <c r="S98" s="337">
        <f>VLOOKUP(Tableau17[[#This Row],[CODE PI]],Tableau16[[CODE PI]:[(mesures compensatoires du PC ou autres)]],14,FALSE)*(1+$B$1)</f>
        <v>-294757.19999999995</v>
      </c>
      <c r="T98" s="440"/>
      <c r="U98" s="361">
        <v>-60000</v>
      </c>
      <c r="V98" s="361">
        <v>-8000</v>
      </c>
      <c r="W98" s="361">
        <v>-17000</v>
      </c>
      <c r="X98" s="361">
        <v>0</v>
      </c>
      <c r="Y98" s="423"/>
      <c r="Z98" s="264">
        <f>-250*Tableau17[[#This Row],[MW]]</f>
        <v>-3500</v>
      </c>
      <c r="AA98" s="423">
        <v>-4000</v>
      </c>
      <c r="AB98" s="273">
        <f>SUM('OPX_BN+1'!$U98:$AA98)</f>
        <v>-92500</v>
      </c>
      <c r="AC98" s="426"/>
      <c r="AD98" s="426">
        <f>-4924*1.025</f>
        <v>-5047.0999999999995</v>
      </c>
      <c r="AE98" s="417">
        <v>0</v>
      </c>
      <c r="AF98" s="417">
        <v>0</v>
      </c>
      <c r="AG98" s="417">
        <v>0</v>
      </c>
      <c r="AH98" s="417">
        <v>0</v>
      </c>
      <c r="AI98" s="417">
        <v>0</v>
      </c>
      <c r="AJ98" s="371">
        <f>SUM('OPX_BN+1'!$AC98:$AI98)</f>
        <v>-5047.0999999999995</v>
      </c>
      <c r="AK98" s="424"/>
      <c r="AL98" s="276">
        <f>SUM('OPX_BN+1'!$J98,'OPX_BN+1'!$AB98,'OPX_BN+1'!$S98,'OPX_BN+1'!$AJ98,'OPX_BN+1'!$R98,'OPX_BN+1'!$AK98)</f>
        <v>-427264.29999999993</v>
      </c>
      <c r="AM98" s="427"/>
    </row>
    <row r="99" spans="1:39" ht="15">
      <c r="A99" s="244" t="s">
        <v>533</v>
      </c>
      <c r="B99" s="320" t="str">
        <f>VLOOKUP('OPX_BN+1'!$A99,Tableau106[],3,FALSE)</f>
        <v>A257</v>
      </c>
      <c r="C99" s="320" t="str">
        <f>VLOOKUP('OPX_BN+1'!$A99,Tableau106[],2,FALSE)</f>
        <v>FR01S02E</v>
      </c>
      <c r="D99" s="320" t="str">
        <f>VLOOKUP('OPX_BN+1'!$A99,Tableau106[],8,FALSE)</f>
        <v>SOLAIRE</v>
      </c>
      <c r="E99" s="321">
        <f>VLOOKUP('OPX_BN+1'!$A99,Tableau106[],4,FALSE)</f>
        <v>4.8</v>
      </c>
      <c r="F99" s="322" t="str">
        <f>VLOOKUP('OPX_BN+1'!$A99,Tableau106[],5,FALSE)</f>
        <v>LOYE</v>
      </c>
      <c r="G99" s="322" t="str">
        <f>VLOOKUP('OPX_BN+1'!$A99,Tableau106[],7,FALSE)</f>
        <v>GROUPE</v>
      </c>
      <c r="H99" s="322" t="str">
        <f>VLOOKUP('OPX_BN+1'!$A99,Tableau106[],6,FALSE)</f>
        <v>S</v>
      </c>
      <c r="I99" s="372" t="str">
        <f>VLOOKUP(Tableau17[[#This Row],[OPEX VARIABLES en €
BN 2024]],Tableau106[],9,FALSE)</f>
        <v>LoG</v>
      </c>
      <c r="J99" s="360">
        <f>-38863</f>
        <v>-38863</v>
      </c>
      <c r="K99" s="228">
        <v>-6240</v>
      </c>
      <c r="L99" s="228"/>
      <c r="M99" s="229">
        <v>0</v>
      </c>
      <c r="N99" s="229">
        <v>0</v>
      </c>
      <c r="O99" s="229">
        <v>0</v>
      </c>
      <c r="P99" s="229">
        <v>0</v>
      </c>
      <c r="Q99" s="229">
        <f>-250*'OPX_BN+1'!$E99</f>
        <v>-1200</v>
      </c>
      <c r="R99" s="274">
        <f>SUM('OPX_BN+1'!$K99:$Q99)</f>
        <v>-7440</v>
      </c>
      <c r="S99" s="337">
        <f>VLOOKUP(Tableau17[[#This Row],[CODE PI]],Tableau16[[CODE PI]:[(mesures compensatoires du PC ou autres)]],14,FALSE)*(1+$B$1)</f>
        <v>0</v>
      </c>
      <c r="T99" s="423">
        <v>0</v>
      </c>
      <c r="U99" s="341">
        <v>0</v>
      </c>
      <c r="V99" s="423">
        <v>-6000</v>
      </c>
      <c r="W99" s="423">
        <v>0</v>
      </c>
      <c r="X99" s="423">
        <v>0</v>
      </c>
      <c r="Y99" s="423">
        <v>0</v>
      </c>
      <c r="Z99" s="264">
        <f>-250*Tableau17[[#This Row],[MW]]</f>
        <v>-1200</v>
      </c>
      <c r="AA99" s="423"/>
      <c r="AB99" s="273">
        <f>SUM('OPX_BN+1'!$T99:$AA99)</f>
        <v>-7200</v>
      </c>
      <c r="AC99" s="426"/>
      <c r="AD99" s="426"/>
      <c r="AE99" s="417">
        <v>0</v>
      </c>
      <c r="AF99" s="417">
        <v>0</v>
      </c>
      <c r="AG99" s="417">
        <v>0</v>
      </c>
      <c r="AH99" s="417">
        <v>-4625</v>
      </c>
      <c r="AI99" s="417">
        <v>0</v>
      </c>
      <c r="AJ99" s="371">
        <f>SUM('OPX_BN+1'!$AC99:$AI99)</f>
        <v>-4625</v>
      </c>
      <c r="AK99" s="424"/>
      <c r="AL99" s="276">
        <f>SUM('OPX_BN+1'!$J99,'OPX_BN+1'!$AB99,'OPX_BN+1'!$S99,'OPX_BN+1'!$AJ99,'OPX_BN+1'!$R99,'OPX_BN+1'!$AK99)</f>
        <v>-58128</v>
      </c>
      <c r="AM99" s="427"/>
    </row>
    <row r="100" spans="1:39" ht="15">
      <c r="A100" s="325" t="s">
        <v>469</v>
      </c>
      <c r="B100" s="320" t="str">
        <f>VLOOKUP('OPX_BN+1'!$A100,Tableau106[],3,FALSE)</f>
        <v>A039</v>
      </c>
      <c r="C100" s="320" t="str">
        <f>VLOOKUP('OPX_BN+1'!$A100,Tableau106[],2,FALSE)</f>
        <v>FR11E99E</v>
      </c>
      <c r="D100" s="320" t="str">
        <f>VLOOKUP('OPX_BN+1'!$A100,Tableau106[],8,FALSE)</f>
        <v>EOLIEN</v>
      </c>
      <c r="E100" s="321">
        <f>VLOOKUP('OPX_BN+1'!$A100,Tableau106[],4,FALSE)</f>
        <v>12</v>
      </c>
      <c r="F100" s="322" t="str">
        <f>VLOOKUP('OPX_BN+1'!$A100,Tableau106[],5,FALSE)</f>
        <v>LUCO</v>
      </c>
      <c r="G100" s="322" t="str">
        <f>VLOOKUP('OPX_BN+1'!$A100,Tableau106[],7,FALSE)</f>
        <v>GROUPE</v>
      </c>
      <c r="H100" s="322" t="str">
        <f>VLOOKUP('OPX_BN+1'!$A100,Tableau106[],6,FALSE)</f>
        <v>S</v>
      </c>
      <c r="I100" s="372" t="str">
        <f>VLOOKUP(Tableau17[[#This Row],[OPEX VARIABLES en €
BN 2024]],Tableau106[],9,FALSE)</f>
        <v>SaH</v>
      </c>
      <c r="J100" s="360">
        <f>VLOOKUP(Tableau17[[#This Row],[CODE PI]],Tableau16[[CODE PI]:[(mesures compensatoires du PC ou autres)]],5,FALSE)*(1+$B$1)</f>
        <v>-502370.94999999995</v>
      </c>
      <c r="K100" s="228">
        <v>-18580.000000000004</v>
      </c>
      <c r="L100" s="228"/>
      <c r="M100" s="229">
        <v>0</v>
      </c>
      <c r="N100" s="229">
        <v>0</v>
      </c>
      <c r="O100" s="229">
        <v>0</v>
      </c>
      <c r="P100" s="229">
        <f>-4200-5000</f>
        <v>-9200</v>
      </c>
      <c r="Q100" s="229">
        <f>-250*'OPX_BN+1'!$E100</f>
        <v>-3000</v>
      </c>
      <c r="R100" s="274">
        <f>SUM('OPX_BN+1'!$K100:$Q100)</f>
        <v>-30780.000000000004</v>
      </c>
      <c r="S100" s="337">
        <f>VLOOKUP(Tableau17[[#This Row],[CODE PI]],Tableau16[[CODE PI]:[(mesures compensatoires du PC ou autres)]],14,FALSE)*(1+$B$1)</f>
        <v>0</v>
      </c>
      <c r="T100" s="423">
        <v>0</v>
      </c>
      <c r="U100" s="341">
        <v>0</v>
      </c>
      <c r="V100" s="423">
        <v>-5000</v>
      </c>
      <c r="W100" s="423">
        <v>0</v>
      </c>
      <c r="X100" s="423">
        <v>0</v>
      </c>
      <c r="Y100" s="423">
        <v>-11000</v>
      </c>
      <c r="Z100" s="264">
        <f>-250*Tableau17[[#This Row],[MW]]</f>
        <v>-3000</v>
      </c>
      <c r="AA100" s="423">
        <v>-1000</v>
      </c>
      <c r="AB100" s="273">
        <f>SUM('OPX_BN+1'!$T100:$AA100)</f>
        <v>-20000</v>
      </c>
      <c r="AC100" s="426"/>
      <c r="AD100" s="426"/>
      <c r="AE100" s="417">
        <v>0</v>
      </c>
      <c r="AF100" s="417">
        <v>0</v>
      </c>
      <c r="AG100" s="417">
        <v>0</v>
      </c>
      <c r="AH100" s="417">
        <v>0</v>
      </c>
      <c r="AI100" s="417">
        <v>0</v>
      </c>
      <c r="AJ100" s="371">
        <f>SUM('OPX_BN+1'!$AC100:$AI100)</f>
        <v>0</v>
      </c>
      <c r="AK100" s="424"/>
      <c r="AL100" s="276">
        <f>SUM('OPX_BN+1'!$J100,'OPX_BN+1'!$AB100,'OPX_BN+1'!$S100,'OPX_BN+1'!$AJ100,'OPX_BN+1'!$R100,'OPX_BN+1'!$AK100)</f>
        <v>-553150.94999999995</v>
      </c>
      <c r="AM100" s="427"/>
    </row>
    <row r="101" spans="1:39" ht="15">
      <c r="A101" s="244" t="s">
        <v>400</v>
      </c>
      <c r="B101" s="320" t="str">
        <f>VLOOKUP('OPX_BN+1'!$A101,Tableau106[],3,FALSE)</f>
        <v>A272</v>
      </c>
      <c r="C101" s="320" t="str">
        <f>VLOOKUP('OPX_BN+1'!$A101,Tableau106[],2,FALSE)</f>
        <v>FR21S02E</v>
      </c>
      <c r="D101" s="320" t="str">
        <f>VLOOKUP('OPX_BN+1'!$A101,Tableau106[],8,FALSE)</f>
        <v>SOLAIRE</v>
      </c>
      <c r="E101" s="321">
        <f>VLOOKUP('OPX_BN+1'!$A101,Tableau106[],4,FALSE)</f>
        <v>8.4</v>
      </c>
      <c r="F101" s="322" t="str">
        <f>VLOOKUP('OPX_BN+1'!$A101,Tableau106[],5,FALSE)</f>
        <v>LUX1</v>
      </c>
      <c r="G101" s="322" t="str">
        <f>VLOOKUP('OPX_BN+1'!$A101,Tableau106[],7,FALSE)</f>
        <v>GROUPE</v>
      </c>
      <c r="H101" s="322" t="str">
        <f>VLOOKUP('OPX_BN+1'!$A101,Tableau106[],6,FALSE)</f>
        <v>N</v>
      </c>
      <c r="I101" s="372" t="str">
        <f>VLOOKUP(Tableau17[[#This Row],[OPEX VARIABLES en €
BN 2024]],Tableau106[],9,FALSE)</f>
        <v>ZaA</v>
      </c>
      <c r="J101" s="360">
        <f>VLOOKUP(Tableau17[[#This Row],[CODE PI]],Tableau16[[CODE PI]:[(mesures compensatoires du PC ou autres)]],5,FALSE)*(1+$B$1)</f>
        <v>-51150.574999999997</v>
      </c>
      <c r="K101" s="228">
        <v>-10410</v>
      </c>
      <c r="L101" s="228"/>
      <c r="M101" s="229">
        <v>0</v>
      </c>
      <c r="N101" s="229">
        <v>0</v>
      </c>
      <c r="O101" s="229">
        <v>0</v>
      </c>
      <c r="P101" s="229">
        <v>0</v>
      </c>
      <c r="Q101" s="229">
        <f>-250*'OPX_BN+1'!$E101</f>
        <v>-2100</v>
      </c>
      <c r="R101" s="274">
        <f>SUM('OPX_BN+1'!$K101:$Q101)</f>
        <v>-12510</v>
      </c>
      <c r="S101" s="337">
        <f>VLOOKUP(Tableau17[[#This Row],[CODE PI]],Tableau16[[CODE PI]:[(mesures compensatoires du PC ou autres)]],14,FALSE)*(1+$B$1)</f>
        <v>0</v>
      </c>
      <c r="T101" s="423">
        <v>0</v>
      </c>
      <c r="U101" s="341">
        <v>0</v>
      </c>
      <c r="V101" s="423">
        <v>0</v>
      </c>
      <c r="W101" s="423">
        <v>0</v>
      </c>
      <c r="X101" s="423">
        <v>0</v>
      </c>
      <c r="Y101" s="423">
        <v>0</v>
      </c>
      <c r="Z101" s="264">
        <f>-250*Tableau17[[#This Row],[MW]]</f>
        <v>-2100</v>
      </c>
      <c r="AA101" s="423"/>
      <c r="AB101" s="273">
        <f>SUM('OPX_BN+1'!$T101:$AA101)</f>
        <v>-2100</v>
      </c>
      <c r="AC101" s="426"/>
      <c r="AD101" s="426"/>
      <c r="AE101" s="417">
        <v>0</v>
      </c>
      <c r="AF101" s="417">
        <v>0</v>
      </c>
      <c r="AG101" s="417">
        <v>0</v>
      </c>
      <c r="AH101" s="417">
        <v>0</v>
      </c>
      <c r="AI101" s="417">
        <v>0</v>
      </c>
      <c r="AJ101" s="371">
        <f>SUM('OPX_BN+1'!$AC101:$AI101)</f>
        <v>0</v>
      </c>
      <c r="AK101" s="424"/>
      <c r="AL101" s="276">
        <f>SUM('OPX_BN+1'!$J101,'OPX_BN+1'!$AB101,'OPX_BN+1'!$S101,'OPX_BN+1'!$AJ101,'OPX_BN+1'!$R101,'OPX_BN+1'!$AK101)</f>
        <v>-65760.574999999997</v>
      </c>
      <c r="AM101" s="427"/>
    </row>
    <row r="102" spans="1:39" ht="15">
      <c r="A102" s="325" t="s">
        <v>599</v>
      </c>
      <c r="B102" s="320" t="str">
        <f>VLOOKUP('OPX_BN+1'!$A102,Tableau106[],3,FALSE)</f>
        <v>A541</v>
      </c>
      <c r="C102" s="320" t="str">
        <f>VLOOKUP('OPX_BN+1'!$A102,Tableau106[],2,FALSE)</f>
        <v>FR85E02E</v>
      </c>
      <c r="D102" s="320" t="str">
        <f>VLOOKUP('OPX_BN+1'!$A102,Tableau106[],8,FALSE)</f>
        <v>EOLIEN</v>
      </c>
      <c r="E102" s="321">
        <f>VLOOKUP('OPX_BN+1'!$A102,Tableau106[],4,FALSE)</f>
        <v>8</v>
      </c>
      <c r="F102" s="322" t="str">
        <f>VLOOKUP('OPX_BN+1'!$A102,Tableau106[],5,FALSE)</f>
        <v>MACH</v>
      </c>
      <c r="G102" s="322" t="str">
        <f>VLOOKUP('OPX_BN+1'!$A102,Tableau106[],7,FALSE)</f>
        <v>EGM</v>
      </c>
      <c r="H102" s="322" t="str">
        <f>VLOOKUP('OPX_BN+1'!$A102,Tableau106[],6,FALSE)</f>
        <v>N</v>
      </c>
      <c r="I102" s="372" t="str">
        <f>VLOOKUP(Tableau17[[#This Row],[OPEX VARIABLES en €
BN 2024]],Tableau106[],9,FALSE)</f>
        <v>BoK</v>
      </c>
      <c r="J102" s="360">
        <f>VLOOKUP(Tableau17[[#This Row],[CODE PI]],Tableau16[[CODE PI]:[(mesures compensatoires du PC ou autres)]],5,FALSE)*(1+$B$1)</f>
        <v>-211661.47499999998</v>
      </c>
      <c r="K102" s="228">
        <v>-120000</v>
      </c>
      <c r="L102" s="228"/>
      <c r="M102" s="229">
        <v>0</v>
      </c>
      <c r="N102" s="229">
        <v>0</v>
      </c>
      <c r="O102" s="229">
        <v>0</v>
      </c>
      <c r="P102" s="229">
        <v>-2800</v>
      </c>
      <c r="Q102" s="229">
        <f>-250*'OPX_BN+1'!$E102</f>
        <v>-2000</v>
      </c>
      <c r="R102" s="274">
        <f>SUM('OPX_BN+1'!$K102:$Q102)</f>
        <v>-124800</v>
      </c>
      <c r="S102" s="337">
        <f>VLOOKUP(Tableau17[[#This Row],[CODE PI]],Tableau16[[CODE PI]:[(mesures compensatoires du PC ou autres)]],14,FALSE)*(1+$B$1)</f>
        <v>0</v>
      </c>
      <c r="T102" s="423">
        <v>0</v>
      </c>
      <c r="U102" s="341">
        <v>0</v>
      </c>
      <c r="V102" s="423">
        <v>-1000</v>
      </c>
      <c r="W102" s="423">
        <v>0</v>
      </c>
      <c r="X102" s="423">
        <v>0</v>
      </c>
      <c r="Y102" s="423">
        <v>0</v>
      </c>
      <c r="Z102" s="264">
        <f>-250*Tableau17[[#This Row],[MW]]</f>
        <v>-2000</v>
      </c>
      <c r="AA102" s="423"/>
      <c r="AB102" s="273">
        <f>SUM('OPX_BN+1'!$T102:$AA102)</f>
        <v>-3000</v>
      </c>
      <c r="AC102" s="426"/>
      <c r="AD102" s="426"/>
      <c r="AE102" s="417">
        <v>0</v>
      </c>
      <c r="AF102" s="417">
        <v>0</v>
      </c>
      <c r="AG102" s="417">
        <v>0</v>
      </c>
      <c r="AH102" s="417">
        <v>0</v>
      </c>
      <c r="AI102" s="417">
        <v>0</v>
      </c>
      <c r="AJ102" s="371">
        <f>SUM('OPX_BN+1'!$AC102:$AI102)</f>
        <v>0</v>
      </c>
      <c r="AK102" s="424"/>
      <c r="AL102" s="276">
        <f>SUM('OPX_BN+1'!$J102,'OPX_BN+1'!$AB102,'OPX_BN+1'!$S102,'OPX_BN+1'!$AJ102,'OPX_BN+1'!$R102,'OPX_BN+1'!$AK102)</f>
        <v>-339461.47499999998</v>
      </c>
      <c r="AM102" s="427"/>
    </row>
    <row r="103" spans="1:39" ht="15">
      <c r="A103" s="244" t="s">
        <v>214</v>
      </c>
      <c r="B103" s="320" t="str">
        <f>VLOOKUP('OPX_BN+1'!$A103,Tableau106[],3,FALSE)</f>
        <v>F240</v>
      </c>
      <c r="C103" s="320" t="str">
        <f>VLOOKUP('OPX_BN+1'!$A103,Tableau106[],2,FALSE)</f>
        <v>FR80E93E</v>
      </c>
      <c r="D103" s="320" t="str">
        <f>VLOOKUP('OPX_BN+1'!$A103,Tableau106[],8,FALSE)</f>
        <v>EOLIEN</v>
      </c>
      <c r="E103" s="321">
        <f>VLOOKUP('OPX_BN+1'!$A103,Tableau106[],4,FALSE)</f>
        <v>15</v>
      </c>
      <c r="F103" s="322" t="str">
        <f>VLOOKUP('OPX_BN+1'!$A103,Tableau106[],5,FALSE)</f>
        <v>MAG1, MAG3</v>
      </c>
      <c r="G103" s="322" t="str">
        <f>VLOOKUP('OPX_BN+1'!$A103,Tableau106[],7,FALSE)</f>
        <v>FUTUREN</v>
      </c>
      <c r="H103" s="322" t="str">
        <f>VLOOKUP('OPX_BN+1'!$A103,Tableau106[],6,FALSE)</f>
        <v>N</v>
      </c>
      <c r="I103" s="372" t="str">
        <f>VLOOKUP(Tableau17[[#This Row],[OPEX VARIABLES en €
BN 2024]],Tableau106[],9,FALSE)</f>
        <v>AlY</v>
      </c>
      <c r="J103" s="360">
        <f>VLOOKUP(Tableau17[[#This Row],[CODE PI]],Tableau16[[CODE PI]:[(mesures compensatoires du PC ou autres)]],5,FALSE)*(1+$B$1)</f>
        <v>-12333.824999999999</v>
      </c>
      <c r="K103" s="228">
        <v>-6640.0000000000009</v>
      </c>
      <c r="L103" s="228"/>
      <c r="M103" s="229">
        <v>0</v>
      </c>
      <c r="N103" s="229">
        <v>0</v>
      </c>
      <c r="O103" s="229">
        <v>0</v>
      </c>
      <c r="P103" s="229">
        <f>-440*Tableau17[[#This Row],[MW]]</f>
        <v>-6600</v>
      </c>
      <c r="Q103" s="229">
        <f>-250*'OPX_BN+1'!$E103</f>
        <v>-3750</v>
      </c>
      <c r="R103" s="274">
        <f>SUM('OPX_BN+1'!$K103:$Q103)</f>
        <v>-16990</v>
      </c>
      <c r="S103" s="337">
        <f>VLOOKUP(Tableau17[[#This Row],[CODE PI]],Tableau16[[CODE PI]:[(mesures compensatoires du PC ou autres)]],14,FALSE)*(1+$B$1)</f>
        <v>-223889.72499999998</v>
      </c>
      <c r="T103" s="423">
        <v>0</v>
      </c>
      <c r="U103" s="341">
        <v>0</v>
      </c>
      <c r="V103" s="423">
        <v>-2500</v>
      </c>
      <c r="W103" s="423">
        <v>0</v>
      </c>
      <c r="X103" s="423">
        <v>0</v>
      </c>
      <c r="Y103" s="423">
        <v>0</v>
      </c>
      <c r="Z103" s="264">
        <f>-250*Tableau17[[#This Row],[MW]]</f>
        <v>-3750</v>
      </c>
      <c r="AA103" s="423"/>
      <c r="AB103" s="273">
        <f>SUM('OPX_BN+1'!$T103:$AA103)</f>
        <v>-6250</v>
      </c>
      <c r="AC103" s="426"/>
      <c r="AD103" s="426">
        <f>-4924*1.025</f>
        <v>-5047.0999999999995</v>
      </c>
      <c r="AE103" s="417">
        <v>0</v>
      </c>
      <c r="AF103" s="417">
        <v>-10000</v>
      </c>
      <c r="AG103" s="417">
        <v>-20000</v>
      </c>
      <c r="AH103" s="417">
        <v>0</v>
      </c>
      <c r="AI103" s="417">
        <v>0</v>
      </c>
      <c r="AJ103" s="371">
        <f>SUM('OPX_BN+1'!$AC103:$AI103)</f>
        <v>-35047.1</v>
      </c>
      <c r="AK103" s="424"/>
      <c r="AL103" s="276">
        <f>SUM('OPX_BN+1'!$J103,'OPX_BN+1'!$AB103,'OPX_BN+1'!$S103,'OPX_BN+1'!$AJ103,'OPX_BN+1'!$R103,'OPX_BN+1'!$AK103)</f>
        <v>-294510.64999999997</v>
      </c>
      <c r="AM103" s="427"/>
    </row>
    <row r="104" spans="1:39" ht="15">
      <c r="A104" s="325" t="s">
        <v>536</v>
      </c>
      <c r="B104" s="320" t="str">
        <f>VLOOKUP('OPX_BN+1'!$A104,Tableau106[],3,FALSE)</f>
        <v>A134</v>
      </c>
      <c r="C104" s="320" t="str">
        <f>VLOOKUP('OPX_BN+1'!$A104,Tableau106[],2,FALSE)</f>
        <v>FR04S99E</v>
      </c>
      <c r="D104" s="320" t="str">
        <f>VLOOKUP('OPX_BN+1'!$A104,Tableau106[],8,FALSE)</f>
        <v>SOLAIRE</v>
      </c>
      <c r="E104" s="321">
        <f>VLOOKUP('OPX_BN+1'!$A104,Tableau106[],4,FALSE)</f>
        <v>4.0999999999999996</v>
      </c>
      <c r="F104" s="322" t="str">
        <f>VLOOKUP('OPX_BN+1'!$A104,Tableau106[],5,FALSE)</f>
        <v>MANO</v>
      </c>
      <c r="G104" s="322" t="str">
        <f>VLOOKUP('OPX_BN+1'!$A104,Tableau106[],7,FALSE)</f>
        <v>GROUPE</v>
      </c>
      <c r="H104" s="322" t="str">
        <f>VLOOKUP('OPX_BN+1'!$A104,Tableau106[],6,FALSE)</f>
        <v>S</v>
      </c>
      <c r="I104" s="372" t="str">
        <f>VLOOKUP(Tableau17[[#This Row],[OPEX VARIABLES en €
BN 2024]],Tableau106[],9,FALSE)</f>
        <v>ArB</v>
      </c>
      <c r="J104" s="360">
        <f>VLOOKUP(Tableau17[[#This Row],[CODE PI]],Tableau16[[CODE PI]:[(mesures compensatoires du PC ou autres)]],5,FALSE)*(1+$B$1)</f>
        <v>-153739.75</v>
      </c>
      <c r="K104" s="228">
        <v>-2390</v>
      </c>
      <c r="L104" s="228"/>
      <c r="M104" s="229">
        <v>0</v>
      </c>
      <c r="N104" s="229">
        <v>0</v>
      </c>
      <c r="O104" s="229">
        <v>0</v>
      </c>
      <c r="P104" s="229">
        <v>0</v>
      </c>
      <c r="Q104" s="229">
        <f>-250*'OPX_BN+1'!$E104</f>
        <v>-1025</v>
      </c>
      <c r="R104" s="274">
        <f>SUM('OPX_BN+1'!$K104:$Q104)</f>
        <v>-3415</v>
      </c>
      <c r="S104" s="337">
        <f>VLOOKUP(Tableau17[[#This Row],[CODE PI]],Tableau16[[CODE PI]:[(mesures compensatoires du PC ou autres)]],14,FALSE)*(1+$B$1)</f>
        <v>0</v>
      </c>
      <c r="T104" s="423">
        <v>0</v>
      </c>
      <c r="U104" s="341">
        <v>0</v>
      </c>
      <c r="V104" s="423">
        <v>0</v>
      </c>
      <c r="W104" s="423">
        <v>0</v>
      </c>
      <c r="X104" s="423">
        <v>0</v>
      </c>
      <c r="Y104" s="423">
        <v>0</v>
      </c>
      <c r="Z104" s="264">
        <f>-250*Tableau17[[#This Row],[MW]]</f>
        <v>-1025</v>
      </c>
      <c r="AA104" s="423">
        <v>-4000</v>
      </c>
      <c r="AB104" s="273">
        <f>SUM('OPX_BN+1'!$T104:$AA104)</f>
        <v>-5025</v>
      </c>
      <c r="AC104" s="426"/>
      <c r="AD104" s="426"/>
      <c r="AE104" s="417">
        <v>0</v>
      </c>
      <c r="AF104" s="417">
        <v>0</v>
      </c>
      <c r="AG104" s="417">
        <v>0</v>
      </c>
      <c r="AH104" s="417">
        <v>0</v>
      </c>
      <c r="AI104" s="417">
        <v>0</v>
      </c>
      <c r="AJ104" s="371">
        <f>SUM('OPX_BN+1'!$AC104:$AI104)</f>
        <v>0</v>
      </c>
      <c r="AK104" s="424"/>
      <c r="AL104" s="276">
        <f>SUM('OPX_BN+1'!$J104,'OPX_BN+1'!$AB104,'OPX_BN+1'!$S104,'OPX_BN+1'!$AJ104,'OPX_BN+1'!$R104,'OPX_BN+1'!$AK104)</f>
        <v>-162179.75</v>
      </c>
      <c r="AM104" s="427"/>
    </row>
    <row r="105" spans="1:39" ht="15">
      <c r="A105" s="325" t="s">
        <v>537</v>
      </c>
      <c r="B105" s="320" t="str">
        <f>VLOOKUP('OPX_BN+1'!$A105,Tableau106[],3,FALSE)</f>
        <v>A389</v>
      </c>
      <c r="C105" s="320" t="str">
        <f>VLOOKUP('OPX_BN+1'!$A105,Tableau106[],2,FALSE)</f>
        <v>FR89S02E</v>
      </c>
      <c r="D105" s="320" t="str">
        <f>VLOOKUP('OPX_BN+1'!$A105,Tableau106[],8,FALSE)</f>
        <v>SOLAIRE</v>
      </c>
      <c r="E105" s="321">
        <f>VLOOKUP('OPX_BN+1'!$A105,Tableau106[],4,FALSE)</f>
        <v>20</v>
      </c>
      <c r="F105" s="322" t="str">
        <f>VLOOKUP('OPX_BN+1'!$A105,Tableau106[],5,FALSE)</f>
        <v>MA22</v>
      </c>
      <c r="G105" s="322" t="str">
        <f>VLOOKUP('OPX_BN+1'!$A105,Tableau106[],7,FALSE)</f>
        <v>GROUPE</v>
      </c>
      <c r="H105" s="322" t="str">
        <f>VLOOKUP('OPX_BN+1'!$A105,Tableau106[],6,FALSE)</f>
        <v>S</v>
      </c>
      <c r="I105" s="372" t="str">
        <f>VLOOKUP(Tableau17[[#This Row],[OPEX VARIABLES en €
BN 2024]],Tableau106[],9,FALSE)</f>
        <v>LoG</v>
      </c>
      <c r="J105" s="360">
        <f>VLOOKUP(Tableau17[[#This Row],[CODE PI]],Tableau16[[CODE PI]:[(mesures compensatoires du PC ou autres)]],5,FALSE)*(1+$B$1)</f>
        <v>-406286.42499999999</v>
      </c>
      <c r="K105" s="228">
        <v>-58440</v>
      </c>
      <c r="L105" s="228"/>
      <c r="M105" s="229">
        <v>-15000</v>
      </c>
      <c r="N105" s="229">
        <v>0</v>
      </c>
      <c r="O105" s="229">
        <v>0</v>
      </c>
      <c r="P105" s="229">
        <v>0</v>
      </c>
      <c r="Q105" s="229">
        <f>-250*'OPX_BN+1'!$E105</f>
        <v>-5000</v>
      </c>
      <c r="R105" s="274">
        <f>SUM('OPX_BN+1'!$K105:$Q105)</f>
        <v>-78440</v>
      </c>
      <c r="S105" s="337">
        <f>VLOOKUP(Tableau17[[#This Row],[CODE PI]],Tableau16[[CODE PI]:[(mesures compensatoires du PC ou autres)]],14,FALSE)*(1+$B$1)</f>
        <v>0</v>
      </c>
      <c r="T105" s="423">
        <v>0</v>
      </c>
      <c r="U105" s="341">
        <v>0</v>
      </c>
      <c r="V105" s="423">
        <v>-30000</v>
      </c>
      <c r="W105" s="423">
        <v>0</v>
      </c>
      <c r="X105" s="423">
        <v>0</v>
      </c>
      <c r="Y105" s="423">
        <v>0</v>
      </c>
      <c r="Z105" s="264">
        <f>-250*Tableau17[[#This Row],[MW]]</f>
        <v>-5000</v>
      </c>
      <c r="AA105" s="423"/>
      <c r="AB105" s="273">
        <f>SUM('OPX_BN+1'!$T105:$AA105)</f>
        <v>-35000</v>
      </c>
      <c r="AC105" s="426"/>
      <c r="AD105" s="426"/>
      <c r="AE105" s="417">
        <v>0</v>
      </c>
      <c r="AF105" s="417">
        <v>0</v>
      </c>
      <c r="AG105" s="417">
        <v>0</v>
      </c>
      <c r="AH105" s="417">
        <v>0</v>
      </c>
      <c r="AI105" s="417">
        <v>0</v>
      </c>
      <c r="AJ105" s="371">
        <f>SUM('OPX_BN+1'!$AC105:$AI105)</f>
        <v>0</v>
      </c>
      <c r="AK105" s="424"/>
      <c r="AL105" s="276">
        <f>SUM('OPX_BN+1'!$J105,'OPX_BN+1'!$AB105,'OPX_BN+1'!$S105,'OPX_BN+1'!$AJ105,'OPX_BN+1'!$R105,'OPX_BN+1'!$AK105)</f>
        <v>-519726.42499999999</v>
      </c>
      <c r="AM105" s="427"/>
    </row>
    <row r="106" spans="1:39" ht="15">
      <c r="A106" s="244" t="s">
        <v>475</v>
      </c>
      <c r="B106" s="320" t="str">
        <f>VLOOKUP('OPX_BN+1'!$A106,Tableau106[],3,FALSE)</f>
        <v>A540</v>
      </c>
      <c r="C106" s="320" t="str">
        <f>VLOOKUP('OPX_BN+1'!$A106,Tableau106[],2,FALSE)</f>
        <v>FR56E04E</v>
      </c>
      <c r="D106" s="320" t="str">
        <f>VLOOKUP('OPX_BN+1'!$A106,Tableau106[],8,FALSE)</f>
        <v>EOLIEN</v>
      </c>
      <c r="E106" s="321">
        <f>VLOOKUP('OPX_BN+1'!$A106,Tableau106[],4,FALSE)</f>
        <v>10</v>
      </c>
      <c r="F106" s="322" t="str">
        <f>VLOOKUP('OPX_BN+1'!$A106,Tableau106[],5,FALSE)</f>
        <v>MAUR</v>
      </c>
      <c r="G106" s="322" t="str">
        <f>VLOOKUP('OPX_BN+1'!$A106,Tableau106[],7,FALSE)</f>
        <v>EGM</v>
      </c>
      <c r="H106" s="322" t="str">
        <f>VLOOKUP('OPX_BN+1'!$A106,Tableau106[],6,FALSE)</f>
        <v>N</v>
      </c>
      <c r="I106" s="372" t="str">
        <f>VLOOKUP(Tableau17[[#This Row],[OPEX VARIABLES en €
BN 2024]],Tableau106[],9,FALSE)</f>
        <v>DeN</v>
      </c>
      <c r="J106" s="360">
        <f>VLOOKUP(Tableau17[[#This Row],[CODE PI]],Tableau16[[CODE PI]:[(mesures compensatoires du PC ou autres)]],5,FALSE)*(1+$B$1)</f>
        <v>-264576.07499999995</v>
      </c>
      <c r="K106" s="228">
        <v>-150000</v>
      </c>
      <c r="L106" s="228"/>
      <c r="M106" s="229">
        <v>0</v>
      </c>
      <c r="N106" s="229">
        <v>0</v>
      </c>
      <c r="O106" s="229">
        <v>0</v>
      </c>
      <c r="P106" s="229">
        <v>-3500</v>
      </c>
      <c r="Q106" s="229">
        <f>-250*'OPX_BN+1'!$E106</f>
        <v>-2500</v>
      </c>
      <c r="R106" s="274">
        <f>SUM('OPX_BN+1'!$K106:$Q106)</f>
        <v>-156000</v>
      </c>
      <c r="S106" s="337">
        <f>VLOOKUP(Tableau17[[#This Row],[CODE PI]],Tableau16[[CODE PI]:[(mesures compensatoires du PC ou autres)]],14,FALSE)*(1+$B$1)</f>
        <v>0</v>
      </c>
      <c r="T106" s="423">
        <v>0</v>
      </c>
      <c r="U106" s="341">
        <v>0</v>
      </c>
      <c r="V106" s="423">
        <v>-2000</v>
      </c>
      <c r="W106" s="423">
        <v>0</v>
      </c>
      <c r="X106" s="423">
        <v>0</v>
      </c>
      <c r="Y106" s="423">
        <v>0</v>
      </c>
      <c r="Z106" s="264">
        <f>-250*Tableau17[[#This Row],[MW]]</f>
        <v>-2500</v>
      </c>
      <c r="AA106" s="423"/>
      <c r="AB106" s="273">
        <f>SUM('OPX_BN+1'!$T106:$AA106)</f>
        <v>-4500</v>
      </c>
      <c r="AC106" s="426"/>
      <c r="AD106" s="426"/>
      <c r="AE106" s="417">
        <v>0</v>
      </c>
      <c r="AF106" s="417">
        <v>-10000</v>
      </c>
      <c r="AG106" s="417">
        <v>-35000</v>
      </c>
      <c r="AH106" s="417">
        <v>0</v>
      </c>
      <c r="AI106" s="417">
        <v>0</v>
      </c>
      <c r="AJ106" s="371">
        <f>SUM('OPX_BN+1'!$AC106:$AI106)</f>
        <v>-45000</v>
      </c>
      <c r="AK106" s="424"/>
      <c r="AL106" s="276">
        <f>SUM('OPX_BN+1'!$J106,'OPX_BN+1'!$AB106,'OPX_BN+1'!$S106,'OPX_BN+1'!$AJ106,'OPX_BN+1'!$R106,'OPX_BN+1'!$AK106)</f>
        <v>-470076.07499999995</v>
      </c>
      <c r="AM106" s="427"/>
    </row>
    <row r="107" spans="1:39" ht="15">
      <c r="A107" s="325" t="s">
        <v>539</v>
      </c>
      <c r="B107" s="320" t="str">
        <f>VLOOKUP('OPX_BN+1'!$A107,Tableau106[],3,FALSE)</f>
        <v>A295</v>
      </c>
      <c r="C107" s="320" t="str">
        <f>VLOOKUP('OPX_BN+1'!$A107,Tableau106[],2,FALSE)</f>
        <v>FR43S04E</v>
      </c>
      <c r="D107" s="320" t="str">
        <f>VLOOKUP('OPX_BN+1'!$A107,Tableau106[],8,FALSE)</f>
        <v>SOLAIRE</v>
      </c>
      <c r="E107" s="321">
        <f>VLOOKUP('OPX_BN+1'!$A107,Tableau106[],4,FALSE)</f>
        <v>2.8</v>
      </c>
      <c r="F107" s="322" t="str">
        <f>VLOOKUP('OPX_BN+1'!$A107,Tableau106[],5,FALSE)</f>
        <v>MSTV</v>
      </c>
      <c r="G107" s="322" t="str">
        <f>VLOOKUP('OPX_BN+1'!$A107,Tableau106[],7,FALSE)</f>
        <v>GROUPE</v>
      </c>
      <c r="H107" s="322" t="str">
        <f>VLOOKUP('OPX_BN+1'!$A107,Tableau106[],6,FALSE)</f>
        <v>S</v>
      </c>
      <c r="I107" s="372" t="str">
        <f>VLOOKUP(Tableau17[[#This Row],[OPEX VARIABLES en €
BN 2024]],Tableau106[],9,FALSE)</f>
        <v>ArB</v>
      </c>
      <c r="J107" s="360">
        <f>VLOOKUP(Tableau17[[#This Row],[CODE PI]],Tableau16[[CODE PI]:[(mesures compensatoires du PC ou autres)]],5,FALSE)*(1+$B$1)</f>
        <v>-24599.999999999996</v>
      </c>
      <c r="K107" s="228">
        <v>0</v>
      </c>
      <c r="L107" s="228"/>
      <c r="M107" s="229">
        <v>0</v>
      </c>
      <c r="N107" s="229">
        <v>0</v>
      </c>
      <c r="O107" s="229">
        <v>0</v>
      </c>
      <c r="P107" s="229">
        <v>0</v>
      </c>
      <c r="Q107" s="229">
        <f>-250*'OPX_BN+1'!$E107</f>
        <v>-700</v>
      </c>
      <c r="R107" s="274">
        <f>SUM('OPX_BN+1'!$K107:$Q107)</f>
        <v>-700</v>
      </c>
      <c r="S107" s="337">
        <f>VLOOKUP(Tableau17[[#This Row],[CODE PI]],Tableau16[[CODE PI]:[(mesures compensatoires du PC ou autres)]],14,FALSE)*(1+$B$1)</f>
        <v>-22959.999999999996</v>
      </c>
      <c r="T107" s="423">
        <v>-1500</v>
      </c>
      <c r="U107" s="341">
        <v>0</v>
      </c>
      <c r="V107" s="423">
        <v>0</v>
      </c>
      <c r="W107" s="423">
        <v>0</v>
      </c>
      <c r="X107" s="423">
        <v>0</v>
      </c>
      <c r="Y107" s="423">
        <v>0</v>
      </c>
      <c r="Z107" s="264">
        <f>-250*Tableau17[[#This Row],[MW]]</f>
        <v>-700</v>
      </c>
      <c r="AA107" s="423">
        <v>-1000</v>
      </c>
      <c r="AB107" s="273">
        <f>SUM('OPX_BN+1'!$T107:$AA107)</f>
        <v>-3200</v>
      </c>
      <c r="AC107" s="426"/>
      <c r="AD107" s="426"/>
      <c r="AE107" s="417">
        <v>0</v>
      </c>
      <c r="AF107" s="417">
        <v>0</v>
      </c>
      <c r="AG107" s="417">
        <v>0</v>
      </c>
      <c r="AH107" s="417">
        <v>-5000</v>
      </c>
      <c r="AI107" s="417">
        <v>0</v>
      </c>
      <c r="AJ107" s="371">
        <f>SUM('OPX_BN+1'!$AC107:$AI107)</f>
        <v>-5000</v>
      </c>
      <c r="AK107" s="424"/>
      <c r="AL107" s="276">
        <f>SUM('OPX_BN+1'!$J107,'OPX_BN+1'!$AB107,'OPX_BN+1'!$S107,'OPX_BN+1'!$AJ107,'OPX_BN+1'!$R107,'OPX_BN+1'!$AK107)</f>
        <v>-56459.999999999993</v>
      </c>
      <c r="AM107" s="427"/>
    </row>
    <row r="108" spans="1:39" ht="15">
      <c r="A108" s="244" t="s">
        <v>228</v>
      </c>
      <c r="B108" s="320" t="str">
        <f>VLOOKUP('OPX_BN+1'!$A108,Tableau106[],3,FALSE)</f>
        <v>F159</v>
      </c>
      <c r="C108" s="320" t="str">
        <f>VLOOKUP('OPX_BN+1'!$A108,Tableau106[],2,FALSE)</f>
        <v>FR02E13E</v>
      </c>
      <c r="D108" s="320" t="str">
        <f>VLOOKUP('OPX_BN+1'!$A108,Tableau106[],8,FALSE)</f>
        <v>EOLIEN</v>
      </c>
      <c r="E108" s="321">
        <f>VLOOKUP('OPX_BN+1'!$A108,Tableau106[],4,FALSE)</f>
        <v>12.8</v>
      </c>
      <c r="F108" s="322" t="str">
        <f>VLOOKUP('OPX_BN+1'!$A108,Tableau106[],5,FALSE)</f>
        <v>MAZU</v>
      </c>
      <c r="G108" s="322" t="str">
        <f>VLOOKUP('OPX_BN+1'!$A108,Tableau106[],7,FALSE)</f>
        <v>FUTUREN</v>
      </c>
      <c r="H108" s="322" t="str">
        <f>VLOOKUP('OPX_BN+1'!$A108,Tableau106[],6,FALSE)</f>
        <v>N</v>
      </c>
      <c r="I108" s="372" t="str">
        <f>VLOOKUP(Tableau17[[#This Row],[OPEX VARIABLES en €
BN 2024]],Tableau106[],9,FALSE)</f>
        <v>NiD</v>
      </c>
      <c r="J108" s="360">
        <f>VLOOKUP(Tableau17[[#This Row],[CODE PI]],Tableau16[[CODE PI]:[(mesures compensatoires du PC ou autres)]],5,FALSE)*(1+$B$1)</f>
        <v>-10082.924999999999</v>
      </c>
      <c r="K108" s="228">
        <v>-7190</v>
      </c>
      <c r="L108" s="228"/>
      <c r="M108" s="229">
        <v>0</v>
      </c>
      <c r="N108" s="229">
        <v>0</v>
      </c>
      <c r="O108" s="229">
        <v>0</v>
      </c>
      <c r="P108" s="229">
        <f>-440*Tableau17[[#This Row],[MW]]</f>
        <v>-5632</v>
      </c>
      <c r="Q108" s="229">
        <f>-250*'OPX_BN+1'!$E108</f>
        <v>-3200</v>
      </c>
      <c r="R108" s="274">
        <f>SUM('OPX_BN+1'!$K108:$Q108)</f>
        <v>-16022</v>
      </c>
      <c r="S108" s="337">
        <f>VLOOKUP(Tableau17[[#This Row],[CODE PI]],Tableau16[[CODE PI]:[(mesures compensatoires du PC ou autres)]],14,FALSE)*(1+$B$1)</f>
        <v>-228372.05</v>
      </c>
      <c r="T108" s="423">
        <v>0</v>
      </c>
      <c r="U108" s="341">
        <v>0</v>
      </c>
      <c r="V108" s="423">
        <v>-1500</v>
      </c>
      <c r="W108" s="423">
        <v>-2000</v>
      </c>
      <c r="X108" s="423">
        <v>0</v>
      </c>
      <c r="Y108" s="423">
        <v>0</v>
      </c>
      <c r="Z108" s="264">
        <f>-250*Tableau17[[#This Row],[MW]]</f>
        <v>-3200</v>
      </c>
      <c r="AA108" s="423"/>
      <c r="AB108" s="273">
        <f>SUM('OPX_BN+1'!$T108:$AA108)</f>
        <v>-6700</v>
      </c>
      <c r="AC108" s="426"/>
      <c r="AD108" s="426"/>
      <c r="AE108" s="417">
        <v>-10000</v>
      </c>
      <c r="AF108" s="417">
        <v>0</v>
      </c>
      <c r="AG108" s="417">
        <v>0</v>
      </c>
      <c r="AH108" s="417">
        <v>0</v>
      </c>
      <c r="AI108" s="417">
        <v>-5000</v>
      </c>
      <c r="AJ108" s="371">
        <f>SUM('OPX_BN+1'!$AC108:$AI108)</f>
        <v>-15000</v>
      </c>
      <c r="AK108" s="424"/>
      <c r="AL108" s="276">
        <f>SUM('OPX_BN+1'!$J108,'OPX_BN+1'!$AB108,'OPX_BN+1'!$S108,'OPX_BN+1'!$AJ108,'OPX_BN+1'!$R108,'OPX_BN+1'!$AK108)</f>
        <v>-276176.97499999998</v>
      </c>
      <c r="AM108" s="427"/>
    </row>
    <row r="109" spans="1:39" ht="15">
      <c r="A109" s="325" t="s">
        <v>531</v>
      </c>
      <c r="B109" s="320" t="str">
        <f>VLOOKUP('OPX_BN+1'!$A109,Tableau106[],3,FALSE)</f>
        <v>A432</v>
      </c>
      <c r="C109" s="320" t="str">
        <f>VLOOKUP('OPX_BN+1'!$A109,Tableau106[],2,FALSE)</f>
        <v>FR07E97E</v>
      </c>
      <c r="D109" s="320" t="str">
        <f>VLOOKUP('OPX_BN+1'!$A109,Tableau106[],8,FALSE)</f>
        <v>EOLIEN</v>
      </c>
      <c r="E109" s="321">
        <f>VLOOKUP('OPX_BN+1'!$A109,Tableau106[],4,FALSE)</f>
        <v>56.4</v>
      </c>
      <c r="F109" s="322" t="str">
        <f>VLOOKUP('OPX_BN+1'!$A109,Tableau106[],5,FALSE)</f>
        <v>MTAR</v>
      </c>
      <c r="G109" s="322" t="str">
        <f>VLOOKUP('OPX_BN+1'!$A109,Tableau106[],7,FALSE)</f>
        <v>GROUPE</v>
      </c>
      <c r="H109" s="322" t="str">
        <f>VLOOKUP('OPX_BN+1'!$A109,Tableau106[],6,FALSE)</f>
        <v>S</v>
      </c>
      <c r="I109" s="372" t="str">
        <f>VLOOKUP(Tableau17[[#This Row],[OPEX VARIABLES en €
BN 2024]],Tableau106[],9,FALSE)</f>
        <v>StE</v>
      </c>
      <c r="J109" s="360">
        <f>VLOOKUP(Tableau17[[#This Row],[CODE PI]],Tableau16[[CODE PI]:[(mesures compensatoires du PC ou autres)]],5,FALSE)*(1+$B$1)</f>
        <v>-99684.324999999997</v>
      </c>
      <c r="K109" s="228">
        <v>-2730</v>
      </c>
      <c r="L109" s="228"/>
      <c r="M109" s="229">
        <v>0</v>
      </c>
      <c r="N109" s="229">
        <v>0</v>
      </c>
      <c r="O109" s="229">
        <v>-5000</v>
      </c>
      <c r="P109" s="229">
        <v>-24816</v>
      </c>
      <c r="Q109" s="229">
        <f>-250*'OPX_BN+1'!$E109</f>
        <v>-14100</v>
      </c>
      <c r="R109" s="274">
        <f>SUM('OPX_BN+1'!$K109:$Q109)</f>
        <v>-46646</v>
      </c>
      <c r="S109" s="337">
        <f>VLOOKUP(Tableau17[[#This Row],[CODE PI]],Tableau16[[CODE PI]:[(mesures compensatoires du PC ou autres)]],14,FALSE)*(1+$B$1)</f>
        <v>-817378.04999999993</v>
      </c>
      <c r="T109" s="423">
        <v>0</v>
      </c>
      <c r="U109" s="341">
        <v>0</v>
      </c>
      <c r="V109" s="423">
        <v>-15000</v>
      </c>
      <c r="W109" s="423">
        <v>-24000</v>
      </c>
      <c r="X109" s="423">
        <v>-4000</v>
      </c>
      <c r="Y109" s="423">
        <v>0</v>
      </c>
      <c r="Z109" s="264">
        <f>-250*Tableau17[[#This Row],[MW]]</f>
        <v>-14100</v>
      </c>
      <c r="AA109" s="423">
        <v>-80000</v>
      </c>
      <c r="AB109" s="273">
        <f>SUM('OPX_BN+1'!$T109:$AA109)</f>
        <v>-137100</v>
      </c>
      <c r="AC109" s="426"/>
      <c r="AD109" s="426">
        <f>-4924*1.025</f>
        <v>-5047.0999999999995</v>
      </c>
      <c r="AE109" s="417">
        <v>0</v>
      </c>
      <c r="AF109" s="417">
        <v>0</v>
      </c>
      <c r="AG109" s="417">
        <v>0</v>
      </c>
      <c r="AH109" s="417">
        <v>0</v>
      </c>
      <c r="AI109" s="417">
        <v>-5000</v>
      </c>
      <c r="AJ109" s="371">
        <f>SUM('OPX_BN+1'!$AC109:$AI109)</f>
        <v>-10047.099999999999</v>
      </c>
      <c r="AK109" s="424"/>
      <c r="AL109" s="276">
        <f>SUM('OPX_BN+1'!$J109,'OPX_BN+1'!$AB109,'OPX_BN+1'!$S109,'OPX_BN+1'!$AJ109,'OPX_BN+1'!$R109,'OPX_BN+1'!$AK109)</f>
        <v>-1110855.4750000001</v>
      </c>
      <c r="AM109" s="427"/>
    </row>
    <row r="110" spans="1:39" ht="15">
      <c r="A110" s="244" t="s">
        <v>543</v>
      </c>
      <c r="B110" s="320" t="str">
        <f>VLOOKUP('OPX_BN+1'!$A110,Tableau106[],3,FALSE)</f>
        <v>A902</v>
      </c>
      <c r="C110" s="320" t="str">
        <f>VLOOKUP('OPX_BN+1'!$A110,Tableau106[],2,FALSE)</f>
        <v>FR17S01E</v>
      </c>
      <c r="D110" s="320" t="str">
        <f>VLOOKUP('OPX_BN+1'!$A110,Tableau106[],8,FALSE)</f>
        <v>SOLAIRE</v>
      </c>
      <c r="E110" s="321">
        <f>VLOOKUP('OPX_BN+1'!$A110,Tableau106[],4,FALSE)</f>
        <v>5.5</v>
      </c>
      <c r="F110" s="322" t="str">
        <f>VLOOKUP('OPX_BN+1'!$A110,Tableau106[],5,FALSE)</f>
        <v>MDR1</v>
      </c>
      <c r="G110" s="322" t="str">
        <f>VLOOKUP('OPX_BN+1'!$A110,Tableau106[],7,FALSE)</f>
        <v>GROUPE</v>
      </c>
      <c r="H110" s="322" t="str">
        <f>VLOOKUP('OPX_BN+1'!$A110,Tableau106[],6,FALSE)</f>
        <v>N</v>
      </c>
      <c r="I110" s="372" t="str">
        <f>VLOOKUP(Tableau17[[#This Row],[OPEX VARIABLES en €
BN 2024]],Tableau106[],9,FALSE)</f>
        <v>BaA</v>
      </c>
      <c r="J110" s="360">
        <f>VLOOKUP(Tableau17[[#This Row],[CODE PI]],Tableau16[[CODE PI]:[(mesures compensatoires du PC ou autres)]],5,FALSE)*(1+$B$1)</f>
        <v>-183360.19999999998</v>
      </c>
      <c r="K110" s="228">
        <v>-9130</v>
      </c>
      <c r="L110" s="228"/>
      <c r="M110" s="229">
        <v>0</v>
      </c>
      <c r="N110" s="229">
        <v>0</v>
      </c>
      <c r="O110" s="229">
        <v>0</v>
      </c>
      <c r="P110" s="229">
        <v>0</v>
      </c>
      <c r="Q110" s="229">
        <f>-250*'OPX_BN+1'!$E110</f>
        <v>-1375</v>
      </c>
      <c r="R110" s="274">
        <f>SUM('OPX_BN+1'!$K110:$Q110)</f>
        <v>-10505</v>
      </c>
      <c r="S110" s="337">
        <f>VLOOKUP(Tableau17[[#This Row],[CODE PI]],Tableau16[[CODE PI]:[(mesures compensatoires du PC ou autres)]],14,FALSE)*(1+$B$1)</f>
        <v>0</v>
      </c>
      <c r="T110" s="423">
        <v>0</v>
      </c>
      <c r="U110" s="341">
        <v>0</v>
      </c>
      <c r="V110" s="423">
        <v>0</v>
      </c>
      <c r="W110" s="423">
        <v>0</v>
      </c>
      <c r="X110" s="423">
        <v>0</v>
      </c>
      <c r="Y110" s="423">
        <v>0</v>
      </c>
      <c r="Z110" s="264">
        <f>-250*Tableau17[[#This Row],[MW]]</f>
        <v>-1375</v>
      </c>
      <c r="AA110" s="423"/>
      <c r="AB110" s="273">
        <f>SUM('OPX_BN+1'!$T110:$AA110)</f>
        <v>-1375</v>
      </c>
      <c r="AC110" s="426"/>
      <c r="AD110" s="426"/>
      <c r="AE110" s="417">
        <v>0</v>
      </c>
      <c r="AF110" s="417">
        <v>0</v>
      </c>
      <c r="AG110" s="417">
        <v>0</v>
      </c>
      <c r="AH110" s="417">
        <v>-9000</v>
      </c>
      <c r="AI110" s="417">
        <v>0</v>
      </c>
      <c r="AJ110" s="371">
        <f>SUM('OPX_BN+1'!$AC110:$AI110)</f>
        <v>-9000</v>
      </c>
      <c r="AK110" s="424"/>
      <c r="AL110" s="276">
        <f>SUM('OPX_BN+1'!$J110,'OPX_BN+1'!$AB110,'OPX_BN+1'!$S110,'OPX_BN+1'!$AJ110,'OPX_BN+1'!$R110,'OPX_BN+1'!$AK110)</f>
        <v>-204240.19999999998</v>
      </c>
      <c r="AM110" s="427"/>
    </row>
    <row r="111" spans="1:39" ht="15">
      <c r="A111" s="325" t="s">
        <v>513</v>
      </c>
      <c r="B111" s="320" t="str">
        <f>VLOOKUP('OPX_BN+1'!$A111,Tableau106[],3,FALSE)</f>
        <v>A540</v>
      </c>
      <c r="C111" s="320" t="str">
        <f>VLOOKUP('OPX_BN+1'!$A111,Tableau106[],2,FALSE)</f>
        <v>FR15E03E</v>
      </c>
      <c r="D111" s="320" t="str">
        <f>VLOOKUP('OPX_BN+1'!$A111,Tableau106[],8,FALSE)</f>
        <v>EOLIEN</v>
      </c>
      <c r="E111" s="321">
        <f>VLOOKUP('OPX_BN+1'!$A111,Tableau106[],4,FALSE)</f>
        <v>12</v>
      </c>
      <c r="F111" s="322" t="str">
        <f>VLOOKUP('OPX_BN+1'!$A111,Tableau106[],5,FALSE)</f>
        <v>MTL1</v>
      </c>
      <c r="G111" s="322" t="str">
        <f>VLOOKUP('OPX_BN+1'!$A111,Tableau106[],7,FALSE)</f>
        <v>EGM</v>
      </c>
      <c r="H111" s="322" t="str">
        <f>VLOOKUP('OPX_BN+1'!$A111,Tableau106[],6,FALSE)</f>
        <v>S</v>
      </c>
      <c r="I111" s="372" t="str">
        <f>VLOOKUP(Tableau17[[#This Row],[OPEX VARIABLES en €
BN 2024]],Tableau106[],9,FALSE)</f>
        <v>AuE</v>
      </c>
      <c r="J111" s="360">
        <f>VLOOKUP(Tableau17[[#This Row],[CODE PI]],Tableau16[[CODE PI]:[(mesures compensatoires du PC ou autres)]],5,FALSE)*(1+$B$1)</f>
        <v>-317491.69999999995</v>
      </c>
      <c r="K111" s="228">
        <v>-138600</v>
      </c>
      <c r="L111" s="228"/>
      <c r="M111" s="229">
        <v>0</v>
      </c>
      <c r="N111" s="229">
        <f>-6*400</f>
        <v>-2400</v>
      </c>
      <c r="O111" s="229">
        <v>0</v>
      </c>
      <c r="P111" s="229">
        <f>-4200-5000</f>
        <v>-9200</v>
      </c>
      <c r="Q111" s="229">
        <f>-250*'OPX_BN+1'!$E111</f>
        <v>-3000</v>
      </c>
      <c r="R111" s="274">
        <f>SUM('OPX_BN+1'!$K111:$Q111)</f>
        <v>-153200</v>
      </c>
      <c r="S111" s="337">
        <f>VLOOKUP(Tableau17[[#This Row],[CODE PI]],Tableau16[[CODE PI]:[(mesures compensatoires du PC ou autres)]],14,FALSE)*(1+$B$1)</f>
        <v>0</v>
      </c>
      <c r="T111" s="423">
        <v>0</v>
      </c>
      <c r="U111" s="341">
        <v>0</v>
      </c>
      <c r="V111" s="379">
        <v>-4000</v>
      </c>
      <c r="W111" s="423">
        <v>0</v>
      </c>
      <c r="X111" s="423">
        <v>0</v>
      </c>
      <c r="Y111" s="423">
        <v>-5280</v>
      </c>
      <c r="Z111" s="264">
        <f>-250*Tableau17[[#This Row],[MW]]</f>
        <v>-3000</v>
      </c>
      <c r="AA111" s="423">
        <f>-(0.2*CA_LE3!M107)/100</f>
        <v>-7659.1817419979652</v>
      </c>
      <c r="AB111" s="273">
        <f>SUM('OPX_BN+1'!$T111:$AA111)</f>
        <v>-19939.181741997963</v>
      </c>
      <c r="AC111" s="426">
        <f>-2500-48000</f>
        <v>-50500</v>
      </c>
      <c r="AD111" s="426">
        <f>-4924*1.025</f>
        <v>-5047.0999999999995</v>
      </c>
      <c r="AE111" s="417">
        <v>-7000</v>
      </c>
      <c r="AF111" s="417">
        <v>0</v>
      </c>
      <c r="AG111" s="417">
        <v>-30000</v>
      </c>
      <c r="AH111" s="417">
        <v>0</v>
      </c>
      <c r="AI111" s="417">
        <v>0</v>
      </c>
      <c r="AJ111" s="371">
        <f>SUM('OPX_BN+1'!$AC111:$AI111)</f>
        <v>-92547.1</v>
      </c>
      <c r="AK111" s="424"/>
      <c r="AL111" s="276">
        <f>SUM('OPX_BN+1'!$J111,'OPX_BN+1'!$AB111,'OPX_BN+1'!$S111,'OPX_BN+1'!$AJ111,'OPX_BN+1'!$R111,'OPX_BN+1'!$AK111)</f>
        <v>-583177.98174199788</v>
      </c>
      <c r="AM111" s="427"/>
    </row>
    <row r="112" spans="1:39" ht="15">
      <c r="A112" s="244" t="s">
        <v>236</v>
      </c>
      <c r="B112" s="320" t="str">
        <f>VLOOKUP('OPX_BN+1'!$A112,Tableau106[],3,FALSE)</f>
        <v>F140</v>
      </c>
      <c r="C112" s="320" t="str">
        <f>VLOOKUP('OPX_BN+1'!$A112,Tableau106[],2,FALSE)</f>
        <v>FR57E06E</v>
      </c>
      <c r="D112" s="320" t="str">
        <f>VLOOKUP('OPX_BN+1'!$A112,Tableau106[],8,FALSE)</f>
        <v>EOLIEN</v>
      </c>
      <c r="E112" s="321">
        <f>VLOOKUP('OPX_BN+1'!$A112,Tableau106[],4,FALSE)</f>
        <v>15.4</v>
      </c>
      <c r="F112" s="322" t="str">
        <f>VLOOKUP('OPX_BN+1'!$A112,Tableau106[],5,FALSE)</f>
        <v>MOTT</v>
      </c>
      <c r="G112" s="322" t="str">
        <f>VLOOKUP('OPX_BN+1'!$A112,Tableau106[],7,FALSE)</f>
        <v>FUTUREN</v>
      </c>
      <c r="H112" s="322" t="str">
        <f>VLOOKUP('OPX_BN+1'!$A112,Tableau106[],6,FALSE)</f>
        <v>N</v>
      </c>
      <c r="I112" s="372" t="str">
        <f>VLOOKUP(Tableau17[[#This Row],[OPEX VARIABLES en €
BN 2024]],Tableau106[],9,FALSE)</f>
        <v>NiL</v>
      </c>
      <c r="J112" s="360">
        <f>VLOOKUP(Tableau17[[#This Row],[CODE PI]],Tableau16[[CODE PI]:[(mesures compensatoires du PC ou autres)]],5,FALSE)*(1+$B$1)</f>
        <v>-12711.025</v>
      </c>
      <c r="K112" s="228">
        <v>-18030</v>
      </c>
      <c r="L112" s="228"/>
      <c r="M112" s="229">
        <v>0</v>
      </c>
      <c r="N112" s="229">
        <v>0</v>
      </c>
      <c r="O112" s="229">
        <v>0</v>
      </c>
      <c r="P112" s="229">
        <v>-4620</v>
      </c>
      <c r="Q112" s="229">
        <f>-250*'OPX_BN+1'!$E112</f>
        <v>-3850</v>
      </c>
      <c r="R112" s="274">
        <f>SUM('OPX_BN+1'!$K112:$Q112)</f>
        <v>-26500</v>
      </c>
      <c r="S112" s="337">
        <f>(-45471*7)*(1+$B$1)</f>
        <v>-326254.42499999999</v>
      </c>
      <c r="T112" s="423">
        <v>0</v>
      </c>
      <c r="U112" s="341">
        <v>0</v>
      </c>
      <c r="V112" s="423">
        <v>-2000</v>
      </c>
      <c r="W112" s="423">
        <f>-450*7</f>
        <v>-3150</v>
      </c>
      <c r="X112" s="423">
        <v>0</v>
      </c>
      <c r="Y112" s="423">
        <v>0</v>
      </c>
      <c r="Z112" s="264">
        <f>-250*Tableau17[[#This Row],[MW]]</f>
        <v>-3850</v>
      </c>
      <c r="AA112" s="423"/>
      <c r="AB112" s="273">
        <f>SUM('OPX_BN+1'!$T112:$AA112)</f>
        <v>-9000</v>
      </c>
      <c r="AC112" s="426"/>
      <c r="AD112" s="426"/>
      <c r="AE112" s="417">
        <v>-15000</v>
      </c>
      <c r="AF112" s="417">
        <v>0</v>
      </c>
      <c r="AG112" s="417">
        <v>0</v>
      </c>
      <c r="AH112" s="417">
        <v>0</v>
      </c>
      <c r="AI112" s="417">
        <v>0</v>
      </c>
      <c r="AJ112" s="371">
        <f>SUM('OPX_BN+1'!$AC112:$AI112)</f>
        <v>-15000</v>
      </c>
      <c r="AK112" s="424"/>
      <c r="AL112" s="276">
        <f>SUM('OPX_BN+1'!$J112,'OPX_BN+1'!$AB112,'OPX_BN+1'!$S112,'OPX_BN+1'!$AJ112,'OPX_BN+1'!$R112,'OPX_BN+1'!$AK112)</f>
        <v>-389465.45</v>
      </c>
      <c r="AM112" s="427"/>
    </row>
    <row r="113" spans="1:39" ht="15">
      <c r="A113" s="325" t="s">
        <v>238</v>
      </c>
      <c r="B113" s="320" t="str">
        <f>VLOOKUP('OPX_BN+1'!$A113,Tableau106[],3,FALSE)</f>
        <v>F036</v>
      </c>
      <c r="C113" s="320" t="str">
        <f>VLOOKUP('OPX_BN+1'!$A113,Tableau106[],2,FALSE)</f>
        <v>FR80E95E</v>
      </c>
      <c r="D113" s="320" t="str">
        <f>VLOOKUP('OPX_BN+1'!$A113,Tableau106[],8,FALSE)</f>
        <v>EOLIEN</v>
      </c>
      <c r="E113" s="321">
        <f>VLOOKUP('OPX_BN+1'!$A113,Tableau106[],4,FALSE)</f>
        <v>12</v>
      </c>
      <c r="F113" s="322" t="str">
        <f>VLOOKUP('OPX_BN+1'!$A113,Tableau106[],5,FALSE)</f>
        <v>MODF</v>
      </c>
      <c r="G113" s="322" t="str">
        <f>VLOOKUP('OPX_BN+1'!$A113,Tableau106[],7,FALSE)</f>
        <v>FUTUREN</v>
      </c>
      <c r="H113" s="322" t="str">
        <f>VLOOKUP('OPX_BN+1'!$A113,Tableau106[],6,FALSE)</f>
        <v>N</v>
      </c>
      <c r="I113" s="372" t="str">
        <f>VLOOKUP(Tableau17[[#This Row],[OPEX VARIABLES en €
BN 2024]],Tableau106[],9,FALSE)</f>
        <v>NiD</v>
      </c>
      <c r="J113" s="360">
        <f>VLOOKUP(Tableau17[[#This Row],[CODE PI]],Tableau16[[CODE PI]:[(mesures compensatoires du PC ou autres)]],5,FALSE)*(1+$B$1)</f>
        <v>-9976.3249999999989</v>
      </c>
      <c r="K113" s="228">
        <v>-4480</v>
      </c>
      <c r="L113" s="228"/>
      <c r="M113" s="229">
        <v>0</v>
      </c>
      <c r="N113" s="229">
        <v>0</v>
      </c>
      <c r="O113" s="229">
        <v>0</v>
      </c>
      <c r="P113" s="229">
        <f>-440*Tableau17[[#This Row],[MW]]</f>
        <v>-5280</v>
      </c>
      <c r="Q113" s="229">
        <f>-250*'OPX_BN+1'!$E113</f>
        <v>-3000</v>
      </c>
      <c r="R113" s="274">
        <f>SUM('OPX_BN+1'!$K113:$Q113)</f>
        <v>-12760</v>
      </c>
      <c r="S113" s="337">
        <f>VLOOKUP(Tableau17[[#This Row],[CODE PI]],Tableau16[[CODE PI]:[(mesures compensatoires du PC ou autres)]],14,FALSE)*(1+$B$1)</f>
        <v>-346763.64999999997</v>
      </c>
      <c r="T113" s="423">
        <v>0</v>
      </c>
      <c r="U113" s="341">
        <v>0</v>
      </c>
      <c r="V113" s="423">
        <v>-2000</v>
      </c>
      <c r="W113" s="423"/>
      <c r="X113" s="423">
        <v>0</v>
      </c>
      <c r="Y113" s="423">
        <v>0</v>
      </c>
      <c r="Z113" s="264">
        <f>-250*Tableau17[[#This Row],[MW]]</f>
        <v>-3000</v>
      </c>
      <c r="AA113" s="423"/>
      <c r="AB113" s="273">
        <f>SUM('OPX_BN+1'!$T113:$AA113)</f>
        <v>-5000</v>
      </c>
      <c r="AC113" s="426"/>
      <c r="AD113" s="426"/>
      <c r="AE113" s="417">
        <v>0</v>
      </c>
      <c r="AF113" s="417">
        <v>0</v>
      </c>
      <c r="AG113" s="417">
        <v>0</v>
      </c>
      <c r="AH113" s="417">
        <v>0</v>
      </c>
      <c r="AI113" s="417">
        <v>0</v>
      </c>
      <c r="AJ113" s="371">
        <f>SUM('OPX_BN+1'!$AC113:$AI113)</f>
        <v>0</v>
      </c>
      <c r="AK113" s="424"/>
      <c r="AL113" s="276">
        <f>SUM('OPX_BN+1'!$J113,'OPX_BN+1'!$AB113,'OPX_BN+1'!$S113,'OPX_BN+1'!$AJ113,'OPX_BN+1'!$R113,'OPX_BN+1'!$AK113)</f>
        <v>-374499.97499999998</v>
      </c>
      <c r="AM113" s="427"/>
    </row>
    <row r="114" spans="1:39" ht="15">
      <c r="A114" s="244" t="s">
        <v>240</v>
      </c>
      <c r="B114" s="320" t="str">
        <f>VLOOKUP('OPX_BN+1'!$A114,Tableau106[],3,FALSE)</f>
        <v>F208</v>
      </c>
      <c r="C114" s="320" t="str">
        <f>VLOOKUP('OPX_BN+1'!$A114,Tableau106[],2,FALSE)</f>
        <v>FR17E05E</v>
      </c>
      <c r="D114" s="320" t="str">
        <f>VLOOKUP('OPX_BN+1'!$A114,Tableau106[],8,FALSE)</f>
        <v>EOLIEN</v>
      </c>
      <c r="E114" s="321">
        <f>VLOOKUP('OPX_BN+1'!$A114,Tableau106[],4,FALSE)</f>
        <v>21</v>
      </c>
      <c r="F114" s="322" t="str">
        <f>VLOOKUP('OPX_BN+1'!$A114,Tableau106[],5,FALSE)</f>
        <v>NAC1, NAC2</v>
      </c>
      <c r="G114" s="322" t="str">
        <f>VLOOKUP('OPX_BN+1'!$A114,Tableau106[],7,FALSE)</f>
        <v>FUTUREN</v>
      </c>
      <c r="H114" s="322" t="str">
        <f>VLOOKUP('OPX_BN+1'!$A114,Tableau106[],6,FALSE)</f>
        <v>S</v>
      </c>
      <c r="I114" s="372" t="str">
        <f>VLOOKUP(Tableau17[[#This Row],[OPEX VARIABLES en €
BN 2024]],Tableau106[],9,FALSE)</f>
        <v>NoS</v>
      </c>
      <c r="J114" s="360">
        <f>VLOOKUP(Tableau17[[#This Row],[CODE PI]],Tableau16[[CODE PI]:[(mesures compensatoires du PC ou autres)]],5,FALSE)*(1+$B$1)</f>
        <v>-7026.3749999999991</v>
      </c>
      <c r="K114" s="228">
        <v>0</v>
      </c>
      <c r="L114" s="228"/>
      <c r="M114" s="229">
        <v>0</v>
      </c>
      <c r="N114" s="229">
        <v>0</v>
      </c>
      <c r="O114" s="229">
        <v>0</v>
      </c>
      <c r="P114" s="229">
        <v>0</v>
      </c>
      <c r="Q114" s="229">
        <f>-250*'OPX_BN+1'!$E114</f>
        <v>-5250</v>
      </c>
      <c r="R114" s="274">
        <f>SUM('OPX_BN+1'!$K114:$Q114)</f>
        <v>-5250</v>
      </c>
      <c r="S114" s="337">
        <f>VLOOKUP(Tableau17[[#This Row],[CODE PI]],Tableau16[[CODE PI]:[(mesures compensatoires du PC ou autres)]],14,FALSE)*(1+$B$1)</f>
        <v>-444569.14999999997</v>
      </c>
      <c r="T114" s="423">
        <v>-2000</v>
      </c>
      <c r="U114" s="341">
        <v>0</v>
      </c>
      <c r="V114" s="423">
        <v>-3500</v>
      </c>
      <c r="W114" s="423">
        <v>-12131</v>
      </c>
      <c r="X114" s="423">
        <v>0</v>
      </c>
      <c r="Y114" s="423">
        <v>-2000</v>
      </c>
      <c r="Z114" s="264">
        <f>-250*Tableau17[[#This Row],[MW]]</f>
        <v>-5250</v>
      </c>
      <c r="AA114" s="423"/>
      <c r="AB114" s="273">
        <f>SUM('OPX_BN+1'!$T114:$AA114)</f>
        <v>-24881</v>
      </c>
      <c r="AC114" s="426"/>
      <c r="AD114" s="426"/>
      <c r="AE114" s="417">
        <v>-6000</v>
      </c>
      <c r="AF114" s="417">
        <v>0</v>
      </c>
      <c r="AG114" s="417">
        <v>0</v>
      </c>
      <c r="AH114" s="417">
        <v>0</v>
      </c>
      <c r="AI114" s="417">
        <v>-10000</v>
      </c>
      <c r="AJ114" s="371">
        <f>SUM('OPX_BN+1'!$AC114:$AI114)</f>
        <v>-16000</v>
      </c>
      <c r="AK114" s="424"/>
      <c r="AL114" s="276">
        <f>SUM('OPX_BN+1'!$J114,'OPX_BN+1'!$AB114,'OPX_BN+1'!$S114,'OPX_BN+1'!$AJ114,'OPX_BN+1'!$R114,'OPX_BN+1'!$AK114)</f>
        <v>-497726.52499999997</v>
      </c>
      <c r="AM114" s="427"/>
    </row>
    <row r="115" spans="1:39" ht="15">
      <c r="A115" s="325" t="s">
        <v>548</v>
      </c>
      <c r="B115" s="320" t="str">
        <f>VLOOKUP('OPX_BN+1'!$A115,Tableau106[],3,FALSE)</f>
        <v>A119</v>
      </c>
      <c r="C115" s="320" t="str">
        <f>VLOOKUP('OPX_BN+1'!$A115,Tableau106[],2,FALSE)</f>
        <v>FR11S97E</v>
      </c>
      <c r="D115" s="320" t="str">
        <f>VLOOKUP('OPX_BN+1'!$A115,Tableau106[],8,FALSE)</f>
        <v>SOLAIRE</v>
      </c>
      <c r="E115" s="321">
        <f>VLOOKUP('OPX_BN+1'!$A115,Tableau106[],4,FALSE)</f>
        <v>7</v>
      </c>
      <c r="F115" s="322" t="str">
        <f>VLOOKUP('OPX_BN+1'!$A115,Tableau106[],5,FALSE)</f>
        <v>NARB</v>
      </c>
      <c r="G115" s="322" t="str">
        <f>VLOOKUP('OPX_BN+1'!$A115,Tableau106[],7,FALSE)</f>
        <v>GROUPE</v>
      </c>
      <c r="H115" s="322" t="str">
        <f>VLOOKUP('OPX_BN+1'!$A115,Tableau106[],6,FALSE)</f>
        <v>S</v>
      </c>
      <c r="I115" s="372" t="str">
        <f>VLOOKUP(Tableau17[[#This Row],[OPEX VARIABLES en €
BN 2024]],Tableau106[],9,FALSE)</f>
        <v>BaA</v>
      </c>
      <c r="J115" s="360">
        <f>VLOOKUP(Tableau17[[#This Row],[CODE PI]],Tableau16[[CODE PI]:[(mesures compensatoires du PC ou autres)]],5,FALSE)*(1+$B$1)</f>
        <v>-337093.8</v>
      </c>
      <c r="K115" s="228">
        <v>-11920</v>
      </c>
      <c r="L115" s="228"/>
      <c r="M115" s="229">
        <v>0</v>
      </c>
      <c r="N115" s="229">
        <v>0</v>
      </c>
      <c r="O115" s="229">
        <v>0</v>
      </c>
      <c r="P115" s="229">
        <v>0</v>
      </c>
      <c r="Q115" s="229">
        <f>-250*'OPX_BN+1'!$E115</f>
        <v>-1750</v>
      </c>
      <c r="R115" s="274">
        <f>SUM('OPX_BN+1'!$K115:$Q115)</f>
        <v>-13670</v>
      </c>
      <c r="S115" s="337">
        <f>VLOOKUP(Tableau17[[#This Row],[CODE PI]],Tableau16[[CODE PI]:[(mesures compensatoires du PC ou autres)]],14,FALSE)*(1+$B$1)</f>
        <v>0</v>
      </c>
      <c r="T115" s="423">
        <v>0</v>
      </c>
      <c r="U115" s="341">
        <v>0</v>
      </c>
      <c r="V115" s="423"/>
      <c r="W115" s="423">
        <v>0</v>
      </c>
      <c r="X115" s="423">
        <v>0</v>
      </c>
      <c r="Y115" s="423">
        <v>0</v>
      </c>
      <c r="Z115" s="264">
        <f>-250*Tableau17[[#This Row],[MW]]</f>
        <v>-1750</v>
      </c>
      <c r="AA115" s="423"/>
      <c r="AB115" s="273">
        <f>SUM('OPX_BN+1'!$T115:$AA115)</f>
        <v>-1750</v>
      </c>
      <c r="AC115" s="426"/>
      <c r="AD115" s="426"/>
      <c r="AE115" s="417">
        <v>0</v>
      </c>
      <c r="AF115" s="417">
        <v>0</v>
      </c>
      <c r="AG115" s="417">
        <v>0</v>
      </c>
      <c r="AH115" s="417">
        <v>0</v>
      </c>
      <c r="AI115" s="417">
        <v>0</v>
      </c>
      <c r="AJ115" s="371">
        <f>SUM('OPX_BN+1'!$AC115:$AI115)</f>
        <v>0</v>
      </c>
      <c r="AK115" s="424"/>
      <c r="AL115" s="276">
        <f>SUM('OPX_BN+1'!$J115,'OPX_BN+1'!$AB115,'OPX_BN+1'!$S115,'OPX_BN+1'!$AJ115,'OPX_BN+1'!$R115,'OPX_BN+1'!$AK115)</f>
        <v>-352513.8</v>
      </c>
      <c r="AM115" s="427"/>
    </row>
    <row r="116" spans="1:39" ht="15">
      <c r="A116" s="244" t="s">
        <v>478</v>
      </c>
      <c r="B116" s="320" t="str">
        <f>VLOOKUP('OPX_BN+1'!$A116,Tableau106[],3,FALSE)</f>
        <v>A530</v>
      </c>
      <c r="C116" s="320" t="str">
        <f>VLOOKUP('OPX_BN+1'!$A116,Tableau106[],2,FALSE)</f>
        <v>FR57E02E</v>
      </c>
      <c r="D116" s="320" t="str">
        <f>VLOOKUP('OPX_BN+1'!$A116,Tableau106[],8,FALSE)</f>
        <v>EOLIEN</v>
      </c>
      <c r="E116" s="321">
        <f>VLOOKUP('OPX_BN+1'!$A116,Tableau106[],4,FALSE)</f>
        <v>12</v>
      </c>
      <c r="F116" s="322" t="str">
        <f>VLOOKUP('OPX_BN+1'!$A116,Tableau106[],5,FALSE)</f>
        <v>NIED</v>
      </c>
      <c r="G116" s="322" t="str">
        <f>VLOOKUP('OPX_BN+1'!$A116,Tableau106[],7,FALSE)</f>
        <v>GROUPE</v>
      </c>
      <c r="H116" s="322" t="str">
        <f>VLOOKUP('OPX_BN+1'!$A116,Tableau106[],6,FALSE)</f>
        <v>N</v>
      </c>
      <c r="I116" s="372" t="str">
        <f>VLOOKUP(Tableau17[[#This Row],[OPEX VARIABLES en €
BN 2024]],Tableau106[],9,FALSE)</f>
        <v>HuB</v>
      </c>
      <c r="J116" s="360">
        <f>VLOOKUP(Tableau17[[#This Row],[CODE PI]],Tableau16[[CODE PI]:[(mesures compensatoires du PC ou autres)]],5,FALSE)*(1+$B$1)</f>
        <v>-10489.849999999999</v>
      </c>
      <c r="K116" s="228">
        <v>-3330</v>
      </c>
      <c r="L116" s="228"/>
      <c r="M116" s="229">
        <v>0</v>
      </c>
      <c r="N116" s="229">
        <v>0</v>
      </c>
      <c r="O116" s="229">
        <v>0</v>
      </c>
      <c r="P116" s="229">
        <v>-4200</v>
      </c>
      <c r="Q116" s="229">
        <f>-250*'OPX_BN+1'!$E116</f>
        <v>-3000</v>
      </c>
      <c r="R116" s="274">
        <f>SUM('OPX_BN+1'!$K116:$Q116)</f>
        <v>-10530</v>
      </c>
      <c r="S116" s="337">
        <f>VLOOKUP(Tableau17[[#This Row],[CODE PI]],Tableau16[[CODE PI]:[(mesures compensatoires du PC ou autres)]],14,FALSE)*(1+$B$1)</f>
        <v>-387297.27499999997</v>
      </c>
      <c r="T116" s="423">
        <v>-2600</v>
      </c>
      <c r="U116" s="341">
        <v>0</v>
      </c>
      <c r="V116" s="423">
        <v>-800</v>
      </c>
      <c r="W116" s="423">
        <v>0</v>
      </c>
      <c r="X116" s="423">
        <v>0</v>
      </c>
      <c r="Y116" s="423">
        <v>0</v>
      </c>
      <c r="Z116" s="264">
        <f>-250*Tableau17[[#This Row],[MW]]</f>
        <v>-3000</v>
      </c>
      <c r="AA116" s="423"/>
      <c r="AB116" s="273">
        <f>SUM('OPX_BN+1'!$T116:$AA116)</f>
        <v>-6400</v>
      </c>
      <c r="AC116" s="426"/>
      <c r="AD116" s="426"/>
      <c r="AE116" s="417">
        <v>0</v>
      </c>
      <c r="AF116" s="417">
        <v>0</v>
      </c>
      <c r="AG116" s="417">
        <v>0</v>
      </c>
      <c r="AH116" s="417">
        <v>0</v>
      </c>
      <c r="AI116" s="417">
        <v>0</v>
      </c>
      <c r="AJ116" s="371">
        <f>SUM('OPX_BN+1'!$AC116:$AI116)</f>
        <v>0</v>
      </c>
      <c r="AK116" s="424"/>
      <c r="AL116" s="276">
        <f>SUM('OPX_BN+1'!$J116,'OPX_BN+1'!$AB116,'OPX_BN+1'!$S116,'OPX_BN+1'!$AJ116,'OPX_BN+1'!$R116,'OPX_BN+1'!$AK116)</f>
        <v>-414717.12499999994</v>
      </c>
      <c r="AM116" s="427"/>
    </row>
    <row r="117" spans="1:39" ht="15">
      <c r="A117" s="325" t="s">
        <v>403</v>
      </c>
      <c r="B117" s="320" t="str">
        <f>VLOOKUP('OPX_BN+1'!$A117,Tableau106[],3,FALSE)</f>
        <v>A258</v>
      </c>
      <c r="C117" s="320" t="str">
        <f>VLOOKUP('OPX_BN+1'!$A117,Tableau106[],2,FALSE)</f>
        <v>FR01S04E</v>
      </c>
      <c r="D117" s="320" t="str">
        <f>VLOOKUP('OPX_BN+1'!$A117,Tableau106[],8,FALSE)</f>
        <v>SOLAIRE</v>
      </c>
      <c r="E117" s="321">
        <f>VLOOKUP('OPX_BN+1'!$A117,Tableau106[],4,FALSE)</f>
        <v>13.4</v>
      </c>
      <c r="F117" s="322" t="str">
        <f>VLOOKUP('OPX_BN+1'!$A117,Tableau106[],5,FALSE)</f>
        <v>NIEV</v>
      </c>
      <c r="G117" s="322" t="str">
        <f>VLOOKUP('OPX_BN+1'!$A117,Tableau106[],7,FALSE)</f>
        <v>GROUPE</v>
      </c>
      <c r="H117" s="322" t="str">
        <f>VLOOKUP('OPX_BN+1'!$A117,Tableau106[],6,FALSE)</f>
        <v>S</v>
      </c>
      <c r="I117" s="372" t="str">
        <f>VLOOKUP(Tableau17[[#This Row],[OPEX VARIABLES en €
BN 2024]],Tableau106[],9,FALSE)</f>
        <v>ZaA</v>
      </c>
      <c r="J117" s="360">
        <f>VLOOKUP(Tableau17[[#This Row],[CODE PI]],Tableau16[[CODE PI]:[(mesures compensatoires du PC ou autres)]],5,FALSE)*(1+$B$1)</f>
        <v>-84427.199999999997</v>
      </c>
      <c r="K117" s="228">
        <v>-5990</v>
      </c>
      <c r="L117" s="228"/>
      <c r="M117" s="229">
        <v>0</v>
      </c>
      <c r="N117" s="229">
        <v>0</v>
      </c>
      <c r="O117" s="229">
        <v>0</v>
      </c>
      <c r="P117" s="229">
        <v>0</v>
      </c>
      <c r="Q117" s="229">
        <f>-250*'OPX_BN+1'!$E117</f>
        <v>-3350</v>
      </c>
      <c r="R117" s="274">
        <f>SUM('OPX_BN+1'!$K117:$Q117)</f>
        <v>-9340</v>
      </c>
      <c r="S117" s="337">
        <f>VLOOKUP(Tableau17[[#This Row],[CODE PI]],Tableau16[[CODE PI]:[(mesures compensatoires du PC ou autres)]],14,FALSE)*(1+$B$1)</f>
        <v>0</v>
      </c>
      <c r="T117" s="423">
        <v>0</v>
      </c>
      <c r="U117" s="341">
        <v>0</v>
      </c>
      <c r="V117" s="423">
        <v>0</v>
      </c>
      <c r="W117" s="423">
        <v>0</v>
      </c>
      <c r="X117" s="423">
        <v>0</v>
      </c>
      <c r="Y117" s="423">
        <v>0</v>
      </c>
      <c r="Z117" s="264">
        <f>-250*Tableau17[[#This Row],[MW]]</f>
        <v>-3350</v>
      </c>
      <c r="AA117" s="423"/>
      <c r="AB117" s="273">
        <f>SUM('OPX_BN+1'!$T117:$AA117)</f>
        <v>-3350</v>
      </c>
      <c r="AC117" s="426"/>
      <c r="AD117" s="426"/>
      <c r="AE117" s="417">
        <v>0</v>
      </c>
      <c r="AF117" s="417">
        <v>0</v>
      </c>
      <c r="AG117" s="417">
        <v>0</v>
      </c>
      <c r="AH117" s="417">
        <v>0</v>
      </c>
      <c r="AI117" s="417">
        <v>-13200</v>
      </c>
      <c r="AJ117" s="371">
        <f>SUM('OPX_BN+1'!$AC117:$AI117)</f>
        <v>-13200</v>
      </c>
      <c r="AK117" s="424"/>
      <c r="AL117" s="276">
        <f>SUM('OPX_BN+1'!$J117,'OPX_BN+1'!$AB117,'OPX_BN+1'!$S117,'OPX_BN+1'!$AJ117,'OPX_BN+1'!$R117,'OPX_BN+1'!$AK117)</f>
        <v>-110317.2</v>
      </c>
      <c r="AM117" s="427"/>
    </row>
    <row r="118" spans="1:39" ht="15">
      <c r="A118" s="244" t="s">
        <v>626</v>
      </c>
      <c r="B118" s="320" t="str">
        <f>VLOOKUP('OPX_BN+1'!$A118,Tableau106[],3,FALSE)</f>
        <v>A937</v>
      </c>
      <c r="C118" s="320" t="str">
        <f>VLOOKUP('OPX_BN+1'!$A118,Tableau106[],2,FALSE)</f>
        <v>FR34E82E</v>
      </c>
      <c r="D118" s="320" t="str">
        <f>VLOOKUP('OPX_BN+1'!$A118,Tableau106[],8,FALSE)</f>
        <v>EOLIEN</v>
      </c>
      <c r="E118" s="321">
        <f>VLOOKUP('OPX_BN+1'!$A118,Tableau106[],4,FALSE)</f>
        <v>6</v>
      </c>
      <c r="F118" s="322" t="str">
        <f>VLOOKUP('OPX_BN+1'!$A118,Tableau106[],5,FALSE)</f>
        <v>NIPL</v>
      </c>
      <c r="G118" s="322" t="str">
        <f>VLOOKUP('OPX_BN+1'!$A118,Tableau106[],7,FALSE)</f>
        <v>FUTUREN</v>
      </c>
      <c r="H118" s="322" t="str">
        <f>VLOOKUP('OPX_BN+1'!$A118,Tableau106[],6,FALSE)</f>
        <v>S</v>
      </c>
      <c r="I118" s="372" t="str">
        <f>VLOOKUP(Tableau17[[#This Row],[OPEX VARIABLES en €
BN 2024]],Tableau106[],9,FALSE)</f>
        <v>KéD</v>
      </c>
      <c r="J118" s="360">
        <f>VLOOKUP(Tableau17[[#This Row],[CODE PI]],Tableau16[[CODE PI]:[(mesures compensatoires du PC ou autres)]],5,FALSE)*(1+$B$1)</f>
        <v>-193787.52499999999</v>
      </c>
      <c r="K118" s="228">
        <v>-21860</v>
      </c>
      <c r="L118" s="228"/>
      <c r="M118" s="229">
        <v>0</v>
      </c>
      <c r="N118" s="229">
        <v>0</v>
      </c>
      <c r="O118" s="229">
        <v>0</v>
      </c>
      <c r="P118" s="229">
        <f>-2100-5000</f>
        <v>-7100</v>
      </c>
      <c r="Q118" s="229">
        <f>-250*'OPX_BN+1'!$E118</f>
        <v>-1500</v>
      </c>
      <c r="R118" s="274">
        <f>SUM('OPX_BN+1'!$K118:$Q118)</f>
        <v>-30460</v>
      </c>
      <c r="S118" s="337">
        <f>VLOOKUP(Tableau17[[#This Row],[CODE PI]],Tableau16[[CODE PI]:[(mesures compensatoires du PC ou autres)]],14,FALSE)*(1+$B$1)</f>
        <v>0</v>
      </c>
      <c r="T118" s="423">
        <v>0</v>
      </c>
      <c r="U118" s="341">
        <v>0</v>
      </c>
      <c r="V118" s="423">
        <v>-7500</v>
      </c>
      <c r="W118" s="423">
        <v>0</v>
      </c>
      <c r="X118" s="423">
        <v>0</v>
      </c>
      <c r="Y118" s="423">
        <v>0</v>
      </c>
      <c r="Z118" s="264">
        <f>-250*Tableau17[[#This Row],[MW]]</f>
        <v>-1500</v>
      </c>
      <c r="AA118" s="423"/>
      <c r="AB118" s="273">
        <f>SUM('OPX_BN+1'!$T118:$AA118)</f>
        <v>-9000</v>
      </c>
      <c r="AC118" s="426">
        <f>-((6184*3)+1500)</f>
        <v>-20052</v>
      </c>
      <c r="AD118" s="426"/>
      <c r="AE118" s="417">
        <v>-2190</v>
      </c>
      <c r="AF118" s="417">
        <v>0</v>
      </c>
      <c r="AG118" s="417">
        <v>-15200</v>
      </c>
      <c r="AH118" s="417"/>
      <c r="AI118" s="417">
        <v>0</v>
      </c>
      <c r="AJ118" s="371">
        <f>SUM('OPX_BN+1'!$AC118:$AI118)</f>
        <v>-37442</v>
      </c>
      <c r="AK118" s="424"/>
      <c r="AL118" s="276">
        <f>SUM('OPX_BN+1'!$J118,'OPX_BN+1'!$AB118,'OPX_BN+1'!$S118,'OPX_BN+1'!$AJ118,'OPX_BN+1'!$R118,'OPX_BN+1'!$AK118)</f>
        <v>-270689.52500000002</v>
      </c>
      <c r="AM118" s="427"/>
    </row>
    <row r="119" spans="1:39" ht="15">
      <c r="A119" s="244" t="s">
        <v>551</v>
      </c>
      <c r="B119" s="320" t="str">
        <f>VLOOKUP('OPX_BN+1'!$A119,Tableau106[],3,FALSE)</f>
        <v>A313</v>
      </c>
      <c r="C119" s="320" t="str">
        <f>VLOOKUP('OPX_BN+1'!$A119,Tableau106[],2,FALSE)</f>
        <v>FR89S16E</v>
      </c>
      <c r="D119" s="320" t="str">
        <f>VLOOKUP('OPX_BN+1'!$A119,Tableau106[],8,FALSE)</f>
        <v>SOLAIRE</v>
      </c>
      <c r="E119" s="321">
        <f>VLOOKUP('OPX_BN+1'!$A119,Tableau106[],4,FALSE)</f>
        <v>3.8</v>
      </c>
      <c r="F119" s="322" t="str">
        <f>VLOOKUP('OPX_BN+1'!$A119,Tableau106[],5,FALSE)</f>
        <v>NITR</v>
      </c>
      <c r="G119" s="322" t="str">
        <f>VLOOKUP('OPX_BN+1'!$A119,Tableau106[],7,FALSE)</f>
        <v>GROUPE</v>
      </c>
      <c r="H119" s="322" t="str">
        <f>VLOOKUP('OPX_BN+1'!$A119,Tableau106[],6,FALSE)</f>
        <v>N</v>
      </c>
      <c r="I119" s="372" t="str">
        <f>VLOOKUP(Tableau17[[#This Row],[OPEX VARIABLES en €
BN 2024]],Tableau106[],9,FALSE)</f>
        <v>LoG</v>
      </c>
      <c r="J119" s="360">
        <f>-34362</f>
        <v>-34362</v>
      </c>
      <c r="K119" s="228">
        <v>-10000</v>
      </c>
      <c r="L119" s="228"/>
      <c r="M119" s="229">
        <v>0</v>
      </c>
      <c r="N119" s="229">
        <v>0</v>
      </c>
      <c r="O119" s="229">
        <v>0</v>
      </c>
      <c r="P119" s="229">
        <v>0</v>
      </c>
      <c r="Q119" s="229">
        <f>-250*'OPX_BN+1'!$E119</f>
        <v>-950</v>
      </c>
      <c r="R119" s="274">
        <f>SUM('OPX_BN+1'!$K119:$Q119)</f>
        <v>-10950</v>
      </c>
      <c r="S119" s="337">
        <f>VLOOKUP(Tableau17[[#This Row],[CODE PI]],Tableau16[[CODE PI]:[(mesures compensatoires du PC ou autres)]],14,FALSE)*(1+$B$1)</f>
        <v>0</v>
      </c>
      <c r="T119" s="423">
        <v>0</v>
      </c>
      <c r="U119" s="341">
        <v>0</v>
      </c>
      <c r="V119" s="423">
        <v>0</v>
      </c>
      <c r="W119" s="423">
        <v>0</v>
      </c>
      <c r="X119" s="423">
        <v>0</v>
      </c>
      <c r="Y119" s="423">
        <v>0</v>
      </c>
      <c r="Z119" s="264">
        <f>-250*Tableau17[[#This Row],[MW]]</f>
        <v>-950</v>
      </c>
      <c r="AA119" s="423"/>
      <c r="AB119" s="273">
        <f>SUM('OPX_BN+1'!$T119:$AA119)</f>
        <v>-950</v>
      </c>
      <c r="AC119" s="426"/>
      <c r="AD119" s="426"/>
      <c r="AE119" s="417">
        <v>0</v>
      </c>
      <c r="AF119" s="417">
        <v>0</v>
      </c>
      <c r="AG119" s="417">
        <v>0</v>
      </c>
      <c r="AH119" s="417">
        <v>-6000</v>
      </c>
      <c r="AI119" s="417">
        <v>0</v>
      </c>
      <c r="AJ119" s="371">
        <f>SUM('OPX_BN+1'!$AC119:$AI119)</f>
        <v>-6000</v>
      </c>
      <c r="AK119" s="424"/>
      <c r="AL119" s="276">
        <f>SUM('OPX_BN+1'!$J119,'OPX_BN+1'!$AB119,'OPX_BN+1'!$S119,'OPX_BN+1'!$AJ119,'OPX_BN+1'!$R119,'OPX_BN+1'!$AK119)</f>
        <v>-52262</v>
      </c>
      <c r="AM119" s="427"/>
    </row>
    <row r="120" spans="1:39" ht="15">
      <c r="A120" s="244" t="s">
        <v>480</v>
      </c>
      <c r="B120" s="320" t="str">
        <f>VLOOKUP('OPX_BN+1'!$A120,Tableau106[],3,FALSE)</f>
        <v>A540</v>
      </c>
      <c r="C120" s="320" t="str">
        <f>VLOOKUP('OPX_BN+1'!$A120,Tableau106[],2,FALSE)</f>
        <v>FR35E02E</v>
      </c>
      <c r="D120" s="320" t="str">
        <f>VLOOKUP('OPX_BN+1'!$A120,Tableau106[],8,FALSE)</f>
        <v>EOLIEN</v>
      </c>
      <c r="E120" s="321">
        <f>VLOOKUP('OPX_BN+1'!$A120,Tableau106[],4,FALSE)</f>
        <v>10</v>
      </c>
      <c r="F120" s="322" t="str">
        <f>VLOOKUP('OPX_BN+1'!$A120,Tableau106[],5,FALSE)</f>
        <v>NOUR</v>
      </c>
      <c r="G120" s="322" t="str">
        <f>VLOOKUP('OPX_BN+1'!$A120,Tableau106[],7,FALSE)</f>
        <v>EGM</v>
      </c>
      <c r="H120" s="322" t="str">
        <f>VLOOKUP('OPX_BN+1'!$A120,Tableau106[],6,FALSE)</f>
        <v>N</v>
      </c>
      <c r="I120" s="372" t="str">
        <f>VLOOKUP(Tableau17[[#This Row],[OPEX VARIABLES en €
BN 2024]],Tableau106[],9,FALSE)</f>
        <v>MaA</v>
      </c>
      <c r="J120" s="360">
        <f>VLOOKUP(Tableau17[[#This Row],[CODE PI]],Tableau16[[CODE PI]:[(mesures compensatoires du PC ou autres)]],5,FALSE)*(1+$B$1)</f>
        <v>-264576.07499999995</v>
      </c>
      <c r="K120" s="228">
        <v>-80350.000000000015</v>
      </c>
      <c r="L120" s="228"/>
      <c r="M120" s="229">
        <v>0</v>
      </c>
      <c r="N120" s="229">
        <v>0</v>
      </c>
      <c r="O120" s="229">
        <v>0</v>
      </c>
      <c r="P120" s="229">
        <v>-3500</v>
      </c>
      <c r="Q120" s="229">
        <f>-250*'OPX_BN+1'!$E120</f>
        <v>-2500</v>
      </c>
      <c r="R120" s="274">
        <f>SUM('OPX_BN+1'!$K120:$Q120)</f>
        <v>-86350.000000000015</v>
      </c>
      <c r="S120" s="337">
        <f>VLOOKUP(Tableau17[[#This Row],[CODE PI]],Tableau16[[CODE PI]:[(mesures compensatoires du PC ou autres)]],14,FALSE)*(1+$B$1)</f>
        <v>-61499.999999999993</v>
      </c>
      <c r="T120" s="423">
        <v>0</v>
      </c>
      <c r="U120" s="341">
        <v>0</v>
      </c>
      <c r="V120" s="423">
        <v>-2000</v>
      </c>
      <c r="W120" s="423">
        <v>0</v>
      </c>
      <c r="X120" s="423">
        <v>0</v>
      </c>
      <c r="Y120" s="423">
        <v>0</v>
      </c>
      <c r="Z120" s="264">
        <f>-250*Tableau17[[#This Row],[MW]]</f>
        <v>-2500</v>
      </c>
      <c r="AA120" s="423"/>
      <c r="AB120" s="273">
        <f>SUM('OPX_BN+1'!$T120:$AA120)</f>
        <v>-4500</v>
      </c>
      <c r="AC120" s="426"/>
      <c r="AD120" s="426"/>
      <c r="AE120" s="417">
        <v>0</v>
      </c>
      <c r="AF120" s="417">
        <v>0</v>
      </c>
      <c r="AG120" s="417">
        <v>-12000</v>
      </c>
      <c r="AH120" s="417">
        <v>0</v>
      </c>
      <c r="AI120" s="417">
        <v>0</v>
      </c>
      <c r="AJ120" s="371">
        <f>SUM('OPX_BN+1'!$AC120:$AI120)</f>
        <v>-12000</v>
      </c>
      <c r="AK120" s="424"/>
      <c r="AL120" s="276">
        <f>SUM('OPX_BN+1'!$J120,'OPX_BN+1'!$AB120,'OPX_BN+1'!$S120,'OPX_BN+1'!$AJ120,'OPX_BN+1'!$R120,'OPX_BN+1'!$AK120)</f>
        <v>-428926.07499999995</v>
      </c>
      <c r="AM120" s="427"/>
    </row>
    <row r="121" spans="1:39" ht="15">
      <c r="A121" s="325" t="s">
        <v>529</v>
      </c>
      <c r="B121" s="320" t="str">
        <f>VLOOKUP('OPX_BN+1'!$A121,Tableau106[],3,FALSE)</f>
        <v>A540</v>
      </c>
      <c r="C121" s="320" t="str">
        <f>VLOOKUP('OPX_BN+1'!$A121,Tableau106[],2,FALSE)</f>
        <v>FR80E01E</v>
      </c>
      <c r="D121" s="320" t="str">
        <f>VLOOKUP('OPX_BN+1'!$A121,Tableau106[],8,FALSE)</f>
        <v>EOLIEN</v>
      </c>
      <c r="E121" s="321">
        <f>VLOOKUP('OPX_BN+1'!$A121,Tableau106[],4,FALSE)</f>
        <v>8</v>
      </c>
      <c r="F121" s="322" t="str">
        <f>VLOOKUP('OPX_BN+1'!$A121,Tableau106[],5,FALSE)</f>
        <v>NURL</v>
      </c>
      <c r="G121" s="322" t="str">
        <f>VLOOKUP('OPX_BN+1'!$A121,Tableau106[],7,FALSE)</f>
        <v>EGM</v>
      </c>
      <c r="H121" s="322" t="str">
        <f>VLOOKUP('OPX_BN+1'!$A121,Tableau106[],6,FALSE)</f>
        <v>N</v>
      </c>
      <c r="I121" s="372" t="str">
        <f>VLOOKUP(Tableau17[[#This Row],[OPEX VARIABLES en €
BN 2024]],Tableau106[],9,FALSE)</f>
        <v>NoS</v>
      </c>
      <c r="J121" s="360">
        <f>VLOOKUP(Tableau17[[#This Row],[CODE PI]],Tableau16[[CODE PI]:[(mesures compensatoires du PC ou autres)]],5,FALSE)*(1+$B$1)</f>
        <v>-211661.47499999998</v>
      </c>
      <c r="K121" s="228">
        <v>-120000</v>
      </c>
      <c r="L121" s="228"/>
      <c r="M121" s="229">
        <v>0</v>
      </c>
      <c r="N121" s="229">
        <v>0</v>
      </c>
      <c r="O121" s="229">
        <v>0</v>
      </c>
      <c r="P121" s="229">
        <v>-2800</v>
      </c>
      <c r="Q121" s="229">
        <f>-250*'OPX_BN+1'!$E121</f>
        <v>-2000</v>
      </c>
      <c r="R121" s="274">
        <f>SUM('OPX_BN+1'!$K121:$Q121)</f>
        <v>-124800</v>
      </c>
      <c r="S121" s="337">
        <f>VLOOKUP(Tableau17[[#This Row],[CODE PI]],Tableau16[[CODE PI]:[(mesures compensatoires du PC ou autres)]],14,FALSE)*(1+$B$1)</f>
        <v>0</v>
      </c>
      <c r="T121" s="423">
        <v>0</v>
      </c>
      <c r="U121" s="341">
        <v>0</v>
      </c>
      <c r="V121" s="423">
        <v>-1408</v>
      </c>
      <c r="W121" s="423">
        <v>0</v>
      </c>
      <c r="X121" s="423">
        <v>0</v>
      </c>
      <c r="Y121" s="423">
        <v>0</v>
      </c>
      <c r="Z121" s="264">
        <f>-250*Tableau17[[#This Row],[MW]]</f>
        <v>-2000</v>
      </c>
      <c r="AA121" s="423"/>
      <c r="AB121" s="273">
        <f>SUM('OPX_BN+1'!$T121:$AA121)</f>
        <v>-3408</v>
      </c>
      <c r="AC121" s="426"/>
      <c r="AD121" s="426"/>
      <c r="AE121" s="417">
        <v>0</v>
      </c>
      <c r="AF121" s="417">
        <v>0</v>
      </c>
      <c r="AG121" s="417">
        <v>0</v>
      </c>
      <c r="AH121" s="417">
        <v>0</v>
      </c>
      <c r="AI121" s="417">
        <v>0</v>
      </c>
      <c r="AJ121" s="371">
        <f>SUM('OPX_BN+1'!$AC121:$AI121)</f>
        <v>0</v>
      </c>
      <c r="AK121" s="424"/>
      <c r="AL121" s="276">
        <f>SUM('OPX_BN+1'!$J121,'OPX_BN+1'!$AB121,'OPX_BN+1'!$S121,'OPX_BN+1'!$AJ121,'OPX_BN+1'!$R121,'OPX_BN+1'!$AK121)</f>
        <v>-339869.47499999998</v>
      </c>
      <c r="AM121" s="427"/>
    </row>
    <row r="122" spans="1:39" ht="15">
      <c r="A122" s="244" t="s">
        <v>555</v>
      </c>
      <c r="B122" s="320" t="str">
        <f>VLOOKUP('OPX_BN+1'!$A122,Tableau106[],3,FALSE)</f>
        <v>A374</v>
      </c>
      <c r="C122" s="320" t="str">
        <f>VLOOKUP('OPX_BN+1'!$A122,Tableau106[],2,FALSE)</f>
        <v>FR68S02E</v>
      </c>
      <c r="D122" s="320" t="str">
        <f>VLOOKUP('OPX_BN+1'!$A122,Tableau106[],8,FALSE)</f>
        <v>SOLAIRE</v>
      </c>
      <c r="E122" s="321">
        <f>VLOOKUP('OPX_BN+1'!$A122,Tableau106[],4,FALSE)</f>
        <v>15.5</v>
      </c>
      <c r="F122" s="322" t="str">
        <f>VLOOKUP('OPX_BN+1'!$A122,Tableau106[],5,FALSE)</f>
        <v>OTTM</v>
      </c>
      <c r="G122" s="322" t="str">
        <f>VLOOKUP('OPX_BN+1'!$A122,Tableau106[],7,FALSE)</f>
        <v>GROUPE</v>
      </c>
      <c r="H122" s="322" t="str">
        <f>VLOOKUP('OPX_BN+1'!$A122,Tableau106[],6,FALSE)</f>
        <v>N</v>
      </c>
      <c r="I122" s="372" t="str">
        <f>VLOOKUP(Tableau17[[#This Row],[OPEX VARIABLES en €
BN 2024]],Tableau106[],9,FALSE)</f>
        <v>ZaA</v>
      </c>
      <c r="J122" s="360">
        <f>VLOOKUP(Tableau17[[#This Row],[CODE PI]],Tableau16[[CODE PI]:[(mesures compensatoires du PC ou autres)]],5,FALSE)*(1+$B$1)</f>
        <v>-101827.59999999999</v>
      </c>
      <c r="K122" s="228">
        <v>0</v>
      </c>
      <c r="L122" s="228"/>
      <c r="M122" s="229">
        <v>0</v>
      </c>
      <c r="N122" s="229">
        <v>0</v>
      </c>
      <c r="O122" s="229">
        <v>0</v>
      </c>
      <c r="P122" s="229">
        <v>0</v>
      </c>
      <c r="Q122" s="229">
        <f>-250*'OPX_BN+1'!$E122</f>
        <v>-3875</v>
      </c>
      <c r="R122" s="274">
        <f>SUM('OPX_BN+1'!$K122:$Q122)</f>
        <v>-3875</v>
      </c>
      <c r="S122" s="337">
        <f>VLOOKUP(Tableau17[[#This Row],[CODE PI]],Tableau16[[CODE PI]:[(mesures compensatoires du PC ou autres)]],14,FALSE)*(1+$B$1)</f>
        <v>0</v>
      </c>
      <c r="T122" s="423">
        <v>0</v>
      </c>
      <c r="U122" s="341">
        <v>0</v>
      </c>
      <c r="V122" s="423">
        <v>0</v>
      </c>
      <c r="W122" s="423">
        <v>0</v>
      </c>
      <c r="X122" s="423">
        <v>0</v>
      </c>
      <c r="Y122" s="423">
        <v>0</v>
      </c>
      <c r="Z122" s="264">
        <f>-250*Tableau17[[#This Row],[MW]]</f>
        <v>-3875</v>
      </c>
      <c r="AA122" s="423"/>
      <c r="AB122" s="273">
        <f>SUM('OPX_BN+1'!$T122:$AA122)</f>
        <v>-3875</v>
      </c>
      <c r="AC122" s="426"/>
      <c r="AD122" s="426"/>
      <c r="AE122" s="417">
        <v>0</v>
      </c>
      <c r="AF122" s="417">
        <v>0</v>
      </c>
      <c r="AG122" s="417">
        <v>0</v>
      </c>
      <c r="AH122" s="417">
        <v>0</v>
      </c>
      <c r="AI122" s="417">
        <v>-8000</v>
      </c>
      <c r="AJ122" s="371">
        <f>SUM('OPX_BN+1'!$AC122:$AI122)</f>
        <v>-8000</v>
      </c>
      <c r="AK122" s="424"/>
      <c r="AL122" s="276">
        <f>SUM('OPX_BN+1'!$J122,'OPX_BN+1'!$AB122,'OPX_BN+1'!$S122,'OPX_BN+1'!$AJ122,'OPX_BN+1'!$R122,'OPX_BN+1'!$AK122)</f>
        <v>-117577.59999999999</v>
      </c>
      <c r="AM122" s="427"/>
    </row>
    <row r="123" spans="1:39" ht="15">
      <c r="A123" s="325" t="s">
        <v>438</v>
      </c>
      <c r="B123" s="320" t="str">
        <f>VLOOKUP('OPX_BN+1'!$A123,Tableau106[],3,FALSE)</f>
        <v>A044</v>
      </c>
      <c r="C123" s="320" t="str">
        <f>VLOOKUP('OPX_BN+1'!$A123,Tableau106[],2,FALSE)</f>
        <v>FR34E99E</v>
      </c>
      <c r="D123" s="320" t="str">
        <f>VLOOKUP('OPX_BN+1'!$A123,Tableau106[],8,FALSE)</f>
        <v>EOLIEN</v>
      </c>
      <c r="E123" s="321">
        <f>VLOOKUP('OPX_BN+1'!$A123,Tableau106[],4,FALSE)</f>
        <v>8.1</v>
      </c>
      <c r="F123" s="322" t="str">
        <f>VLOOKUP('OPX_BN+1'!$A123,Tableau106[],5,FALSE)</f>
        <v>OUPI</v>
      </c>
      <c r="G123" s="322" t="str">
        <f>VLOOKUP('OPX_BN+1'!$A123,Tableau106[],7,FALSE)</f>
        <v>GROUPE</v>
      </c>
      <c r="H123" s="322" t="str">
        <f>VLOOKUP('OPX_BN+1'!$A123,Tableau106[],6,FALSE)</f>
        <v>S</v>
      </c>
      <c r="I123" s="372" t="str">
        <f>VLOOKUP(Tableau17[[#This Row],[OPEX VARIABLES en €
BN 2024]],Tableau106[],9,FALSE)</f>
        <v>SaH</v>
      </c>
      <c r="J123" s="360">
        <v>0</v>
      </c>
      <c r="K123" s="228">
        <v>-2000</v>
      </c>
      <c r="L123" s="228"/>
      <c r="M123" s="229">
        <v>0</v>
      </c>
      <c r="N123" s="229">
        <v>0</v>
      </c>
      <c r="O123" s="229">
        <v>0</v>
      </c>
      <c r="P123" s="229">
        <v>0</v>
      </c>
      <c r="Q123" s="229">
        <f>-250*'OPX_BN+1'!$E123</f>
        <v>-2025</v>
      </c>
      <c r="R123" s="274">
        <f>SUM('OPX_BN+1'!$K123:$Q123)</f>
        <v>-4025</v>
      </c>
      <c r="S123" s="337">
        <f>VLOOKUP(Tableau17[[#This Row],[CODE PI]],Tableau16[[CODE PI]:[(mesures compensatoires du PC ou autres)]],14,FALSE)*(1+$B$1)</f>
        <v>0</v>
      </c>
      <c r="T123" s="423">
        <v>0</v>
      </c>
      <c r="U123" s="341">
        <v>0</v>
      </c>
      <c r="V123" s="423">
        <v>0</v>
      </c>
      <c r="W123" s="423">
        <v>0</v>
      </c>
      <c r="X123" s="423">
        <v>0</v>
      </c>
      <c r="Y123" s="423">
        <v>0</v>
      </c>
      <c r="Z123" s="264">
        <f>-250*Tableau17[[#This Row],[MW]]</f>
        <v>-2025</v>
      </c>
      <c r="AA123" s="423"/>
      <c r="AB123" s="273">
        <f>SUM('OPX_BN+1'!$T123:$AA123)</f>
        <v>-2025</v>
      </c>
      <c r="AC123" s="426"/>
      <c r="AD123" s="426"/>
      <c r="AE123" s="417">
        <v>0</v>
      </c>
      <c r="AF123" s="417">
        <v>0</v>
      </c>
      <c r="AG123" s="417">
        <v>0</v>
      </c>
      <c r="AH123" s="417">
        <v>0</v>
      </c>
      <c r="AI123" s="417">
        <v>0</v>
      </c>
      <c r="AJ123" s="371">
        <f>SUM('OPX_BN+1'!$AC123:$AI123)</f>
        <v>0</v>
      </c>
      <c r="AK123" s="424"/>
      <c r="AL123" s="276">
        <f>SUM('OPX_BN+1'!$J123,'OPX_BN+1'!$AB123,'OPX_BN+1'!$S123,'OPX_BN+1'!$AJ123,'OPX_BN+1'!$R123,'OPX_BN+1'!$AK123)</f>
        <v>-6050</v>
      </c>
      <c r="AM123" s="427"/>
    </row>
    <row r="124" spans="1:39" ht="15">
      <c r="A124" s="325" t="s">
        <v>658</v>
      </c>
      <c r="B124" s="330" t="str">
        <f>VLOOKUP('OPX_BN+1'!$A124,Tableau106[],3,FALSE)</f>
        <v>A044</v>
      </c>
      <c r="C124" s="330" t="str">
        <f>VLOOKUP('OPX_BN+1'!$A124,Tableau106[],2,FALSE)</f>
        <v>FR34E99E</v>
      </c>
      <c r="D124" s="330" t="str">
        <f>VLOOKUP('OPX_BN+1'!$A124,Tableau106[],8,FALSE)</f>
        <v>EOLIEN</v>
      </c>
      <c r="E124" s="331">
        <f>VLOOKUP('OPX_BN+1'!$A124,Tableau106[],4,FALSE)</f>
        <v>20.7</v>
      </c>
      <c r="F124" s="330" t="str">
        <f>VLOOKUP('OPX_BN+1'!$A124,Tableau106[],5,FALSE)</f>
        <v>OUP2</v>
      </c>
      <c r="G124" s="330" t="str">
        <f>VLOOKUP('OPX_BN+1'!$A124,Tableau106[],7,FALSE)</f>
        <v>GROUPE</v>
      </c>
      <c r="H124" s="330" t="str">
        <f>VLOOKUP('OPX_BN+1'!$A124,Tableau106[],6,FALSE)</f>
        <v>S</v>
      </c>
      <c r="I124" s="372" t="str">
        <f>VLOOKUP(Tableau17[[#This Row],[OPEX VARIABLES en €
BN 2024]],Tableau106[],9,FALSE)</f>
        <v>SaH</v>
      </c>
      <c r="J124" s="360">
        <v>-12000</v>
      </c>
      <c r="K124" s="228">
        <v>-2000</v>
      </c>
      <c r="L124" s="228"/>
      <c r="M124" s="229"/>
      <c r="N124" s="229"/>
      <c r="O124" s="229"/>
      <c r="P124" s="229">
        <f>-440*20.7-5000</f>
        <v>-14108</v>
      </c>
      <c r="Q124" s="229">
        <f>-250*'OPX_BN+1'!$E124</f>
        <v>-5175</v>
      </c>
      <c r="R124" s="274">
        <f>SUM('OPX_BN+1'!$K124:$Q124)</f>
        <v>-21283</v>
      </c>
      <c r="S124" s="388">
        <f>-39360*9*1.04</f>
        <v>-368409.60000000003</v>
      </c>
      <c r="T124" s="438"/>
      <c r="U124" s="389"/>
      <c r="V124" s="438"/>
      <c r="W124" s="438">
        <f>-1300*9</f>
        <v>-11700</v>
      </c>
      <c r="X124" s="438"/>
      <c r="Y124" s="438">
        <v>-5000</v>
      </c>
      <c r="Z124" s="264">
        <f>-250*Tableau17[[#This Row],[MW]]</f>
        <v>-5175</v>
      </c>
      <c r="AA124" s="434"/>
      <c r="AB124" s="391">
        <f>SUM('OPX_BN+1'!$T124:$AA124)</f>
        <v>-21875</v>
      </c>
      <c r="AC124" s="439">
        <f>-45000</f>
        <v>-45000</v>
      </c>
      <c r="AD124" s="426">
        <f>-3000*1.025</f>
        <v>-3074.9999999999995</v>
      </c>
      <c r="AE124" s="417">
        <v>-27000</v>
      </c>
      <c r="AF124" s="417">
        <v>-40000</v>
      </c>
      <c r="AG124" s="417">
        <v>-80000</v>
      </c>
      <c r="AH124" s="417">
        <v>-2500</v>
      </c>
      <c r="AI124" s="417">
        <v>-8000</v>
      </c>
      <c r="AJ124" s="371">
        <f>SUM('OPX_BN+1'!$AC124:$AI124)</f>
        <v>-205575</v>
      </c>
      <c r="AK124" s="429"/>
      <c r="AL124" s="276">
        <f>SUM('OPX_BN+1'!$J124,'OPX_BN+1'!$AB124,'OPX_BN+1'!$S124,'OPX_BN+1'!$AJ124,'OPX_BN+1'!$R124,'OPX_BN+1'!$AK124)</f>
        <v>-629142.60000000009</v>
      </c>
      <c r="AM124" s="430"/>
    </row>
    <row r="125" spans="1:39" ht="15">
      <c r="A125" s="244" t="s">
        <v>492</v>
      </c>
      <c r="B125" s="320" t="str">
        <f>VLOOKUP('OPX_BN+1'!$A125,Tableau106[],3,FALSE)</f>
        <v>A540</v>
      </c>
      <c r="C125" s="320" t="str">
        <f>VLOOKUP('OPX_BN+1'!$A125,Tableau106[],2,FALSE)</f>
        <v>FR79E01E</v>
      </c>
      <c r="D125" s="320" t="str">
        <f>VLOOKUP('OPX_BN+1'!$A125,Tableau106[],8,FALSE)</f>
        <v>EOLIEN</v>
      </c>
      <c r="E125" s="321">
        <f>VLOOKUP('OPX_BN+1'!$A125,Tableau106[],4,FALSE)</f>
        <v>12</v>
      </c>
      <c r="F125" s="322" t="str">
        <f>VLOOKUP('OPX_BN+1'!$A125,Tableau106[],5,FALSE)</f>
        <v>PAMP</v>
      </c>
      <c r="G125" s="322" t="str">
        <f>VLOOKUP('OPX_BN+1'!$A125,Tableau106[],7,FALSE)</f>
        <v>EGM</v>
      </c>
      <c r="H125" s="322" t="str">
        <f>VLOOKUP('OPX_BN+1'!$A125,Tableau106[],6,FALSE)</f>
        <v>N</v>
      </c>
      <c r="I125" s="372" t="str">
        <f>VLOOKUP(Tableau17[[#This Row],[OPEX VARIABLES en €
BN 2024]],Tableau106[],9,FALSE)</f>
        <v>DeN</v>
      </c>
      <c r="J125" s="360">
        <f>VLOOKUP(Tableau17[[#This Row],[CODE PI]],Tableau16[[CODE PI]:[(mesures compensatoires du PC ou autres)]],5,FALSE)*(1+$B$1)</f>
        <v>-264576.07499999995</v>
      </c>
      <c r="K125" s="228">
        <v>-150000</v>
      </c>
      <c r="L125" s="228"/>
      <c r="M125" s="229">
        <v>0</v>
      </c>
      <c r="N125" s="229">
        <v>0</v>
      </c>
      <c r="O125" s="229">
        <v>0</v>
      </c>
      <c r="P125" s="229">
        <v>-4200</v>
      </c>
      <c r="Q125" s="229">
        <f>-250*'OPX_BN+1'!$E125</f>
        <v>-3000</v>
      </c>
      <c r="R125" s="274">
        <f>SUM('OPX_BN+1'!$K125:$Q125)</f>
        <v>-157200</v>
      </c>
      <c r="S125" s="337">
        <f>VLOOKUP(Tableau17[[#This Row],[CODE PI]],Tableau16[[CODE PI]:[(mesures compensatoires du PC ou autres)]],14,FALSE)*(1+$B$1)</f>
        <v>0</v>
      </c>
      <c r="T125" s="423">
        <v>0</v>
      </c>
      <c r="U125" s="341">
        <v>0</v>
      </c>
      <c r="V125" s="423">
        <v>-2000</v>
      </c>
      <c r="W125" s="423">
        <v>0</v>
      </c>
      <c r="X125" s="423">
        <v>0</v>
      </c>
      <c r="Y125" s="423">
        <v>0</v>
      </c>
      <c r="Z125" s="264">
        <f>-250*Tableau17[[#This Row],[MW]]</f>
        <v>-3000</v>
      </c>
      <c r="AA125" s="423"/>
      <c r="AB125" s="273">
        <f>SUM('OPX_BN+1'!$T125:$AA125)</f>
        <v>-5000</v>
      </c>
      <c r="AC125" s="426"/>
      <c r="AD125" s="426"/>
      <c r="AE125" s="417">
        <v>-5000</v>
      </c>
      <c r="AF125" s="417">
        <v>0</v>
      </c>
      <c r="AG125" s="417">
        <v>0</v>
      </c>
      <c r="AH125" s="417">
        <v>0</v>
      </c>
      <c r="AI125" s="417">
        <v>-6652</v>
      </c>
      <c r="AJ125" s="371">
        <f>SUM('OPX_BN+1'!$AC125:$AI125)</f>
        <v>-11652</v>
      </c>
      <c r="AK125" s="424"/>
      <c r="AL125" s="276">
        <f>SUM('OPX_BN+1'!$J125,'OPX_BN+1'!$AB125,'OPX_BN+1'!$S125,'OPX_BN+1'!$AJ125,'OPX_BN+1'!$R125,'OPX_BN+1'!$AK125)</f>
        <v>-438428.07499999995</v>
      </c>
      <c r="AM125" s="427"/>
    </row>
    <row r="126" spans="1:39" ht="15">
      <c r="A126" s="325" t="s">
        <v>534</v>
      </c>
      <c r="B126" s="320" t="str">
        <f>VLOOKUP('OPX_BN+1'!$A126,Tableau106[],3,FALSE)</f>
        <v>A418</v>
      </c>
      <c r="C126" s="320" t="str">
        <f>VLOOKUP('OPX_BN+1'!$A126,Tableau106[],2,FALSE)</f>
        <v>FR51E08E</v>
      </c>
      <c r="D126" s="320" t="str">
        <f>VLOOKUP('OPX_BN+1'!$A126,Tableau106[],8,FALSE)</f>
        <v>EOLIEN</v>
      </c>
      <c r="E126" s="321">
        <f>VLOOKUP('OPX_BN+1'!$A126,Tableau106[],4,FALSE)</f>
        <v>21.6</v>
      </c>
      <c r="F126" s="322" t="str">
        <f>VLOOKUP('OPX_BN+1'!$A126,Tableau106[],5,FALSE)</f>
        <v>PAAN</v>
      </c>
      <c r="G126" s="322" t="str">
        <f>VLOOKUP('OPX_BN+1'!$A126,Tableau106[],7,FALSE)</f>
        <v>GROUPE</v>
      </c>
      <c r="H126" s="322" t="str">
        <f>VLOOKUP('OPX_BN+1'!$A126,Tableau106[],6,FALSE)</f>
        <v>N</v>
      </c>
      <c r="I126" s="372" t="str">
        <f>VLOOKUP(Tableau17[[#This Row],[OPEX VARIABLES en €
BN 2024]],Tableau106[],9,FALSE)</f>
        <v>AlY</v>
      </c>
      <c r="J126" s="381">
        <f>VLOOKUP(Tableau17[[#This Row],[CODE PI]],Tableau16[[CODE PI]:[(mesures compensatoires du PC ou autres)]],5,FALSE)*(1+$B$1)</f>
        <v>-321361.02980775002</v>
      </c>
      <c r="K126" s="228">
        <v>-5640</v>
      </c>
      <c r="L126" s="228"/>
      <c r="M126" s="229">
        <v>0</v>
      </c>
      <c r="N126" s="229">
        <v>0</v>
      </c>
      <c r="O126" s="229">
        <v>0</v>
      </c>
      <c r="P126" s="229">
        <f>-440*Tableau17[[#This Row],[MW]]</f>
        <v>-9504</v>
      </c>
      <c r="Q126" s="229">
        <f>-250*'OPX_BN+1'!$E126</f>
        <v>-5400</v>
      </c>
      <c r="R126" s="274">
        <f>SUM('OPX_BN+1'!$K126:$Q126)</f>
        <v>-20544</v>
      </c>
      <c r="S126" s="337">
        <f>VLOOKUP(Tableau17[[#This Row],[CODE PI]],Tableau16[[CODE PI]:[(mesures compensatoires du PC ou autres)]],14,FALSE)*(1+$B$1)</f>
        <v>0</v>
      </c>
      <c r="T126" s="384">
        <f>-15000*6+30000-60000</f>
        <v>-120000</v>
      </c>
      <c r="U126" s="341">
        <v>0</v>
      </c>
      <c r="V126" s="379">
        <v>-500</v>
      </c>
      <c r="W126" s="423">
        <v>0</v>
      </c>
      <c r="X126" s="423">
        <v>0</v>
      </c>
      <c r="Y126" s="423">
        <v>0</v>
      </c>
      <c r="Z126" s="264">
        <f>-250*Tableau17[[#This Row],[MW]]</f>
        <v>-5400</v>
      </c>
      <c r="AA126" s="423"/>
      <c r="AB126" s="273">
        <f>SUM('OPX_BN+1'!$T126:$AA126)</f>
        <v>-125900</v>
      </c>
      <c r="AC126" s="426"/>
      <c r="AD126" s="426">
        <f t="shared" ref="AD126:AD137" si="3">-4924*1.025</f>
        <v>-5047.0999999999995</v>
      </c>
      <c r="AE126" s="417">
        <v>0</v>
      </c>
      <c r="AF126" s="417">
        <v>0</v>
      </c>
      <c r="AG126" s="417">
        <v>0</v>
      </c>
      <c r="AH126" s="417">
        <v>0</v>
      </c>
      <c r="AI126" s="417">
        <v>-12960</v>
      </c>
      <c r="AJ126" s="371">
        <f>SUM('OPX_BN+1'!$AC126:$AI126)</f>
        <v>-18007.099999999999</v>
      </c>
      <c r="AK126" s="424"/>
      <c r="AL126" s="276">
        <f>SUM('OPX_BN+1'!$J126,'OPX_BN+1'!$AB126,'OPX_BN+1'!$S126,'OPX_BN+1'!$AJ126,'OPX_BN+1'!$R126,'OPX_BN+1'!$AK126)</f>
        <v>-485812.12980775</v>
      </c>
      <c r="AM126" s="427"/>
    </row>
    <row r="127" spans="1:39" ht="15">
      <c r="A127" s="244" t="s">
        <v>559</v>
      </c>
      <c r="B127" s="320" t="str">
        <f>VLOOKUP('OPX_BN+1'!$A127,Tableau106[],3,FALSE)</f>
        <v>A960</v>
      </c>
      <c r="C127" s="320" t="str">
        <f>VLOOKUP('OPX_BN+1'!$A127,Tableau106[],2,FALSE)</f>
        <v>FRD1E01E</v>
      </c>
      <c r="D127" s="320" t="str">
        <f>VLOOKUP('OPX_BN+1'!$A127,Tableau106[],8,FALSE)</f>
        <v>EOLIEN DOM</v>
      </c>
      <c r="E127" s="321">
        <f>VLOOKUP('OPX_BN+1'!$A127,Tableau106[],4,FALSE)</f>
        <v>9</v>
      </c>
      <c r="F127" s="322" t="str">
        <f>VLOOKUP('OPX_BN+1'!$A127,Tableau106[],5,FALSE)</f>
        <v>PCR1</v>
      </c>
      <c r="G127" s="322" t="str">
        <f>VLOOKUP('OPX_BN+1'!$A127,Tableau106[],7,FALSE)</f>
        <v>GROUPE</v>
      </c>
      <c r="H127" s="322" t="str">
        <f>VLOOKUP('OPX_BN+1'!$A127,Tableau106[],6,FALSE)</f>
        <v>DOM</v>
      </c>
      <c r="I127" s="372" t="str">
        <f>VLOOKUP(Tableau17[[#This Row],[OPEX VARIABLES en €
BN 2024]],Tableau106[],9,FALSE)</f>
        <v>DoJ</v>
      </c>
      <c r="J127" s="360">
        <f>VLOOKUP(Tableau17[[#This Row],[CODE PI]],Tableau16[[CODE PI]:[(mesures compensatoires du PC ou autres)]],5,FALSE)*(1+$B$1)</f>
        <v>0</v>
      </c>
      <c r="K127" s="228">
        <v>0</v>
      </c>
      <c r="L127" s="228"/>
      <c r="M127" s="229">
        <v>0</v>
      </c>
      <c r="N127" s="229">
        <v>0</v>
      </c>
      <c r="O127" s="229">
        <v>0</v>
      </c>
      <c r="P127" s="229">
        <v>0</v>
      </c>
      <c r="Q127" s="229">
        <f>-250*'OPX_BN+1'!$E127</f>
        <v>-2250</v>
      </c>
      <c r="R127" s="274">
        <f>SUM('OPX_BN+1'!$K127:$Q127)</f>
        <v>-2250</v>
      </c>
      <c r="S127" s="337">
        <f>VLOOKUP(Tableau17[[#This Row],[CODE PI]],Tableau16[[CODE PI]:[(mesures compensatoires du PC ou autres)]],14,FALSE)*(1+$B$1)</f>
        <v>-409193.32499999995</v>
      </c>
      <c r="T127" s="361">
        <v>-40000</v>
      </c>
      <c r="U127" s="341">
        <v>0</v>
      </c>
      <c r="V127" s="423">
        <v>-30000</v>
      </c>
      <c r="W127" s="423">
        <v>-7000</v>
      </c>
      <c r="X127" s="423">
        <v>-20000</v>
      </c>
      <c r="Y127" s="423">
        <v>0</v>
      </c>
      <c r="Z127" s="264">
        <f>-250*Tableau17[[#This Row],[MW]]</f>
        <v>-2250</v>
      </c>
      <c r="AA127" s="423">
        <f>-3819887*0.002</f>
        <v>-7639.7740000000003</v>
      </c>
      <c r="AB127" s="273">
        <f>SUM('OPX_BN+1'!$T127:$AA127)</f>
        <v>-106889.774</v>
      </c>
      <c r="AC127" s="426"/>
      <c r="AD127" s="426">
        <f t="shared" si="3"/>
        <v>-5047.0999999999995</v>
      </c>
      <c r="AE127" s="417">
        <v>0</v>
      </c>
      <c r="AF127" s="417">
        <v>0</v>
      </c>
      <c r="AG127" s="417">
        <v>0</v>
      </c>
      <c r="AH127" s="417">
        <v>0</v>
      </c>
      <c r="AI127" s="417">
        <v>-5000</v>
      </c>
      <c r="AJ127" s="371">
        <f>SUM('OPX_BN+1'!$AC127:$AI127)</f>
        <v>-10047.099999999999</v>
      </c>
      <c r="AK127" s="424"/>
      <c r="AL127" s="276">
        <f>SUM('OPX_BN+1'!$J127,'OPX_BN+1'!$AB127,'OPX_BN+1'!$S127,'OPX_BN+1'!$AJ127,'OPX_BN+1'!$R127,'OPX_BN+1'!$AK127)</f>
        <v>-528380.19899999991</v>
      </c>
      <c r="AM127" s="427"/>
    </row>
    <row r="128" spans="1:39" ht="15">
      <c r="A128" s="325" t="s">
        <v>595</v>
      </c>
      <c r="B128" s="320" t="str">
        <f>VLOOKUP('OPX_BN+1'!$A128,Tableau106[],3,FALSE)</f>
        <v>A935</v>
      </c>
      <c r="C128" s="320" t="str">
        <f>VLOOKUP('OPX_BN+1'!$A128,Tableau106[],2,FALSE)</f>
        <v>FR34E84E</v>
      </c>
      <c r="D128" s="320" t="str">
        <f>VLOOKUP('OPX_BN+1'!$A128,Tableau106[],8,FALSE)</f>
        <v>EOLIEN</v>
      </c>
      <c r="E128" s="321">
        <f>VLOOKUP('OPX_BN+1'!$A128,Tableau106[],4,FALSE)</f>
        <v>6</v>
      </c>
      <c r="F128" s="322" t="str">
        <f>VLOOKUP('OPX_BN+1'!$A128,Tableau106[],5,FALSE)</f>
        <v>PEMO</v>
      </c>
      <c r="G128" s="322" t="str">
        <f>VLOOKUP('OPX_BN+1'!$A128,Tableau106[],7,FALSE)</f>
        <v>FUTUREN</v>
      </c>
      <c r="H128" s="322" t="str">
        <f>VLOOKUP('OPX_BN+1'!$A128,Tableau106[],6,FALSE)</f>
        <v>S</v>
      </c>
      <c r="I128" s="372" t="str">
        <f>VLOOKUP(Tableau17[[#This Row],[OPEX VARIABLES en €
BN 2024]],Tableau106[],9,FALSE)</f>
        <v>KéD</v>
      </c>
      <c r="J128" s="360">
        <f>VLOOKUP(Tableau17[[#This Row],[CODE PI]],Tableau16[[CODE PI]:[(mesures compensatoires du PC ou autres)]],5,FALSE)*(1+$B$1)</f>
        <v>-193787.52499999999</v>
      </c>
      <c r="K128" s="228">
        <v>-26090.000000000004</v>
      </c>
      <c r="L128" s="228"/>
      <c r="M128" s="229">
        <v>0</v>
      </c>
      <c r="N128" s="229">
        <v>0</v>
      </c>
      <c r="O128" s="229">
        <v>0</v>
      </c>
      <c r="P128" s="229">
        <f>-2100-5000</f>
        <v>-7100</v>
      </c>
      <c r="Q128" s="229">
        <f>-250*'OPX_BN+1'!$E128</f>
        <v>-1500</v>
      </c>
      <c r="R128" s="274">
        <f>SUM('OPX_BN+1'!$K128:$Q128)</f>
        <v>-34690</v>
      </c>
      <c r="S128" s="337">
        <f>VLOOKUP(Tableau17[[#This Row],[CODE PI]],Tableau16[[CODE PI]:[(mesures compensatoires du PC ou autres)]],14,FALSE)*(1+$B$1)</f>
        <v>0</v>
      </c>
      <c r="T128" s="423">
        <v>0</v>
      </c>
      <c r="U128" s="341">
        <v>0</v>
      </c>
      <c r="V128" s="423">
        <v>-7500</v>
      </c>
      <c r="W128" s="423">
        <v>0</v>
      </c>
      <c r="X128" s="423">
        <v>-3000</v>
      </c>
      <c r="Y128" s="423">
        <v>0</v>
      </c>
      <c r="Z128" s="264">
        <f>-250*Tableau17[[#This Row],[MW]]</f>
        <v>-1500</v>
      </c>
      <c r="AA128" s="423"/>
      <c r="AB128" s="273">
        <f>SUM('OPX_BN+1'!$T128:$AA128)</f>
        <v>-12000</v>
      </c>
      <c r="AC128" s="426">
        <f>-((6184*3)+1500)</f>
        <v>-20052</v>
      </c>
      <c r="AD128" s="426"/>
      <c r="AE128" s="417">
        <v>-2190</v>
      </c>
      <c r="AF128" s="417">
        <v>0</v>
      </c>
      <c r="AG128" s="417">
        <v>-15200</v>
      </c>
      <c r="AH128" s="417"/>
      <c r="AI128" s="417">
        <v>0</v>
      </c>
      <c r="AJ128" s="371">
        <f>SUM('OPX_BN+1'!$AC128:$AI128)</f>
        <v>-37442</v>
      </c>
      <c r="AK128" s="424"/>
      <c r="AL128" s="276">
        <f>SUM('OPX_BN+1'!$J128,'OPX_BN+1'!$AB128,'OPX_BN+1'!$S128,'OPX_BN+1'!$AJ128,'OPX_BN+1'!$R128,'OPX_BN+1'!$AK128)</f>
        <v>-277919.52500000002</v>
      </c>
      <c r="AM128" s="427"/>
    </row>
    <row r="129" spans="1:39" ht="15">
      <c r="A129" s="325" t="s">
        <v>562</v>
      </c>
      <c r="B129" s="320" t="str">
        <f>VLOOKUP('OPX_BN+1'!$A129,Tableau106[],3,FALSE)</f>
        <v>A166</v>
      </c>
      <c r="C129" s="320" t="str">
        <f>VLOOKUP('OPX_BN+1'!$A129,Tableau106[],2,FALSE)</f>
        <v>FR97S86E</v>
      </c>
      <c r="D129" s="320" t="str">
        <f>VLOOKUP('OPX_BN+1'!$A129,Tableau106[],8,FALSE)</f>
        <v>SOLAIRE DOM</v>
      </c>
      <c r="E129" s="321">
        <f>VLOOKUP('OPX_BN+1'!$A129,Tableau106[],4,FALSE)</f>
        <v>3.456</v>
      </c>
      <c r="F129" s="322" t="str">
        <f>VLOOKUP('OPX_BN+1'!$A129,Tableau106[],5,FALSE)</f>
        <v>PIER</v>
      </c>
      <c r="G129" s="322" t="str">
        <f>VLOOKUP('OPX_BN+1'!$A129,Tableau106[],7,FALSE)</f>
        <v>GROUPE</v>
      </c>
      <c r="H129" s="322" t="str">
        <f>VLOOKUP('OPX_BN+1'!$A129,Tableau106[],6,FALSE)</f>
        <v>DOM</v>
      </c>
      <c r="I129" s="372" t="str">
        <f>VLOOKUP(Tableau17[[#This Row],[OPEX VARIABLES en €
BN 2024]],Tableau106[],9,FALSE)</f>
        <v>BéK</v>
      </c>
      <c r="J129" s="360">
        <f>VLOOKUP(Tableau17[[#This Row],[CODE PI]],Tableau16[[CODE PI]:[(mesures compensatoires du PC ou autres)]],5,FALSE)*(1+$B$1)</f>
        <v>0</v>
      </c>
      <c r="K129" s="228">
        <v>0</v>
      </c>
      <c r="L129" s="228"/>
      <c r="M129" s="229">
        <v>0</v>
      </c>
      <c r="N129" s="229">
        <v>0</v>
      </c>
      <c r="O129" s="229">
        <v>0</v>
      </c>
      <c r="P129" s="229">
        <v>0</v>
      </c>
      <c r="Q129" s="229">
        <f>-250*'OPX_BN+1'!$E129</f>
        <v>-864</v>
      </c>
      <c r="R129" s="274">
        <f>SUM('OPX_BN+1'!$K129:$Q129)</f>
        <v>-864</v>
      </c>
      <c r="S129" s="337">
        <f>VLOOKUP(Tableau17[[#This Row],[CODE PI]],Tableau16[[CODE PI]:[(mesures compensatoires du PC ou autres)]],14,FALSE)*(1+$B$1)</f>
        <v>-235054.02499999997</v>
      </c>
      <c r="T129" s="423">
        <v>0</v>
      </c>
      <c r="U129" s="341">
        <v>0</v>
      </c>
      <c r="V129" s="423">
        <v>-4000</v>
      </c>
      <c r="W129" s="423"/>
      <c r="X129" s="423"/>
      <c r="Y129" s="423"/>
      <c r="Z129" s="264">
        <f>-250*Tableau17[[#This Row],[MW]]</f>
        <v>-864</v>
      </c>
      <c r="AA129" s="423">
        <v>-5800</v>
      </c>
      <c r="AB129" s="273">
        <f>SUM('OPX_BN+1'!$T129:$AA129)</f>
        <v>-10664</v>
      </c>
      <c r="AC129" s="426"/>
      <c r="AD129" s="426"/>
      <c r="AE129" s="417">
        <v>0</v>
      </c>
      <c r="AF129" s="417">
        <v>0</v>
      </c>
      <c r="AG129" s="417">
        <v>0</v>
      </c>
      <c r="AH129" s="417">
        <v>0</v>
      </c>
      <c r="AI129" s="417">
        <v>0</v>
      </c>
      <c r="AJ129" s="371">
        <f>SUM('OPX_BN+1'!$AC129:$AI129)</f>
        <v>0</v>
      </c>
      <c r="AK129" s="424"/>
      <c r="AL129" s="276">
        <f>SUM('OPX_BN+1'!$J129,'OPX_BN+1'!$AB129,'OPX_BN+1'!$S129,'OPX_BN+1'!$AJ129,'OPX_BN+1'!$R129,'OPX_BN+1'!$AK129)</f>
        <v>-246582.02499999997</v>
      </c>
      <c r="AM129" s="427"/>
    </row>
    <row r="130" spans="1:39" ht="15">
      <c r="A130" s="325" t="s">
        <v>556</v>
      </c>
      <c r="B130" s="320" t="str">
        <f>VLOOKUP('OPX_BN+1'!$A130,Tableau106[],3,FALSE)</f>
        <v>A160</v>
      </c>
      <c r="C130" s="320" t="str">
        <f>VLOOKUP('OPX_BN+1'!$A130,Tableau106[],2,FALSE)</f>
        <v>FR11E85E</v>
      </c>
      <c r="D130" s="320" t="str">
        <f>VLOOKUP('OPX_BN+1'!$A130,Tableau106[],8,FALSE)</f>
        <v>EOLIEN</v>
      </c>
      <c r="E130" s="321">
        <f>VLOOKUP('OPX_BN+1'!$A130,Tableau106[],4,FALSE)</f>
        <v>11.5</v>
      </c>
      <c r="F130" s="322" t="str">
        <f>VLOOKUP('OPX_BN+1'!$A130,Tableau106[],5,FALSE)</f>
        <v>LUC2</v>
      </c>
      <c r="G130" s="322" t="str">
        <f>VLOOKUP('OPX_BN+1'!$A130,Tableau106[],7,FALSE)</f>
        <v>FUTUREN</v>
      </c>
      <c r="H130" s="322" t="str">
        <f>VLOOKUP('OPX_BN+1'!$A130,Tableau106[],6,FALSE)</f>
        <v>S</v>
      </c>
      <c r="I130" s="372" t="str">
        <f>VLOOKUP(Tableau17[[#This Row],[OPEX VARIABLES en €
BN 2024]],Tableau106[],9,FALSE)</f>
        <v>StE</v>
      </c>
      <c r="J130" s="360">
        <v>-14490</v>
      </c>
      <c r="K130" s="228">
        <v>-2090</v>
      </c>
      <c r="L130" s="228"/>
      <c r="M130" s="229">
        <v>0</v>
      </c>
      <c r="N130" s="229">
        <v>0</v>
      </c>
      <c r="O130" s="229">
        <v>0</v>
      </c>
      <c r="P130" s="229">
        <v>-5060</v>
      </c>
      <c r="Q130" s="394">
        <f>-250*'OPX_BN+1'!$E130</f>
        <v>-2875</v>
      </c>
      <c r="R130" s="274">
        <f>SUM('OPX_BN+1'!$K130:$Q130)</f>
        <v>-10025</v>
      </c>
      <c r="S130" s="337">
        <f>VLOOKUP(Tableau17[[#This Row],[CODE PI]],Tableau16[[CODE PI]:[(mesures compensatoires du PC ou autres)]],14,FALSE)*(1+$B$1)</f>
        <v>-386941.6</v>
      </c>
      <c r="T130" s="423">
        <v>0</v>
      </c>
      <c r="U130" s="341">
        <v>0</v>
      </c>
      <c r="V130" s="423">
        <v>-5000</v>
      </c>
      <c r="W130" s="423">
        <v>-6000</v>
      </c>
      <c r="X130" s="423">
        <v>-1000</v>
      </c>
      <c r="Y130" s="423">
        <v>0</v>
      </c>
      <c r="Z130" s="264">
        <f>-250*Tableau17[[#This Row],[MW]]</f>
        <v>-2875</v>
      </c>
      <c r="AA130" s="423">
        <v>-5000</v>
      </c>
      <c r="AB130" s="273">
        <f>SUM('OPX_BN+1'!$T130:$AA130)</f>
        <v>-19875</v>
      </c>
      <c r="AC130" s="426"/>
      <c r="AD130" s="426">
        <f t="shared" si="3"/>
        <v>-5047.0999999999995</v>
      </c>
      <c r="AE130" s="417">
        <v>0</v>
      </c>
      <c r="AF130" s="417">
        <v>0</v>
      </c>
      <c r="AG130" s="417">
        <v>0</v>
      </c>
      <c r="AH130" s="417">
        <v>0</v>
      </c>
      <c r="AI130" s="417">
        <v>-3500</v>
      </c>
      <c r="AJ130" s="371">
        <f>SUM('OPX_BN+1'!$AC130:$AI130)</f>
        <v>-8547.0999999999985</v>
      </c>
      <c r="AK130" s="424"/>
      <c r="AL130" s="276">
        <f>SUM('OPX_BN+1'!$J130,'OPX_BN+1'!$AB130,'OPX_BN+1'!$S130,'OPX_BN+1'!$AJ130,'OPX_BN+1'!$R130,'OPX_BN+1'!$AK130)</f>
        <v>-439878.69999999995</v>
      </c>
      <c r="AM130" s="427"/>
    </row>
    <row r="131" spans="1:39" ht="15">
      <c r="A131" s="244" t="s">
        <v>512</v>
      </c>
      <c r="B131" s="320" t="str">
        <f>VLOOKUP('OPX_BN+1'!$A131,Tableau106[],3,FALSE)</f>
        <v>A551</v>
      </c>
      <c r="C131" s="320" t="str">
        <f>VLOOKUP('OPX_BN+1'!$A131,Tableau106[],2,FALSE)</f>
        <v>FR59E02E</v>
      </c>
      <c r="D131" s="320" t="str">
        <f>VLOOKUP('OPX_BN+1'!$A131,Tableau106[],8,FALSE)</f>
        <v>EOLIEN</v>
      </c>
      <c r="E131" s="321">
        <f>VLOOKUP('OPX_BN+1'!$A131,Tableau106[],4,FALSE)</f>
        <v>12</v>
      </c>
      <c r="F131" s="322" t="str">
        <f>VLOOKUP('OPX_BN+1'!$A131,Tableau106[],5,FALSE)</f>
        <v>PLES</v>
      </c>
      <c r="G131" s="322" t="str">
        <f>VLOOKUP('OPX_BN+1'!$A131,Tableau106[],7,FALSE)</f>
        <v>ENDF</v>
      </c>
      <c r="H131" s="322" t="str">
        <f>VLOOKUP('OPX_BN+1'!$A131,Tableau106[],6,FALSE)</f>
        <v>N</v>
      </c>
      <c r="I131" s="372" t="str">
        <f>VLOOKUP(Tableau17[[#This Row],[OPEX VARIABLES en €
BN 2024]],Tableau106[],9,FALSE)</f>
        <v>AnN</v>
      </c>
      <c r="J131" s="360">
        <f>VLOOKUP(Tableau17[[#This Row],[CODE PI]],Tableau16[[CODE PI]:[(mesures compensatoires du PC ou autres)]],5,FALSE)*(1+$B$1)</f>
        <v>0</v>
      </c>
      <c r="K131" s="228">
        <v>0</v>
      </c>
      <c r="L131" s="228"/>
      <c r="M131" s="229">
        <v>0</v>
      </c>
      <c r="N131" s="229">
        <v>0</v>
      </c>
      <c r="O131" s="229">
        <v>0</v>
      </c>
      <c r="P131" s="229">
        <v>0</v>
      </c>
      <c r="Q131" s="229">
        <f>-250*'OPX_BN+1'!$E131</f>
        <v>-3000</v>
      </c>
      <c r="R131" s="274">
        <f>SUM('OPX_BN+1'!$K131:$Q131)</f>
        <v>-3000</v>
      </c>
      <c r="S131" s="337">
        <f>VLOOKUP(Tableau17[[#This Row],[CODE PI]],Tableau16[[CODE PI]:[(mesures compensatoires du PC ou autres)]],14,FALSE)*(1+$B$1)</f>
        <v>-393853.17499999999</v>
      </c>
      <c r="T131" s="423">
        <v>-1500</v>
      </c>
      <c r="U131" s="341">
        <v>0</v>
      </c>
      <c r="V131" s="423">
        <v>-3932</v>
      </c>
      <c r="W131" s="423">
        <v>-2400</v>
      </c>
      <c r="X131" s="423">
        <v>0</v>
      </c>
      <c r="Y131" s="423">
        <v>-717</v>
      </c>
      <c r="Z131" s="264">
        <f>-250*Tableau17[[#This Row],[MW]]</f>
        <v>-3000</v>
      </c>
      <c r="AA131" s="423"/>
      <c r="AB131" s="273">
        <f>SUM('OPX_BN+1'!$T131:$AA131)</f>
        <v>-11549</v>
      </c>
      <c r="AC131" s="426"/>
      <c r="AD131" s="426"/>
      <c r="AE131" s="417">
        <v>0</v>
      </c>
      <c r="AF131" s="417">
        <v>-10000</v>
      </c>
      <c r="AG131" s="417">
        <v>-40000</v>
      </c>
      <c r="AH131" s="417">
        <v>0</v>
      </c>
      <c r="AI131" s="417">
        <v>0</v>
      </c>
      <c r="AJ131" s="371">
        <f>SUM('OPX_BN+1'!$AC131:$AI131)</f>
        <v>-50000</v>
      </c>
      <c r="AK131" s="424"/>
      <c r="AL131" s="276">
        <f>SUM('OPX_BN+1'!$J131,'OPX_BN+1'!$AB131,'OPX_BN+1'!$S131,'OPX_BN+1'!$AJ131,'OPX_BN+1'!$R131,'OPX_BN+1'!$AK131)</f>
        <v>-458402.17499999999</v>
      </c>
      <c r="AM131" s="427"/>
    </row>
    <row r="132" spans="1:39" ht="15">
      <c r="A132" s="325" t="s">
        <v>456</v>
      </c>
      <c r="B132" s="320" t="str">
        <f>VLOOKUP('OPX_BN+1'!$A132,Tableau106[],3,FALSE)</f>
        <v>F150</v>
      </c>
      <c r="C132" s="320" t="str">
        <f>VLOOKUP('OPX_BN+1'!$A132,Tableau106[],2,FALSE)</f>
        <v>FR22E04E</v>
      </c>
      <c r="D132" s="320" t="str">
        <f>VLOOKUP('OPX_BN+1'!$A132,Tableau106[],8,FALSE)</f>
        <v>EOLIEN</v>
      </c>
      <c r="E132" s="321">
        <f>VLOOKUP('OPX_BN+1'!$A132,Tableau106[],4,FALSE)</f>
        <v>6.9</v>
      </c>
      <c r="F132" s="322" t="str">
        <f>VLOOKUP('OPX_BN+1'!$A132,Tableau106[],5,FALSE)</f>
        <v>PLAT</v>
      </c>
      <c r="G132" s="322" t="str">
        <f>VLOOKUP('OPX_BN+1'!$A132,Tableau106[],7,FALSE)</f>
        <v>FUTUREN</v>
      </c>
      <c r="H132" s="322" t="str">
        <f>VLOOKUP('OPX_BN+1'!$A132,Tableau106[],6,FALSE)</f>
        <v>N</v>
      </c>
      <c r="I132" s="372" t="str">
        <f>VLOOKUP(Tableau17[[#This Row],[OPEX VARIABLES en €
BN 2024]],Tableau106[],9,FALSE)</f>
        <v>AlY</v>
      </c>
      <c r="J132" s="254">
        <v>-8948</v>
      </c>
      <c r="K132" s="228">
        <v>-2670</v>
      </c>
      <c r="L132" s="228"/>
      <c r="M132" s="229">
        <v>0</v>
      </c>
      <c r="N132" s="229">
        <v>0</v>
      </c>
      <c r="O132" s="229">
        <v>0</v>
      </c>
      <c r="P132" s="229">
        <f>-440*Tableau17[[#This Row],[MW]]</f>
        <v>-3036</v>
      </c>
      <c r="Q132" s="229">
        <f>-250*'OPX_BN+1'!$E132</f>
        <v>-1725</v>
      </c>
      <c r="R132" s="274">
        <f>SUM('OPX_BN+1'!$K132:$Q132)</f>
        <v>-7431</v>
      </c>
      <c r="S132" s="337">
        <f>VLOOKUP(Tableau17[[#This Row],[CODE PI]],Tableau16[[CODE PI]:[(mesures compensatoires du PC ou autres)]],14,FALSE)*(1+$B$1)</f>
        <v>-261317.59999999998</v>
      </c>
      <c r="T132" s="423">
        <v>0</v>
      </c>
      <c r="U132" s="341">
        <v>0</v>
      </c>
      <c r="V132" s="379">
        <v>-400</v>
      </c>
      <c r="W132" s="423">
        <v>0</v>
      </c>
      <c r="X132" s="423">
        <v>0</v>
      </c>
      <c r="Y132" s="423">
        <v>0</v>
      </c>
      <c r="Z132" s="264">
        <f>-250*Tableau17[[#This Row],[MW]]</f>
        <v>-1725</v>
      </c>
      <c r="AA132" s="423"/>
      <c r="AB132" s="273">
        <f>SUM('OPX_BN+1'!$T132:$AA132)</f>
        <v>-2125</v>
      </c>
      <c r="AC132" s="426"/>
      <c r="AD132" s="426">
        <f t="shared" si="3"/>
        <v>-5047.0999999999995</v>
      </c>
      <c r="AE132" s="417">
        <v>0</v>
      </c>
      <c r="AF132" s="417">
        <v>0</v>
      </c>
      <c r="AG132" s="417">
        <v>0</v>
      </c>
      <c r="AH132" s="417">
        <v>0</v>
      </c>
      <c r="AI132" s="417">
        <v>0</v>
      </c>
      <c r="AJ132" s="371">
        <f>SUM('OPX_BN+1'!$AC132:$AI132)</f>
        <v>-5047.0999999999995</v>
      </c>
      <c r="AK132" s="424"/>
      <c r="AL132" s="276">
        <f>SUM('OPX_BN+1'!$J132,'OPX_BN+1'!$AB132,'OPX_BN+1'!$S132,'OPX_BN+1'!$AJ132,'OPX_BN+1'!$R132,'OPX_BN+1'!$AK132)</f>
        <v>-284868.69999999995</v>
      </c>
      <c r="AM132" s="427"/>
    </row>
    <row r="133" spans="1:39" ht="15">
      <c r="A133" s="244" t="s">
        <v>521</v>
      </c>
      <c r="B133" s="320" t="str">
        <f>VLOOKUP('OPX_BN+1'!$A133,Tableau106[],3,FALSE)</f>
        <v>A552</v>
      </c>
      <c r="C133" s="320" t="str">
        <f>VLOOKUP('OPX_BN+1'!$A133,Tableau106[],2,FALSE)</f>
        <v>FR02E07E</v>
      </c>
      <c r="D133" s="320" t="str">
        <f>VLOOKUP('OPX_BN+1'!$A133,Tableau106[],8,FALSE)</f>
        <v>EOLIEN</v>
      </c>
      <c r="E133" s="321">
        <f>VLOOKUP('OPX_BN+1'!$A133,Tableau106[],4,FALSE)</f>
        <v>21</v>
      </c>
      <c r="F133" s="322" t="str">
        <f>VLOOKUP('OPX_BN+1'!$A133,Tableau106[],5,FALSE)</f>
        <v>PLAN</v>
      </c>
      <c r="G133" s="322" t="str">
        <f>VLOOKUP('OPX_BN+1'!$A133,Tableau106[],7,FALSE)</f>
        <v>ENDF</v>
      </c>
      <c r="H133" s="322" t="str">
        <f>VLOOKUP('OPX_BN+1'!$A133,Tableau106[],6,FALSE)</f>
        <v>N</v>
      </c>
      <c r="I133" s="372" t="str">
        <f>VLOOKUP(Tableau17[[#This Row],[OPEX VARIABLES en €
BN 2024]],Tableau106[],9,FALSE)</f>
        <v>BoK</v>
      </c>
      <c r="J133" s="360">
        <f>VLOOKUP(Tableau17[[#This Row],[CODE PI]],Tableau16[[CODE PI]:[(mesures compensatoires du PC ou autres)]],5,FALSE)*(1+$B$1)</f>
        <v>0</v>
      </c>
      <c r="K133" s="228">
        <v>0</v>
      </c>
      <c r="L133" s="228"/>
      <c r="M133" s="229">
        <v>0</v>
      </c>
      <c r="N133" s="229">
        <v>0</v>
      </c>
      <c r="O133" s="229">
        <v>0</v>
      </c>
      <c r="P133" s="229">
        <v>0</v>
      </c>
      <c r="Q133" s="229">
        <f>-250*'OPX_BN+1'!$E133</f>
        <v>-5250</v>
      </c>
      <c r="R133" s="274">
        <f>SUM('OPX_BN+1'!$K133:$Q133)</f>
        <v>-5250</v>
      </c>
      <c r="S133" s="337">
        <f>VLOOKUP(Tableau17[[#This Row],[CODE PI]],Tableau16[[CODE PI]:[(mesures compensatoires du PC ou autres)]],14,FALSE)*(1+$B$1)</f>
        <v>-691638.22499999998</v>
      </c>
      <c r="T133" s="423">
        <v>0</v>
      </c>
      <c r="U133" s="341">
        <v>0</v>
      </c>
      <c r="V133" s="423">
        <v>-2000</v>
      </c>
      <c r="W133" s="423">
        <v>0</v>
      </c>
      <c r="X133" s="423">
        <v>0</v>
      </c>
      <c r="Y133" s="423">
        <v>0</v>
      </c>
      <c r="Z133" s="264">
        <f>-250*Tableau17[[#This Row],[MW]]</f>
        <v>-5250</v>
      </c>
      <c r="AA133" s="423"/>
      <c r="AB133" s="273">
        <f>SUM('OPX_BN+1'!$T133:$AA133)</f>
        <v>-7250</v>
      </c>
      <c r="AC133" s="426"/>
      <c r="AD133" s="426"/>
      <c r="AE133" s="417">
        <v>0</v>
      </c>
      <c r="AF133" s="417">
        <v>-10000</v>
      </c>
      <c r="AG133" s="417">
        <v>-40000</v>
      </c>
      <c r="AH133" s="417">
        <v>0</v>
      </c>
      <c r="AI133" s="417">
        <v>0</v>
      </c>
      <c r="AJ133" s="371">
        <f>SUM('OPX_BN+1'!$AC133:$AI133)</f>
        <v>-50000</v>
      </c>
      <c r="AK133" s="424"/>
      <c r="AL133" s="276">
        <f>SUM('OPX_BN+1'!$J133,'OPX_BN+1'!$AB133,'OPX_BN+1'!$S133,'OPX_BN+1'!$AJ133,'OPX_BN+1'!$R133,'OPX_BN+1'!$AK133)</f>
        <v>-754138.22499999998</v>
      </c>
      <c r="AM133" s="427"/>
    </row>
    <row r="134" spans="1:39" ht="15">
      <c r="A134" s="244" t="s">
        <v>560</v>
      </c>
      <c r="B134" s="320" t="str">
        <f>VLOOKUP('OPX_BN+1'!$A134,Tableau106[],3,FALSE)</f>
        <v>A370</v>
      </c>
      <c r="C134" s="320" t="str">
        <f>VLOOKUP('OPX_BN+1'!$A134,Tableau106[],2,FALSE)</f>
        <v>FR11E94E</v>
      </c>
      <c r="D134" s="320" t="str">
        <f>VLOOKUP('OPX_BN+1'!$A134,Tableau106[],8,FALSE)</f>
        <v>EOLIEN</v>
      </c>
      <c r="E134" s="321">
        <f>VLOOKUP('OPX_BN+1'!$A134,Tableau106[],4,FALSE)</f>
        <v>9.1999999999999993</v>
      </c>
      <c r="F134" s="322" t="str">
        <f>VLOOKUP('OPX_BN+1'!$A134,Tableau106[],5,FALSE)</f>
        <v>PLGR</v>
      </c>
      <c r="G134" s="322" t="str">
        <f>VLOOKUP('OPX_BN+1'!$A134,Tableau106[],7,FALSE)</f>
        <v>GROUPE</v>
      </c>
      <c r="H134" s="322" t="str">
        <f>VLOOKUP('OPX_BN+1'!$A134,Tableau106[],6,FALSE)</f>
        <v>S</v>
      </c>
      <c r="I134" s="372" t="str">
        <f>VLOOKUP(Tableau17[[#This Row],[OPEX VARIABLES en €
BN 2024]],Tableau106[],9,FALSE)</f>
        <v>ThC</v>
      </c>
      <c r="J134" s="360">
        <f>VLOOKUP(Tableau17[[#This Row],[CODE PI]],Tableau16[[CODE PI]:[(mesures compensatoires du PC ou autres)]],5,FALSE)*(1+$B$1)</f>
        <v>-10086</v>
      </c>
      <c r="K134" s="228">
        <v>-8950.0000000000018</v>
      </c>
      <c r="L134" s="228"/>
      <c r="M134" s="229">
        <v>0</v>
      </c>
      <c r="N134" s="229">
        <v>0</v>
      </c>
      <c r="O134" s="229">
        <v>0</v>
      </c>
      <c r="P134" s="229">
        <f>-4500-5000</f>
        <v>-9500</v>
      </c>
      <c r="Q134" s="229">
        <f>-250*'OPX_BN+1'!$E134</f>
        <v>-2300</v>
      </c>
      <c r="R134" s="274">
        <f>SUM('OPX_BN+1'!$K134:$Q134)</f>
        <v>-20750</v>
      </c>
      <c r="S134" s="337">
        <f>VLOOKUP(Tableau17[[#This Row],[CODE PI]],Tableau16[[CODE PI]:[(mesures compensatoires du PC ou autres)]],14,FALSE)*(1+$B$1)</f>
        <v>-336687.89999999997</v>
      </c>
      <c r="T134" s="361">
        <v>0</v>
      </c>
      <c r="U134" s="362">
        <v>0</v>
      </c>
      <c r="V134" s="361">
        <v>-11100</v>
      </c>
      <c r="W134" s="361">
        <v>-5000</v>
      </c>
      <c r="X134" s="361">
        <v>0</v>
      </c>
      <c r="Y134" s="361"/>
      <c r="Z134" s="264">
        <f>-250*Tableau17[[#This Row],[MW]]</f>
        <v>-2300</v>
      </c>
      <c r="AA134" s="423">
        <v>-4000</v>
      </c>
      <c r="AB134" s="273">
        <f>SUM('OPX_BN+1'!$T134:$AA134)</f>
        <v>-22400</v>
      </c>
      <c r="AC134" s="426"/>
      <c r="AD134" s="426">
        <f t="shared" si="3"/>
        <v>-5047.0999999999995</v>
      </c>
      <c r="AE134" s="417">
        <v>0</v>
      </c>
      <c r="AF134" s="417">
        <v>0</v>
      </c>
      <c r="AG134" s="417">
        <v>-6000</v>
      </c>
      <c r="AH134" s="417">
        <v>0</v>
      </c>
      <c r="AI134" s="417">
        <v>-10000</v>
      </c>
      <c r="AJ134" s="371">
        <f>SUM('OPX_BN+1'!$AC134:$AI134)</f>
        <v>-21047.1</v>
      </c>
      <c r="AK134" s="424"/>
      <c r="AL134" s="276">
        <f>SUM('OPX_BN+1'!$J134,'OPX_BN+1'!$AB134,'OPX_BN+1'!$S134,'OPX_BN+1'!$AJ134,'OPX_BN+1'!$R134,'OPX_BN+1'!$AK134)</f>
        <v>-410970.99999999994</v>
      </c>
      <c r="AM134" s="427"/>
    </row>
    <row r="135" spans="1:39" ht="15">
      <c r="A135" s="325" t="s">
        <v>566</v>
      </c>
      <c r="B135" s="320" t="str">
        <f>VLOOKUP('OPX_BN+1'!$A135,Tableau106[],3,FALSE)</f>
        <v>A545</v>
      </c>
      <c r="C135" s="320" t="str">
        <f>VLOOKUP('OPX_BN+1'!$A135,Tableau106[],2,FALSE)</f>
        <v>FR56E05E</v>
      </c>
      <c r="D135" s="320" t="str">
        <f>VLOOKUP('OPX_BN+1'!$A135,Tableau106[],8,FALSE)</f>
        <v>EOLIEN</v>
      </c>
      <c r="E135" s="321">
        <f>VLOOKUP('OPX_BN+1'!$A135,Tableau106[],4,FALSE)</f>
        <v>10</v>
      </c>
      <c r="F135" s="322" t="str">
        <f>VLOOKUP('OPX_BN+1'!$A135,Tableau106[],5,FALSE)</f>
        <v>PLEU</v>
      </c>
      <c r="G135" s="322" t="str">
        <f>VLOOKUP('OPX_BN+1'!$A135,Tableau106[],7,FALSE)</f>
        <v>EGM</v>
      </c>
      <c r="H135" s="322" t="str">
        <f>VLOOKUP('OPX_BN+1'!$A135,Tableau106[],6,FALSE)</f>
        <v>N</v>
      </c>
      <c r="I135" s="372" t="str">
        <f>VLOOKUP(Tableau17[[#This Row],[OPEX VARIABLES en €
BN 2024]],Tableau106[],9,FALSE)</f>
        <v>MaA</v>
      </c>
      <c r="J135" s="360">
        <f>VLOOKUP(Tableau17[[#This Row],[CODE PI]],Tableau16[[CODE PI]:[(mesures compensatoires du PC ou autres)]],5,FALSE)*(1+$B$1)</f>
        <v>-264576.07499999995</v>
      </c>
      <c r="K135" s="228">
        <v>-150000</v>
      </c>
      <c r="L135" s="228"/>
      <c r="M135" s="229">
        <v>0</v>
      </c>
      <c r="N135" s="229">
        <v>0</v>
      </c>
      <c r="O135" s="229">
        <v>0</v>
      </c>
      <c r="P135" s="229">
        <v>-3500</v>
      </c>
      <c r="Q135" s="229">
        <f>-250*'OPX_BN+1'!$E135</f>
        <v>-2500</v>
      </c>
      <c r="R135" s="274">
        <f>SUM('OPX_BN+1'!$K135:$Q135)</f>
        <v>-156000</v>
      </c>
      <c r="S135" s="337">
        <f>VLOOKUP(Tableau17[[#This Row],[CODE PI]],Tableau16[[CODE PI]:[(mesures compensatoires du PC ou autres)]],14,FALSE)*(1+$B$1)</f>
        <v>0</v>
      </c>
      <c r="T135" s="423">
        <v>0</v>
      </c>
      <c r="U135" s="341">
        <v>0</v>
      </c>
      <c r="V135" s="423">
        <v>-2000</v>
      </c>
      <c r="W135" s="423">
        <v>0</v>
      </c>
      <c r="X135" s="423">
        <v>0</v>
      </c>
      <c r="Y135" s="423">
        <v>0</v>
      </c>
      <c r="Z135" s="264">
        <f>-250*Tableau17[[#This Row],[MW]]</f>
        <v>-2500</v>
      </c>
      <c r="AA135" s="423"/>
      <c r="AB135" s="273">
        <f>SUM('OPX_BN+1'!$T135:$AA135)</f>
        <v>-4500</v>
      </c>
      <c r="AC135" s="426"/>
      <c r="AD135" s="426"/>
      <c r="AE135" s="417">
        <v>0</v>
      </c>
      <c r="AF135" s="417">
        <v>0</v>
      </c>
      <c r="AG135" s="417">
        <v>0</v>
      </c>
      <c r="AH135" s="417">
        <v>0</v>
      </c>
      <c r="AI135" s="417">
        <v>0</v>
      </c>
      <c r="AJ135" s="371">
        <f>SUM('OPX_BN+1'!$AC135:$AI135)</f>
        <v>0</v>
      </c>
      <c r="AK135" s="424"/>
      <c r="AL135" s="276">
        <f>SUM('OPX_BN+1'!$J135,'OPX_BN+1'!$AB135,'OPX_BN+1'!$S135,'OPX_BN+1'!$AJ135,'OPX_BN+1'!$R135,'OPX_BN+1'!$AK135)</f>
        <v>-425076.07499999995</v>
      </c>
      <c r="AM135" s="427"/>
    </row>
    <row r="136" spans="1:39" ht="15">
      <c r="A136" s="325" t="s">
        <v>195</v>
      </c>
      <c r="B136" s="320" t="str">
        <f>VLOOKUP('OPX_BN+1'!$A136,Tableau106[],3,FALSE)</f>
        <v>F034</v>
      </c>
      <c r="C136" s="320" t="str">
        <f>VLOOKUP('OPX_BN+1'!$A136,Tableau106[],2,FALSE)</f>
        <v>FR12E94E</v>
      </c>
      <c r="D136" s="320" t="str">
        <f>VLOOKUP('OPX_BN+1'!$A136,Tableau106[],8,FALSE)</f>
        <v>EOLIEN</v>
      </c>
      <c r="E136" s="321">
        <f>VLOOKUP('OPX_BN+1'!$A136,Tableau106[],4,FALSE)</f>
        <v>11.5</v>
      </c>
      <c r="F136" s="322" t="str">
        <f>VLOOKUP('OPX_BN+1'!$A136,Tableau106[],5,FALSE)</f>
        <v>PLOS</v>
      </c>
      <c r="G136" s="322" t="str">
        <f>VLOOKUP('OPX_BN+1'!$A136,Tableau106[],7,FALSE)</f>
        <v>FUTUREN</v>
      </c>
      <c r="H136" s="322" t="str">
        <f>VLOOKUP('OPX_BN+1'!$A136,Tableau106[],6,FALSE)</f>
        <v>S</v>
      </c>
      <c r="I136" s="372" t="str">
        <f>VLOOKUP(Tableau17[[#This Row],[OPEX VARIABLES en €
BN 2024]],Tableau106[],9,FALSE)</f>
        <v>OdP</v>
      </c>
      <c r="J136" s="360">
        <f>VLOOKUP(Tableau17[[#This Row],[CODE PI]],Tableau16[[CODE PI]:[(mesures compensatoires du PC ou autres)]],5,FALSE)*(1+$B$1)</f>
        <v>-6368.3249999999998</v>
      </c>
      <c r="K136" s="228">
        <f>-4750+2875</f>
        <v>-1875</v>
      </c>
      <c r="L136" s="228"/>
      <c r="M136" s="229">
        <v>0</v>
      </c>
      <c r="N136" s="229">
        <v>0</v>
      </c>
      <c r="O136" s="229">
        <v>0</v>
      </c>
      <c r="P136" s="229">
        <v>0</v>
      </c>
      <c r="Q136" s="229">
        <f>-250*'OPX_BN+1'!$E136</f>
        <v>-2875</v>
      </c>
      <c r="R136" s="274">
        <f>SUM('OPX_BN+1'!$K136:$Q136)</f>
        <v>-4750</v>
      </c>
      <c r="S136" s="337">
        <f>VLOOKUP(Tableau17[[#This Row],[CODE PI]],Tableau16[[CODE PI]:[(mesures compensatoires du PC ou autres)]],14,FALSE)*(1+$B$1)</f>
        <v>-235846.34999999998</v>
      </c>
      <c r="T136" s="423">
        <v>0</v>
      </c>
      <c r="U136" s="341">
        <v>0</v>
      </c>
      <c r="V136" s="423">
        <v>-2471.5</v>
      </c>
      <c r="W136" s="423">
        <v>0</v>
      </c>
      <c r="X136" s="423">
        <v>0</v>
      </c>
      <c r="Y136" s="423">
        <v>0</v>
      </c>
      <c r="Z136" s="264">
        <f>-250*Tableau17[[#This Row],[MW]]</f>
        <v>-2875</v>
      </c>
      <c r="AA136" s="423"/>
      <c r="AB136" s="273">
        <f>SUM('OPX_BN+1'!$T136:$AA136)</f>
        <v>-5346.5</v>
      </c>
      <c r="AC136" s="426"/>
      <c r="AD136" s="426">
        <f t="shared" si="3"/>
        <v>-5047.0999999999995</v>
      </c>
      <c r="AE136" s="417">
        <v>-30000</v>
      </c>
      <c r="AF136" s="417">
        <v>0</v>
      </c>
      <c r="AG136" s="417">
        <v>-50000</v>
      </c>
      <c r="AH136" s="417">
        <v>0</v>
      </c>
      <c r="AI136" s="417">
        <v>-30000</v>
      </c>
      <c r="AJ136" s="371">
        <f>SUM('OPX_BN+1'!$AC136:$AI136)</f>
        <v>-115047.1</v>
      </c>
      <c r="AK136" s="424"/>
      <c r="AL136" s="276">
        <f>SUM('OPX_BN+1'!$J136,'OPX_BN+1'!$AB136,'OPX_BN+1'!$S136,'OPX_BN+1'!$AJ136,'OPX_BN+1'!$R136,'OPX_BN+1'!$AK136)</f>
        <v>-367358.27500000002</v>
      </c>
      <c r="AM136" s="427"/>
    </row>
    <row r="137" spans="1:39" ht="15">
      <c r="A137" s="325" t="s">
        <v>588</v>
      </c>
      <c r="B137" s="320" t="str">
        <f>VLOOKUP('OPX_BN+1'!$A137,Tableau106[],3,FALSE)</f>
        <v>A533</v>
      </c>
      <c r="C137" s="320" t="str">
        <f>VLOOKUP('OPX_BN+1'!$A137,Tableau106[],2,FALSE)</f>
        <v>FR57E03E</v>
      </c>
      <c r="D137" s="320" t="str">
        <f>VLOOKUP('OPX_BN+1'!$A137,Tableau106[],8,FALSE)</f>
        <v>EOLIEN</v>
      </c>
      <c r="E137" s="321">
        <f>VLOOKUP('OPX_BN+1'!$A137,Tableau106[],4,FALSE)</f>
        <v>8</v>
      </c>
      <c r="F137" s="322" t="str">
        <f>VLOOKUP('OPX_BN+1'!$A137,Tableau106[],5,FALSE)</f>
        <v>PDFE</v>
      </c>
      <c r="G137" s="322" t="str">
        <f>VLOOKUP('OPX_BN+1'!$A137,Tableau106[],7,FALSE)</f>
        <v>GROUPE</v>
      </c>
      <c r="H137" s="322" t="str">
        <f>VLOOKUP('OPX_BN+1'!$A137,Tableau106[],6,FALSE)</f>
        <v>N</v>
      </c>
      <c r="I137" s="372" t="str">
        <f>VLOOKUP(Tableau17[[#This Row],[OPEX VARIABLES en €
BN 2024]],Tableau106[],9,FALSE)</f>
        <v>AyB</v>
      </c>
      <c r="J137" s="360">
        <f>VLOOKUP(Tableau17[[#This Row],[CODE PI]],Tableau16[[CODE PI]:[(mesures compensatoires du PC ou autres)]],5,FALSE)*(1+$B$1)</f>
        <v>-9450.5</v>
      </c>
      <c r="K137" s="228">
        <v>-6470</v>
      </c>
      <c r="L137" s="228"/>
      <c r="M137" s="229">
        <v>0</v>
      </c>
      <c r="N137" s="229">
        <v>0</v>
      </c>
      <c r="O137" s="229">
        <v>0</v>
      </c>
      <c r="P137" s="229">
        <f>-440*Tableau17[[#This Row],[MW]]</f>
        <v>-3520</v>
      </c>
      <c r="Q137" s="229">
        <f>-250*'OPX_BN+1'!$E137</f>
        <v>-2000</v>
      </c>
      <c r="R137" s="274">
        <f>SUM('OPX_BN+1'!$K137:$Q137)</f>
        <v>-11990</v>
      </c>
      <c r="S137" s="337">
        <f>VLOOKUP(Tableau17[[#This Row],[CODE PI]],Tableau16[[CODE PI]:[(mesures compensatoires du PC ou autres)]],14,FALSE)*(1+$B$1)</f>
        <v>-245681.22499999998</v>
      </c>
      <c r="T137" s="423">
        <v>0</v>
      </c>
      <c r="U137" s="341">
        <v>0</v>
      </c>
      <c r="V137" s="423">
        <v>-650</v>
      </c>
      <c r="W137" s="423">
        <v>0</v>
      </c>
      <c r="X137" s="423">
        <v>0</v>
      </c>
      <c r="Y137" s="423">
        <v>0</v>
      </c>
      <c r="Z137" s="264">
        <f>-250*Tableau17[[#This Row],[MW]]</f>
        <v>-2000</v>
      </c>
      <c r="AA137" s="423"/>
      <c r="AB137" s="273">
        <f>SUM('OPX_BN+1'!$T137:$AA137)</f>
        <v>-2650</v>
      </c>
      <c r="AC137" s="426"/>
      <c r="AD137" s="426">
        <f t="shared" si="3"/>
        <v>-5047.0999999999995</v>
      </c>
      <c r="AE137" s="417">
        <v>0</v>
      </c>
      <c r="AF137" s="417">
        <v>0</v>
      </c>
      <c r="AG137" s="417">
        <v>0</v>
      </c>
      <c r="AH137" s="417">
        <v>0</v>
      </c>
      <c r="AI137" s="417">
        <v>0</v>
      </c>
      <c r="AJ137" s="371">
        <f>SUM('OPX_BN+1'!$AC137:$AI137)</f>
        <v>-5047.0999999999995</v>
      </c>
      <c r="AK137" s="424"/>
      <c r="AL137" s="276">
        <f>SUM('OPX_BN+1'!$J137,'OPX_BN+1'!$AB137,'OPX_BN+1'!$S137,'OPX_BN+1'!$AJ137,'OPX_BN+1'!$R137,'OPX_BN+1'!$AK137)</f>
        <v>-274818.82499999995</v>
      </c>
      <c r="AM137" s="427"/>
    </row>
    <row r="138" spans="1:39" ht="15">
      <c r="A138" s="244" t="s">
        <v>527</v>
      </c>
      <c r="B138" s="320" t="str">
        <f>VLOOKUP('OPX_BN+1'!$A138,Tableau106[],3,FALSE)</f>
        <v>A150</v>
      </c>
      <c r="C138" s="320" t="str">
        <f>VLOOKUP('OPX_BN+1'!$A138,Tableau106[],2,FALSE)</f>
        <v>FR51E01E</v>
      </c>
      <c r="D138" s="320" t="str">
        <f>VLOOKUP('OPX_BN+1'!$A138,Tableau106[],8,FALSE)</f>
        <v>EOLIEN</v>
      </c>
      <c r="E138" s="321">
        <f>VLOOKUP('OPX_BN+1'!$A138,Tableau106[],4,FALSE)</f>
        <v>12.3</v>
      </c>
      <c r="F138" s="322" t="str">
        <f>VLOOKUP('OPX_BN+1'!$A138,Tableau106[],5,FALSE)</f>
        <v>PDC1, PDC2</v>
      </c>
      <c r="G138" s="322" t="str">
        <f>VLOOKUP('OPX_BN+1'!$A138,Tableau106[],7,FALSE)</f>
        <v>FUTUREN</v>
      </c>
      <c r="H138" s="322" t="str">
        <f>VLOOKUP('OPX_BN+1'!$A138,Tableau106[],6,FALSE)</f>
        <v>N</v>
      </c>
      <c r="I138" s="372" t="str">
        <f>VLOOKUP(Tableau17[[#This Row],[OPEX VARIABLES en €
BN 2024]],Tableau106[],9,FALSE)</f>
        <v>HuB</v>
      </c>
      <c r="J138" s="360">
        <f>VLOOKUP(Tableau17[[#This Row],[CODE PI]],Tableau16[[CODE PI]:[(mesures compensatoires du PC ou autres)]],5,FALSE)*(1+$B$1)</f>
        <v>-16798.724999999999</v>
      </c>
      <c r="K138" s="228">
        <v>-710</v>
      </c>
      <c r="L138" s="228"/>
      <c r="M138" s="229">
        <v>0</v>
      </c>
      <c r="N138" s="229">
        <v>0</v>
      </c>
      <c r="O138" s="229">
        <v>0</v>
      </c>
      <c r="P138" s="229">
        <v>-4305</v>
      </c>
      <c r="Q138" s="229">
        <f>-250*'OPX_BN+1'!$E138</f>
        <v>-3075</v>
      </c>
      <c r="R138" s="274">
        <f>SUM('OPX_BN+1'!$K138:$Q138)</f>
        <v>-8090</v>
      </c>
      <c r="S138" s="337">
        <f>VLOOKUP(Tableau17[[#This Row],[CODE PI]],Tableau16[[CODE PI]:[(mesures compensatoires du PC ou autres)]],14,FALSE)*(1+$B$1)</f>
        <v>-267525</v>
      </c>
      <c r="T138" s="423">
        <v>0</v>
      </c>
      <c r="U138" s="341">
        <v>0</v>
      </c>
      <c r="V138" s="423">
        <v>-2700</v>
      </c>
      <c r="W138" s="423">
        <v>0</v>
      </c>
      <c r="X138" s="423">
        <v>0</v>
      </c>
      <c r="Y138" s="423">
        <v>0</v>
      </c>
      <c r="Z138" s="264">
        <f>-250*Tableau17[[#This Row],[MW]]</f>
        <v>-3075</v>
      </c>
      <c r="AA138" s="423"/>
      <c r="AB138" s="273">
        <f>SUM('OPX_BN+1'!$T138:$AA138)</f>
        <v>-5775</v>
      </c>
      <c r="AC138" s="426"/>
      <c r="AD138" s="426"/>
      <c r="AE138" s="417">
        <v>0</v>
      </c>
      <c r="AF138" s="417">
        <v>-10000</v>
      </c>
      <c r="AG138" s="417">
        <v>-30000</v>
      </c>
      <c r="AH138" s="417">
        <v>0</v>
      </c>
      <c r="AI138" s="417">
        <v>0</v>
      </c>
      <c r="AJ138" s="371">
        <f>SUM('OPX_BN+1'!$AC138:$AI138)</f>
        <v>-40000</v>
      </c>
      <c r="AK138" s="424"/>
      <c r="AL138" s="276">
        <f>SUM('OPX_BN+1'!$J138,'OPX_BN+1'!$AB138,'OPX_BN+1'!$S138,'OPX_BN+1'!$AJ138,'OPX_BN+1'!$R138,'OPX_BN+1'!$AK138)</f>
        <v>-338188.72499999998</v>
      </c>
      <c r="AM138" s="427"/>
    </row>
    <row r="139" spans="1:39" ht="15">
      <c r="A139" s="244" t="s">
        <v>574</v>
      </c>
      <c r="B139" s="320" t="str">
        <f>VLOOKUP('OPX_BN+1'!$A139,Tableau106[],3,FALSE)</f>
        <v>A041</v>
      </c>
      <c r="C139" s="320" t="str">
        <f>VLOOKUP('OPX_BN+1'!$A139,Tableau106[],2,FALSE)</f>
        <v>FR97S92E</v>
      </c>
      <c r="D139" s="320" t="str">
        <f>VLOOKUP('OPX_BN+1'!$A139,Tableau106[],8,FALSE)</f>
        <v>SOLAIRE DOM</v>
      </c>
      <c r="E139" s="321">
        <f>VLOOKUP('OPX_BN+1'!$A139,Tableau106[],4,FALSE)</f>
        <v>4.5</v>
      </c>
      <c r="F139" s="322" t="str">
        <f>VLOOKUP('OPX_BN+1'!$A139,Tableau106[],5,FALSE)</f>
        <v>POTI</v>
      </c>
      <c r="G139" s="322" t="str">
        <f>VLOOKUP('OPX_BN+1'!$A139,Tableau106[],7,FALSE)</f>
        <v>GROUPE</v>
      </c>
      <c r="H139" s="322" t="str">
        <f>VLOOKUP('OPX_BN+1'!$A139,Tableau106[],6,FALSE)</f>
        <v>DOM</v>
      </c>
      <c r="I139" s="372" t="str">
        <f>VLOOKUP(Tableau17[[#This Row],[OPEX VARIABLES en €
BN 2024]],Tableau106[],9,FALSE)</f>
        <v>DoJ</v>
      </c>
      <c r="J139" s="360">
        <f>VLOOKUP(Tableau17[[#This Row],[CODE PI]],Tableau16[[CODE PI]:[(mesures compensatoires du PC ou autres)]],5,FALSE)*(1+$B$1)</f>
        <v>0</v>
      </c>
      <c r="K139" s="228">
        <v>0</v>
      </c>
      <c r="L139" s="228"/>
      <c r="M139" s="229">
        <v>0</v>
      </c>
      <c r="N139" s="229">
        <v>0</v>
      </c>
      <c r="O139" s="229">
        <v>0</v>
      </c>
      <c r="P139" s="229">
        <v>0</v>
      </c>
      <c r="Q139" s="229">
        <f>-250*'OPX_BN+1'!$E139</f>
        <v>-1125</v>
      </c>
      <c r="R139" s="274">
        <f>SUM('OPX_BN+1'!$K139:$Q139)</f>
        <v>-1125</v>
      </c>
      <c r="S139" s="337">
        <f>VLOOKUP(Tableau17[[#This Row],[CODE PI]],Tableau16[[CODE PI]:[(mesures compensatoires du PC ou autres)]],14,FALSE)*(1+$B$1)</f>
        <v>-267659.27499999997</v>
      </c>
      <c r="T139" s="361">
        <v>-26000</v>
      </c>
      <c r="U139" s="341">
        <v>0</v>
      </c>
      <c r="V139" s="361">
        <v>-9000</v>
      </c>
      <c r="W139" s="423">
        <v>-3000</v>
      </c>
      <c r="X139" s="361"/>
      <c r="Y139" s="423">
        <v>0</v>
      </c>
      <c r="Z139" s="264">
        <f>-250*Tableau17[[#This Row],[MW]]</f>
        <v>-1125</v>
      </c>
      <c r="AA139" s="423">
        <f>-1350365*0.002</f>
        <v>-2700.73</v>
      </c>
      <c r="AB139" s="273">
        <f>SUM('OPX_BN+1'!$T139:$AA139)</f>
        <v>-41825.730000000003</v>
      </c>
      <c r="AC139" s="426"/>
      <c r="AD139" s="426"/>
      <c r="AE139" s="417">
        <v>0</v>
      </c>
      <c r="AF139" s="417">
        <v>0</v>
      </c>
      <c r="AG139" s="417">
        <v>0</v>
      </c>
      <c r="AH139" s="417">
        <v>0</v>
      </c>
      <c r="AI139" s="417">
        <v>0</v>
      </c>
      <c r="AJ139" s="371">
        <f>SUM('OPX_BN+1'!$AC139:$AI139)</f>
        <v>0</v>
      </c>
      <c r="AK139" s="424"/>
      <c r="AL139" s="276">
        <f>SUM('OPX_BN+1'!$J139,'OPX_BN+1'!$AB139,'OPX_BN+1'!$S139,'OPX_BN+1'!$AJ139,'OPX_BN+1'!$R139,'OPX_BN+1'!$AK139)</f>
        <v>-310610.00499999995</v>
      </c>
      <c r="AM139" s="427"/>
    </row>
    <row r="140" spans="1:39" ht="15">
      <c r="A140" s="325" t="s">
        <v>286</v>
      </c>
      <c r="B140" s="320" t="str">
        <f>VLOOKUP('OPX_BN+1'!$A140,Tableau106[],3,FALSE)</f>
        <v>A539</v>
      </c>
      <c r="C140" s="320" t="str">
        <f>VLOOKUP('OPX_BN+1'!$A140,Tableau106[],2,FALSE)</f>
        <v>FR11E87E</v>
      </c>
      <c r="D140" s="320" t="str">
        <f>VLOOKUP('OPX_BN+1'!$A140,Tableau106[],8,FALSE)</f>
        <v>EOLIEN</v>
      </c>
      <c r="E140" s="321">
        <f>VLOOKUP('OPX_BN+1'!$A140,Tableau106[],4,FALSE)</f>
        <v>5.0999999999999996</v>
      </c>
      <c r="F140" s="322" t="str">
        <f>VLOOKUP('OPX_BN+1'!$A140,Tableau106[],5,FALSE)</f>
        <v>POUZ</v>
      </c>
      <c r="G140" s="322" t="str">
        <f>VLOOKUP('OPX_BN+1'!$A140,Tableau106[],7,FALSE)</f>
        <v>GROUPE</v>
      </c>
      <c r="H140" s="322" t="str">
        <f>VLOOKUP('OPX_BN+1'!$A140,Tableau106[],6,FALSE)</f>
        <v>S</v>
      </c>
      <c r="I140" s="372" t="str">
        <f>VLOOKUP(Tableau17[[#This Row],[OPEX VARIABLES en €
BN 2024]],Tableau106[],9,FALSE)</f>
        <v>SaH</v>
      </c>
      <c r="J140" s="360">
        <f>VLOOKUP(Tableau17[[#This Row],[CODE PI]],Tableau16[[CODE PI]:[(mesures compensatoires du PC ou autres)]],5,FALSE)*(1+$B$1)-10000</f>
        <v>-260606.34999999998</v>
      </c>
      <c r="K140" s="228">
        <v>-9130</v>
      </c>
      <c r="L140" s="228"/>
      <c r="M140" s="229">
        <v>0</v>
      </c>
      <c r="N140" s="229">
        <v>0</v>
      </c>
      <c r="O140" s="229">
        <v>0</v>
      </c>
      <c r="P140" s="229">
        <f>-1785-5000</f>
        <v>-6785</v>
      </c>
      <c r="Q140" s="229">
        <f>-250*'OPX_BN+1'!$E140</f>
        <v>-1275</v>
      </c>
      <c r="R140" s="274">
        <f>SUM('OPX_BN+1'!$K140:$Q140)</f>
        <v>-17190</v>
      </c>
      <c r="S140" s="337">
        <f>VLOOKUP(Tableau17[[#This Row],[CODE PI]],Tableau16[[CODE PI]:[(mesures compensatoires du PC ou autres)]],14,FALSE)*(1+$B$1)</f>
        <v>0</v>
      </c>
      <c r="T140" s="423">
        <v>0</v>
      </c>
      <c r="U140" s="341">
        <v>0</v>
      </c>
      <c r="V140" s="423">
        <v>-5000</v>
      </c>
      <c r="W140" s="423">
        <v>0</v>
      </c>
      <c r="X140" s="423">
        <v>0</v>
      </c>
      <c r="Y140" s="423">
        <v>0</v>
      </c>
      <c r="Z140" s="264">
        <f>-250*Tableau17[[#This Row],[MW]]</f>
        <v>-1275</v>
      </c>
      <c r="AA140" s="423">
        <v>-1000</v>
      </c>
      <c r="AB140" s="273">
        <f>SUM('OPX_BN+1'!$T140:$AA140)</f>
        <v>-7275</v>
      </c>
      <c r="AC140" s="426"/>
      <c r="AD140" s="426"/>
      <c r="AE140" s="417">
        <v>0</v>
      </c>
      <c r="AF140" s="417">
        <v>-7500</v>
      </c>
      <c r="AG140" s="417">
        <v>-41325</v>
      </c>
      <c r="AH140" s="417">
        <v>0</v>
      </c>
      <c r="AI140" s="417">
        <v>0</v>
      </c>
      <c r="AJ140" s="371">
        <f>SUM('OPX_BN+1'!$AC140:$AI140)</f>
        <v>-48825</v>
      </c>
      <c r="AK140" s="424"/>
      <c r="AL140" s="276">
        <f>SUM('OPX_BN+1'!$J140,'OPX_BN+1'!$AB140,'OPX_BN+1'!$S140,'OPX_BN+1'!$AJ140,'OPX_BN+1'!$R140,'OPX_BN+1'!$AK140)</f>
        <v>-333896.34999999998</v>
      </c>
      <c r="AM140" s="427"/>
    </row>
    <row r="141" spans="1:39" ht="15">
      <c r="A141" s="244" t="s">
        <v>577</v>
      </c>
      <c r="B141" s="320" t="str">
        <f>VLOOKUP('OPX_BN+1'!$A141,Tableau106[],3,FALSE)</f>
        <v>A045</v>
      </c>
      <c r="C141" s="320" t="str">
        <f>VLOOKUP('OPX_BN+1'!$A141,Tableau106[],2,FALSE)</f>
        <v>FR97S74E</v>
      </c>
      <c r="D141" s="320" t="str">
        <f>VLOOKUP('OPX_BN+1'!$A141,Tableau106[],8,FALSE)</f>
        <v>SOLAIRE DOM</v>
      </c>
      <c r="E141" s="321">
        <f>VLOOKUP('OPX_BN+1'!$A141,Tableau106[],4,FALSE)</f>
        <v>0.68200000000000005</v>
      </c>
      <c r="F141" s="322" t="str">
        <f>VLOOKUP('OPX_BN+1'!$A141,Tableau106[],5,FALSE)</f>
        <v>PROV</v>
      </c>
      <c r="G141" s="322" t="str">
        <f>VLOOKUP('OPX_BN+1'!$A141,Tableau106[],7,FALSE)</f>
        <v>GROUPE</v>
      </c>
      <c r="H141" s="322" t="str">
        <f>VLOOKUP('OPX_BN+1'!$A141,Tableau106[],6,FALSE)</f>
        <v>DOM</v>
      </c>
      <c r="I141" s="372" t="str">
        <f>VLOOKUP(Tableau17[[#This Row],[OPEX VARIABLES en €
BN 2024]],Tableau106[],9,FALSE)</f>
        <v>DoJ</v>
      </c>
      <c r="J141" s="360">
        <f>VLOOKUP(Tableau17[[#This Row],[CODE PI]],Tableau16[[CODE PI]:[(mesures compensatoires du PC ou autres)]],5,FALSE)*(1+$B$1)</f>
        <v>0</v>
      </c>
      <c r="K141" s="228">
        <v>0</v>
      </c>
      <c r="L141" s="228"/>
      <c r="M141" s="229">
        <v>0</v>
      </c>
      <c r="N141" s="229">
        <v>0</v>
      </c>
      <c r="O141" s="229">
        <v>0</v>
      </c>
      <c r="P141" s="229">
        <v>0</v>
      </c>
      <c r="Q141" s="229">
        <f>-250*'OPX_BN+1'!$E141</f>
        <v>-170.5</v>
      </c>
      <c r="R141" s="274">
        <f>SUM('OPX_BN+1'!$K141:$Q141)</f>
        <v>-170.5</v>
      </c>
      <c r="S141" s="337">
        <f>VLOOKUP(Tableau17[[#This Row],[CODE PI]],Tableau16[[CODE PI]:[(mesures compensatoires du PC ou autres)]],14,FALSE)*(1+$B$1)</f>
        <v>-36194.799999999996</v>
      </c>
      <c r="T141" s="361">
        <v>-3500</v>
      </c>
      <c r="U141" s="341">
        <v>0</v>
      </c>
      <c r="V141" s="423">
        <v>0</v>
      </c>
      <c r="W141" s="423">
        <v>-1200</v>
      </c>
      <c r="X141" s="423">
        <v>0</v>
      </c>
      <c r="Y141" s="423">
        <v>0</v>
      </c>
      <c r="Z141" s="264">
        <f>-250*Tableau17[[#This Row],[MW]]</f>
        <v>-170.5</v>
      </c>
      <c r="AA141" s="423">
        <f>-244936*0.002</f>
        <v>-489.87200000000001</v>
      </c>
      <c r="AB141" s="273">
        <f>SUM('OPX_BN+1'!$T141:$AA141)</f>
        <v>-5360.3720000000003</v>
      </c>
      <c r="AC141" s="426"/>
      <c r="AD141" s="426"/>
      <c r="AE141" s="417">
        <v>0</v>
      </c>
      <c r="AF141" s="417">
        <v>0</v>
      </c>
      <c r="AG141" s="417">
        <v>0</v>
      </c>
      <c r="AH141" s="417">
        <v>0</v>
      </c>
      <c r="AI141" s="417">
        <v>0</v>
      </c>
      <c r="AJ141" s="371">
        <f>SUM('OPX_BN+1'!$AC141:$AI141)</f>
        <v>0</v>
      </c>
      <c r="AK141" s="424"/>
      <c r="AL141" s="276">
        <f>SUM('OPX_BN+1'!$J141,'OPX_BN+1'!$AB141,'OPX_BN+1'!$S141,'OPX_BN+1'!$AJ141,'OPX_BN+1'!$R141,'OPX_BN+1'!$AK141)</f>
        <v>-41725.671999999999</v>
      </c>
      <c r="AM141" s="427"/>
    </row>
    <row r="142" spans="1:39" ht="15">
      <c r="A142" s="325" t="s">
        <v>621</v>
      </c>
      <c r="B142" s="320" t="str">
        <f>VLOOKUP('OPX_BN+1'!$A142,Tableau106[],3,FALSE)</f>
        <v>A540</v>
      </c>
      <c r="C142" s="320" t="str">
        <f>VLOOKUP('OPX_BN+1'!$A142,Tableau106[],2,FALSE)</f>
        <v>FR55E05E</v>
      </c>
      <c r="D142" s="320" t="str">
        <f>VLOOKUP('OPX_BN+1'!$A142,Tableau106[],8,FALSE)</f>
        <v>EOLIEN</v>
      </c>
      <c r="E142" s="321">
        <f>VLOOKUP('OPX_BN+1'!$A142,Tableau106[],4,FALSE)</f>
        <v>12</v>
      </c>
      <c r="F142" s="322" t="str">
        <f>VLOOKUP('OPX_BN+1'!$A142,Tableau106[],5,FALSE)</f>
        <v>RAM1</v>
      </c>
      <c r="G142" s="322" t="str">
        <f>VLOOKUP('OPX_BN+1'!$A142,Tableau106[],7,FALSE)</f>
        <v>EGM</v>
      </c>
      <c r="H142" s="322" t="str">
        <f>VLOOKUP('OPX_BN+1'!$A142,Tableau106[],6,FALSE)</f>
        <v>N</v>
      </c>
      <c r="I142" s="372" t="str">
        <f>VLOOKUP(Tableau17[[#This Row],[OPEX VARIABLES en €
BN 2024]],Tableau106[],9,FALSE)</f>
        <v>BaB</v>
      </c>
      <c r="J142" s="360">
        <f>VLOOKUP(Tableau17[[#This Row],[CODE PI]],Tableau16[[CODE PI]:[(mesures compensatoires du PC ou autres)]],5,FALSE)*(1+$B$1)</f>
        <v>-317491.69999999995</v>
      </c>
      <c r="K142" s="228">
        <v>-188780</v>
      </c>
      <c r="L142" s="228"/>
      <c r="M142" s="229">
        <v>0</v>
      </c>
      <c r="N142" s="229">
        <v>0</v>
      </c>
      <c r="O142" s="229">
        <v>0</v>
      </c>
      <c r="P142" s="229">
        <v>-4200</v>
      </c>
      <c r="Q142" s="229">
        <f>-250*'OPX_BN+1'!$E142</f>
        <v>-3000</v>
      </c>
      <c r="R142" s="274">
        <f>SUM('OPX_BN+1'!$K142:$Q142)</f>
        <v>-195980</v>
      </c>
      <c r="S142" s="337">
        <f>VLOOKUP(Tableau17[[#This Row],[CODE PI]],Tableau16[[CODE PI]:[(mesures compensatoires du PC ou autres)]],14,FALSE)*(1+$B$1)</f>
        <v>-51836.299999999996</v>
      </c>
      <c r="T142" s="423">
        <v>0</v>
      </c>
      <c r="U142" s="341">
        <v>0</v>
      </c>
      <c r="V142" s="423">
        <v>-2000</v>
      </c>
      <c r="W142" s="423">
        <v>0</v>
      </c>
      <c r="X142" s="423">
        <v>0</v>
      </c>
      <c r="Y142" s="423">
        <v>0</v>
      </c>
      <c r="Z142" s="264">
        <f>-250*Tableau17[[#This Row],[MW]]</f>
        <v>-3000</v>
      </c>
      <c r="AA142" s="423"/>
      <c r="AB142" s="273">
        <f>SUM('OPX_BN+1'!$T142:$AA142)</f>
        <v>-5000</v>
      </c>
      <c r="AC142" s="426"/>
      <c r="AD142" s="426"/>
      <c r="AE142" s="417">
        <v>0</v>
      </c>
      <c r="AF142" s="417">
        <v>0</v>
      </c>
      <c r="AG142" s="417">
        <v>0</v>
      </c>
      <c r="AH142" s="417">
        <v>0</v>
      </c>
      <c r="AI142" s="417">
        <v>0</v>
      </c>
      <c r="AJ142" s="371">
        <f>SUM('OPX_BN+1'!$AC142:$AI142)</f>
        <v>0</v>
      </c>
      <c r="AK142" s="424"/>
      <c r="AL142" s="276">
        <f>SUM('OPX_BN+1'!$J142,'OPX_BN+1'!$AB142,'OPX_BN+1'!$S142,'OPX_BN+1'!$AJ142,'OPX_BN+1'!$R142,'OPX_BN+1'!$AK142)</f>
        <v>-570308</v>
      </c>
      <c r="AM142" s="427"/>
    </row>
    <row r="143" spans="1:39" ht="15">
      <c r="A143" s="244" t="s">
        <v>624</v>
      </c>
      <c r="B143" s="320" t="str">
        <f>VLOOKUP('OPX_BN+1'!$A143,Tableau106[],3,FALSE)</f>
        <v>A540</v>
      </c>
      <c r="C143" s="320" t="str">
        <f>VLOOKUP('OPX_BN+1'!$A143,Tableau106[],2,FALSE)</f>
        <v>FR55E06E</v>
      </c>
      <c r="D143" s="320" t="str">
        <f>VLOOKUP('OPX_BN+1'!$A143,Tableau106[],8,FALSE)</f>
        <v>EOLIEN</v>
      </c>
      <c r="E143" s="321">
        <f>VLOOKUP('OPX_BN+1'!$A143,Tableau106[],4,FALSE)</f>
        <v>26</v>
      </c>
      <c r="F143" s="322" t="str">
        <f>VLOOKUP('OPX_BN+1'!$A143,Tableau106[],5,FALSE)</f>
        <v>RAM2</v>
      </c>
      <c r="G143" s="322" t="str">
        <f>VLOOKUP('OPX_BN+1'!$A143,Tableau106[],7,FALSE)</f>
        <v>EGM</v>
      </c>
      <c r="H143" s="322" t="str">
        <f>VLOOKUP('OPX_BN+1'!$A143,Tableau106[],6,FALSE)</f>
        <v>N</v>
      </c>
      <c r="I143" s="372" t="str">
        <f>VLOOKUP(Tableau17[[#This Row],[OPEX VARIABLES en €
BN 2024]],Tableau106[],9,FALSE)</f>
        <v>BaB</v>
      </c>
      <c r="J143" s="360">
        <f>VLOOKUP(Tableau17[[#This Row],[CODE PI]],Tableau16[[CODE PI]:[(mesures compensatoires du PC ou autres)]],5,FALSE)*(1+$B$1)</f>
        <v>-687899.02499999991</v>
      </c>
      <c r="K143" s="228">
        <v>-629680.00000000012</v>
      </c>
      <c r="L143" s="228"/>
      <c r="M143" s="229">
        <v>0</v>
      </c>
      <c r="N143" s="229">
        <v>0</v>
      </c>
      <c r="O143" s="229">
        <v>0</v>
      </c>
      <c r="P143" s="229">
        <v>-9100</v>
      </c>
      <c r="Q143" s="229">
        <f>-250*'OPX_BN+1'!$E143</f>
        <v>-6500</v>
      </c>
      <c r="R143" s="274">
        <f>SUM('OPX_BN+1'!$K143:$Q143)</f>
        <v>-645280.00000000012</v>
      </c>
      <c r="S143" s="337">
        <f>VLOOKUP(Tableau17[[#This Row],[CODE PI]],Tableau16[[CODE PI]:[(mesures compensatoires du PC ou autres)]],14,FALSE)*(1+$B$1)</f>
        <v>0</v>
      </c>
      <c r="T143" s="423">
        <v>0</v>
      </c>
      <c r="U143" s="341">
        <v>0</v>
      </c>
      <c r="V143" s="423">
        <v>-4000</v>
      </c>
      <c r="W143" s="423">
        <v>0</v>
      </c>
      <c r="X143" s="423">
        <v>0</v>
      </c>
      <c r="Y143" s="423">
        <v>0</v>
      </c>
      <c r="Z143" s="264">
        <f>-250*Tableau17[[#This Row],[MW]]</f>
        <v>-6500</v>
      </c>
      <c r="AA143" s="423"/>
      <c r="AB143" s="273">
        <f>SUM('OPX_BN+1'!$T143:$AA143)</f>
        <v>-10500</v>
      </c>
      <c r="AC143" s="426"/>
      <c r="AD143" s="426"/>
      <c r="AE143" s="382">
        <v>0</v>
      </c>
      <c r="AF143" s="417">
        <v>0</v>
      </c>
      <c r="AG143" s="417">
        <v>0</v>
      </c>
      <c r="AH143" s="417">
        <v>0</v>
      </c>
      <c r="AI143" s="417">
        <v>0</v>
      </c>
      <c r="AJ143" s="371">
        <f>SUM('OPX_BN+1'!$AC143:$AI143)</f>
        <v>0</v>
      </c>
      <c r="AK143" s="424"/>
      <c r="AL143" s="276">
        <f>SUM('OPX_BN+1'!$J143,'OPX_BN+1'!$AB143,'OPX_BN+1'!$S143,'OPX_BN+1'!$AJ143,'OPX_BN+1'!$R143,'OPX_BN+1'!$AK143)</f>
        <v>-1343679.0249999999</v>
      </c>
      <c r="AM143" s="427"/>
    </row>
    <row r="144" spans="1:39" ht="15">
      <c r="A144" s="325" t="s">
        <v>511</v>
      </c>
      <c r="B144" s="320" t="str">
        <f>VLOOKUP('OPX_BN+1'!$A144,Tableau106[],3,FALSE)</f>
        <v>A540</v>
      </c>
      <c r="C144" s="320" t="str">
        <f>VLOOKUP('OPX_BN+1'!$A144,Tableau106[],2,FALSE)</f>
        <v>FR02E04E</v>
      </c>
      <c r="D144" s="320" t="str">
        <f>VLOOKUP('OPX_BN+1'!$A144,Tableau106[],8,FALSE)</f>
        <v>EOLIEN</v>
      </c>
      <c r="E144" s="321">
        <f>VLOOKUP('OPX_BN+1'!$A144,Tableau106[],4,FALSE)</f>
        <v>10</v>
      </c>
      <c r="F144" s="322" t="str">
        <f>VLOOKUP('OPX_BN+1'!$A144,Tableau106[],5,FALSE)</f>
        <v>RIBE</v>
      </c>
      <c r="G144" s="322" t="str">
        <f>VLOOKUP('OPX_BN+1'!$A144,Tableau106[],7,FALSE)</f>
        <v>EGM</v>
      </c>
      <c r="H144" s="322" t="str">
        <f>VLOOKUP('OPX_BN+1'!$A144,Tableau106[],6,FALSE)</f>
        <v>N</v>
      </c>
      <c r="I144" s="372" t="str">
        <f>VLOOKUP(Tableau17[[#This Row],[OPEX VARIABLES en €
BN 2024]],Tableau106[],9,FALSE)</f>
        <v>NoS</v>
      </c>
      <c r="J144" s="360">
        <f>VLOOKUP(Tableau17[[#This Row],[CODE PI]],Tableau16[[CODE PI]:[(mesures compensatoires du PC ou autres)]],5,FALSE)*(1+$B$1)</f>
        <v>-264576.07499999995</v>
      </c>
      <c r="K144" s="228">
        <v>-150000</v>
      </c>
      <c r="L144" s="228"/>
      <c r="M144" s="229">
        <v>0</v>
      </c>
      <c r="N144" s="229">
        <v>0</v>
      </c>
      <c r="O144" s="229">
        <v>0</v>
      </c>
      <c r="P144" s="229">
        <v>-3500</v>
      </c>
      <c r="Q144" s="229">
        <f>-250*'OPX_BN+1'!$E144</f>
        <v>-2500</v>
      </c>
      <c r="R144" s="274">
        <f>SUM('OPX_BN+1'!$K144:$Q144)</f>
        <v>-156000</v>
      </c>
      <c r="S144" s="337">
        <f>VLOOKUP(Tableau17[[#This Row],[CODE PI]],Tableau16[[CODE PI]:[(mesures compensatoires du PC ou autres)]],14,FALSE)*(1+$B$1)</f>
        <v>0</v>
      </c>
      <c r="T144" s="423">
        <v>0</v>
      </c>
      <c r="U144" s="341">
        <v>0</v>
      </c>
      <c r="V144" s="423">
        <v>-4848</v>
      </c>
      <c r="W144" s="423">
        <v>0</v>
      </c>
      <c r="X144" s="423">
        <v>0</v>
      </c>
      <c r="Y144" s="423">
        <v>0</v>
      </c>
      <c r="Z144" s="264">
        <f>-250*Tableau17[[#This Row],[MW]]</f>
        <v>-2500</v>
      </c>
      <c r="AA144" s="423"/>
      <c r="AB144" s="273">
        <f>SUM('OPX_BN+1'!$T144:$AA144)</f>
        <v>-7348</v>
      </c>
      <c r="AC144" s="426"/>
      <c r="AD144" s="426"/>
      <c r="AE144" s="417">
        <v>0</v>
      </c>
      <c r="AF144" s="417">
        <v>0</v>
      </c>
      <c r="AG144" s="417">
        <v>0</v>
      </c>
      <c r="AH144" s="417">
        <v>0</v>
      </c>
      <c r="AI144" s="417">
        <v>0</v>
      </c>
      <c r="AJ144" s="371">
        <f>SUM('OPX_BN+1'!$AC144:$AI144)</f>
        <v>0</v>
      </c>
      <c r="AK144" s="424"/>
      <c r="AL144" s="276">
        <f>SUM('OPX_BN+1'!$J144,'OPX_BN+1'!$AB144,'OPX_BN+1'!$S144,'OPX_BN+1'!$AJ144,'OPX_BN+1'!$R144,'OPX_BN+1'!$AK144)</f>
        <v>-427924.07499999995</v>
      </c>
      <c r="AM144" s="427"/>
    </row>
    <row r="145" spans="1:39" ht="15">
      <c r="A145" s="244" t="s">
        <v>617</v>
      </c>
      <c r="B145" s="320" t="str">
        <f>VLOOKUP('OPX_BN+1'!$A145,Tableau106[],3,FALSE)</f>
        <v>A892</v>
      </c>
      <c r="C145" s="320" t="str">
        <f>VLOOKUP('OPX_BN+1'!$A145,Tableau106[],2,FALSE)</f>
        <v>FR34E98E</v>
      </c>
      <c r="D145" s="320" t="str">
        <f>VLOOKUP('OPX_BN+1'!$A145,Tableau106[],8,FALSE)</f>
        <v>EOLIEN</v>
      </c>
      <c r="E145" s="321">
        <f>VLOOKUP('OPX_BN+1'!$A145,Tableau106[],4,FALSE)</f>
        <v>3.6</v>
      </c>
      <c r="F145" s="322" t="str">
        <f>VLOOKUP('OPX_BN+1'!$A145,Tableau106[],5,FALSE)</f>
        <v>RIOL</v>
      </c>
      <c r="G145" s="322" t="str">
        <f>VLOOKUP('OPX_BN+1'!$A145,Tableau106[],7,FALSE)</f>
        <v>GROUPE</v>
      </c>
      <c r="H145" s="322" t="str">
        <f>VLOOKUP('OPX_BN+1'!$A145,Tableau106[],6,FALSE)</f>
        <v>S</v>
      </c>
      <c r="I145" s="372" t="str">
        <f>VLOOKUP(Tableau17[[#This Row],[OPEX VARIABLES en €
BN 2024]],Tableau106[],9,FALSE)</f>
        <v>SaH</v>
      </c>
      <c r="J145" s="360">
        <f>VLOOKUP(Tableau17[[#This Row],[CODE PI]],Tableau16[[CODE PI]:[(mesures compensatoires du PC ou autres)]],5,FALSE)*(1+$B$1)</f>
        <v>-232341.87499999997</v>
      </c>
      <c r="K145" s="228">
        <v>-6000</v>
      </c>
      <c r="L145" s="228"/>
      <c r="M145" s="229">
        <v>0</v>
      </c>
      <c r="N145" s="229">
        <v>-5000</v>
      </c>
      <c r="O145" s="229">
        <v>0</v>
      </c>
      <c r="P145" s="229">
        <f>-1260-5000</f>
        <v>-6260</v>
      </c>
      <c r="Q145" s="229">
        <f>-250*'OPX_BN+1'!$E145</f>
        <v>-900</v>
      </c>
      <c r="R145" s="274">
        <f>SUM('OPX_BN+1'!$K145:$Q145)</f>
        <v>-18160</v>
      </c>
      <c r="S145" s="337">
        <f>VLOOKUP(Tableau17[[#This Row],[CODE PI]],Tableau16[[CODE PI]:[(mesures compensatoires du PC ou autres)]],14,FALSE)*(1+$B$1)</f>
        <v>0</v>
      </c>
      <c r="T145" s="423">
        <v>0</v>
      </c>
      <c r="U145" s="341">
        <v>0</v>
      </c>
      <c r="V145" s="423">
        <v>-5000</v>
      </c>
      <c r="W145" s="423">
        <v>0</v>
      </c>
      <c r="X145" s="423">
        <v>0</v>
      </c>
      <c r="Y145" s="423">
        <v>0</v>
      </c>
      <c r="Z145" s="264">
        <f>-250*Tableau17[[#This Row],[MW]]</f>
        <v>-900</v>
      </c>
      <c r="AA145" s="423">
        <v>-1000</v>
      </c>
      <c r="AB145" s="273">
        <f>SUM('OPX_BN+1'!$T145:$AA145)</f>
        <v>-6900</v>
      </c>
      <c r="AC145" s="426"/>
      <c r="AD145" s="426"/>
      <c r="AE145" s="417">
        <v>0</v>
      </c>
      <c r="AF145" s="417">
        <v>0</v>
      </c>
      <c r="AG145" s="417">
        <v>0</v>
      </c>
      <c r="AH145" s="417">
        <v>0</v>
      </c>
      <c r="AI145" s="417">
        <v>0</v>
      </c>
      <c r="AJ145" s="371">
        <f>SUM('OPX_BN+1'!$AC145:$AI145)</f>
        <v>0</v>
      </c>
      <c r="AK145" s="424"/>
      <c r="AL145" s="276">
        <f>SUM('OPX_BN+1'!$J145,'OPX_BN+1'!$AB145,'OPX_BN+1'!$S145,'OPX_BN+1'!$AJ145,'OPX_BN+1'!$R145,'OPX_BN+1'!$AK145)</f>
        <v>-257401.87499999997</v>
      </c>
      <c r="AM145" s="427"/>
    </row>
    <row r="146" spans="1:39" ht="15">
      <c r="A146" s="244" t="s">
        <v>581</v>
      </c>
      <c r="B146" s="320" t="str">
        <f>VLOOKUP('OPX_BN+1'!$A146,Tableau106[],3,FALSE)</f>
        <v>A063</v>
      </c>
      <c r="C146" s="320" t="str">
        <f>VLOOKUP('OPX_BN+1'!$A146,Tableau106[],2,FALSE)</f>
        <v>FR34E85E</v>
      </c>
      <c r="D146" s="320" t="str">
        <f>VLOOKUP('OPX_BN+1'!$A146,Tableau106[],8,FALSE)</f>
        <v>EOLIEN</v>
      </c>
      <c r="E146" s="321">
        <f>VLOOKUP('OPX_BN+1'!$A146,Tableau106[],4,FALSE)</f>
        <v>11.5</v>
      </c>
      <c r="F146" s="322" t="str">
        <f>VLOOKUP('OPX_BN+1'!$A146,Tableau106[],5,FALSE)</f>
        <v>FRA1</v>
      </c>
      <c r="G146" s="322" t="str">
        <f>VLOOKUP('OPX_BN+1'!$A146,Tableau106[],7,FALSE)</f>
        <v>FUTUREN</v>
      </c>
      <c r="H146" s="322" t="str">
        <f>VLOOKUP('OPX_BN+1'!$A146,Tableau106[],6,FALSE)</f>
        <v>S</v>
      </c>
      <c r="I146" s="372" t="str">
        <f>VLOOKUP(Tableau17[[#This Row],[OPEX VARIABLES en €
BN 2024]],Tableau106[],9,FALSE)</f>
        <v>OdP</v>
      </c>
      <c r="J146" s="360">
        <f>VLOOKUP(Tableau17[[#This Row],[CODE PI]],Tableau16[[CODE PI]:[(mesures compensatoires du PC ou autres)]],5,FALSE)*(1+$B$1)</f>
        <v>-18849.75</v>
      </c>
      <c r="K146" s="228">
        <v>-10700</v>
      </c>
      <c r="L146" s="228"/>
      <c r="M146" s="229">
        <v>0</v>
      </c>
      <c r="N146" s="229">
        <v>0</v>
      </c>
      <c r="O146" s="229">
        <v>0</v>
      </c>
      <c r="P146" s="229">
        <v>-4025</v>
      </c>
      <c r="Q146" s="229">
        <f>-250*'OPX_BN+1'!$E146</f>
        <v>-2875</v>
      </c>
      <c r="R146" s="274">
        <f>SUM('OPX_BN+1'!$K146:$Q146)</f>
        <v>-17600</v>
      </c>
      <c r="S146" s="337">
        <f>VLOOKUP(Tableau17[[#This Row],[CODE PI]],Tableau16[[CODE PI]:[(mesures compensatoires du PC ou autres)]],14,FALSE)*(1+$B$1)</f>
        <v>-470775.32499999995</v>
      </c>
      <c r="T146" s="423">
        <v>0</v>
      </c>
      <c r="U146" s="341">
        <v>0</v>
      </c>
      <c r="V146" s="423">
        <v>-12600</v>
      </c>
      <c r="W146" s="423">
        <v>-6000</v>
      </c>
      <c r="X146" s="423">
        <v>0</v>
      </c>
      <c r="Y146" s="423">
        <v>0</v>
      </c>
      <c r="Z146" s="264">
        <f>-250*Tableau17[[#This Row],[MW]]</f>
        <v>-2875</v>
      </c>
      <c r="AA146" s="423"/>
      <c r="AB146" s="273">
        <f>SUM('OPX_BN+1'!$T146:$AA146)</f>
        <v>-21475</v>
      </c>
      <c r="AC146" s="426"/>
      <c r="AD146" s="426">
        <f>-4924*1.025</f>
        <v>-5047.0999999999995</v>
      </c>
      <c r="AE146" s="417">
        <v>0</v>
      </c>
      <c r="AF146" s="417">
        <v>-13000</v>
      </c>
      <c r="AG146" s="417">
        <v>-42000</v>
      </c>
      <c r="AH146" s="417">
        <v>0</v>
      </c>
      <c r="AI146" s="417">
        <v>-2000</v>
      </c>
      <c r="AJ146" s="371">
        <f>SUM('OPX_BN+1'!$AC146:$AI146)</f>
        <v>-62047.1</v>
      </c>
      <c r="AK146" s="424"/>
      <c r="AL146" s="276">
        <f>SUM('OPX_BN+1'!$J146,'OPX_BN+1'!$AB146,'OPX_BN+1'!$S146,'OPX_BN+1'!$AJ146,'OPX_BN+1'!$R146,'OPX_BN+1'!$AK146)</f>
        <v>-590747.17499999993</v>
      </c>
      <c r="AM146" s="427"/>
    </row>
    <row r="147" spans="1:39" ht="15">
      <c r="A147" s="325" t="s">
        <v>639</v>
      </c>
      <c r="B147" s="330" t="str">
        <f>VLOOKUP('OPX_BN+1'!$A147,Tableau106[],3,FALSE)</f>
        <v>A955</v>
      </c>
      <c r="C147" s="330" t="str">
        <f>VLOOKUP('OPX_BN+1'!$A147,Tableau106[],2,FALSE)</f>
        <v>FR05S03E</v>
      </c>
      <c r="D147" s="330" t="str">
        <f>VLOOKUP('OPX_BN+1'!$A147,Tableau106[],8,FALSE)</f>
        <v>SOLAIRE</v>
      </c>
      <c r="E147" s="331">
        <f>VLOOKUP('OPX_BN+1'!$A147,Tableau106[],4,FALSE)</f>
        <v>5</v>
      </c>
      <c r="F147" s="330" t="str">
        <f>VLOOKUP('OPX_BN+1'!$A147,Tableau106[],5,FALSE)</f>
        <v>ROCH</v>
      </c>
      <c r="G147" s="330" t="str">
        <f>VLOOKUP('OPX_BN+1'!$A147,Tableau106[],7,FALSE)</f>
        <v>GROUPE</v>
      </c>
      <c r="H147" s="330" t="str">
        <f>VLOOKUP('OPX_BN+1'!$A147,Tableau106[],6,FALSE)</f>
        <v>S</v>
      </c>
      <c r="I147" s="372" t="str">
        <f>VLOOKUP(Tableau17[[#This Row],[OPEX VARIABLES en €
BN 2024]],Tableau106[],9,FALSE)</f>
        <v>BaA</v>
      </c>
      <c r="J147" s="360">
        <f>VLOOKUP(Tableau17[[#This Row],[CODE PI]],Tableau16[[CODE PI]:[(mesures compensatoires du PC ou autres)]],5,FALSE)*(1+$B$1)</f>
        <v>-41000</v>
      </c>
      <c r="K147" s="228">
        <v>0</v>
      </c>
      <c r="L147" s="228"/>
      <c r="M147" s="229"/>
      <c r="N147" s="229"/>
      <c r="O147" s="229"/>
      <c r="P147" s="229"/>
      <c r="Q147" s="229">
        <f>-250*'OPX_BN+1'!$E147</f>
        <v>-1250</v>
      </c>
      <c r="R147" s="274">
        <f>SUM('OPX_BN+1'!$K147:$Q147)</f>
        <v>-1250</v>
      </c>
      <c r="S147" s="388">
        <f>VLOOKUP(Tableau17[[#This Row],[CODE PI]],Tableau16[[CODE PI]:[(mesures compensatoires du PC ou autres)]],14,FALSE)*(1+$B$1)</f>
        <v>0</v>
      </c>
      <c r="T147" s="438"/>
      <c r="U147" s="389"/>
      <c r="V147" s="438"/>
      <c r="W147" s="438"/>
      <c r="X147" s="438"/>
      <c r="Y147" s="438"/>
      <c r="Z147" s="264">
        <f>-250*Tableau17[[#This Row],[MW]]</f>
        <v>-1250</v>
      </c>
      <c r="AA147" s="434"/>
      <c r="AB147" s="391">
        <f>SUM('OPX_BN+1'!$T147:$AA147)</f>
        <v>-1250</v>
      </c>
      <c r="AC147" s="439"/>
      <c r="AD147" s="426"/>
      <c r="AE147" s="417"/>
      <c r="AF147" s="417"/>
      <c r="AG147" s="417"/>
      <c r="AH147" s="417">
        <v>-10000</v>
      </c>
      <c r="AI147" s="417">
        <v>-5000</v>
      </c>
      <c r="AJ147" s="371">
        <f>SUM('OPX_BN+1'!$AC147:$AI147)</f>
        <v>-15000</v>
      </c>
      <c r="AK147" s="429"/>
      <c r="AL147" s="276">
        <f>SUM('OPX_BN+1'!$J147,'OPX_BN+1'!$AB147,'OPX_BN+1'!$S147,'OPX_BN+1'!$AJ147,'OPX_BN+1'!$R147,'OPX_BN+1'!$AK147)</f>
        <v>-58500</v>
      </c>
      <c r="AM147" s="430"/>
    </row>
    <row r="148" spans="1:39" ht="15">
      <c r="A148" s="325" t="s">
        <v>609</v>
      </c>
      <c r="B148" s="320" t="str">
        <f>VLOOKUP('OPX_BN+1'!$A148,Tableau106[],3,FALSE)</f>
        <v>A540</v>
      </c>
      <c r="C148" s="320" t="str">
        <f>VLOOKUP('OPX_BN+1'!$A148,Tableau106[],2,FALSE)</f>
        <v>FR56E06E</v>
      </c>
      <c r="D148" s="320" t="str">
        <f>VLOOKUP('OPX_BN+1'!$A148,Tableau106[],8,FALSE)</f>
        <v>EOLIEN</v>
      </c>
      <c r="E148" s="321">
        <f>VLOOKUP('OPX_BN+1'!$A148,Tableau106[],4,FALSE)</f>
        <v>6.85</v>
      </c>
      <c r="F148" s="322" t="str">
        <f>VLOOKUP('OPX_BN+1'!$A148,Tableau106[],5,FALSE)</f>
        <v>RODU</v>
      </c>
      <c r="G148" s="322" t="str">
        <f>VLOOKUP('OPX_BN+1'!$A148,Tableau106[],7,FALSE)</f>
        <v>EGM</v>
      </c>
      <c r="H148" s="322" t="str">
        <f>VLOOKUP('OPX_BN+1'!$A148,Tableau106[],6,FALSE)</f>
        <v>N</v>
      </c>
      <c r="I148" s="372" t="str">
        <f>VLOOKUP(Tableau17[[#This Row],[OPEX VARIABLES en €
BN 2024]],Tableau106[],9,FALSE)</f>
        <v>DeN</v>
      </c>
      <c r="J148" s="360">
        <f>VLOOKUP(Tableau17[[#This Row],[CODE PI]],Tableau16[[CODE PI]:[(mesures compensatoires du PC ou autres)]],5,FALSE)*(1+$B$1)</f>
        <v>-191654.49999999997</v>
      </c>
      <c r="K148" s="228">
        <v>-40120</v>
      </c>
      <c r="L148" s="228"/>
      <c r="M148" s="229">
        <v>0</v>
      </c>
      <c r="N148" s="229">
        <v>0</v>
      </c>
      <c r="O148" s="229">
        <v>0</v>
      </c>
      <c r="P148" s="229">
        <v>-2397.5</v>
      </c>
      <c r="Q148" s="229">
        <f>-250*'OPX_BN+1'!$E148</f>
        <v>-1712.5</v>
      </c>
      <c r="R148" s="274">
        <f>SUM('OPX_BN+1'!$K148:$Q148)</f>
        <v>-44230</v>
      </c>
      <c r="S148" s="337">
        <f>VLOOKUP(Tableau17[[#This Row],[CODE PI]],Tableau16[[CODE PI]:[(mesures compensatoires du PC ou autres)]],14,FALSE)*(1+$B$1)</f>
        <v>0</v>
      </c>
      <c r="T148" s="423">
        <v>0</v>
      </c>
      <c r="U148" s="341">
        <v>0</v>
      </c>
      <c r="V148" s="423">
        <v>-1000</v>
      </c>
      <c r="W148" s="423">
        <v>0</v>
      </c>
      <c r="X148" s="423">
        <v>0</v>
      </c>
      <c r="Y148" s="423">
        <v>0</v>
      </c>
      <c r="Z148" s="264">
        <f>-250*Tableau17[[#This Row],[MW]]</f>
        <v>-1712.5</v>
      </c>
      <c r="AA148" s="423"/>
      <c r="AB148" s="273">
        <f>SUM('OPX_BN+1'!$T148:$AA148)</f>
        <v>-2712.5</v>
      </c>
      <c r="AC148" s="426"/>
      <c r="AD148" s="426"/>
      <c r="AE148" s="417">
        <v>0</v>
      </c>
      <c r="AF148" s="417">
        <v>0</v>
      </c>
      <c r="AG148" s="417">
        <v>0</v>
      </c>
      <c r="AH148" s="417">
        <v>0</v>
      </c>
      <c r="AI148" s="417">
        <v>0</v>
      </c>
      <c r="AJ148" s="371">
        <f>SUM('OPX_BN+1'!$AC148:$AI148)</f>
        <v>0</v>
      </c>
      <c r="AK148" s="424"/>
      <c r="AL148" s="276">
        <f>SUM('OPX_BN+1'!$J148,'OPX_BN+1'!$AB148,'OPX_BN+1'!$S148,'OPX_BN+1'!$AJ148,'OPX_BN+1'!$R148,'OPX_BN+1'!$AK148)</f>
        <v>-238596.99999999997</v>
      </c>
      <c r="AM148" s="427"/>
    </row>
    <row r="149" spans="1:39" ht="15">
      <c r="A149" s="325" t="s">
        <v>482</v>
      </c>
      <c r="B149" s="320" t="str">
        <f>VLOOKUP('OPX_BN+1'!$A149,Tableau106[],3,FALSE)</f>
        <v>A418</v>
      </c>
      <c r="C149" s="320" t="str">
        <f>VLOOKUP('OPX_BN+1'!$A149,Tableau106[],2,FALSE)</f>
        <v>FR87E03E</v>
      </c>
      <c r="D149" s="320" t="str">
        <f>VLOOKUP('OPX_BN+1'!$A149,Tableau106[],8,FALSE)</f>
        <v>EOLIEN</v>
      </c>
      <c r="E149" s="321">
        <f>VLOOKUP('OPX_BN+1'!$A149,Tableau106[],4,FALSE)</f>
        <v>15</v>
      </c>
      <c r="F149" s="322" t="str">
        <f>VLOOKUP('OPX_BN+1'!$A149,Tableau106[],5,FALSE)</f>
        <v>ROUS</v>
      </c>
      <c r="G149" s="322" t="str">
        <f>VLOOKUP('OPX_BN+1'!$A149,Tableau106[],7,FALSE)</f>
        <v>GROUPE</v>
      </c>
      <c r="H149" s="322" t="str">
        <f>VLOOKUP('OPX_BN+1'!$A149,Tableau106[],6,FALSE)</f>
        <v>S</v>
      </c>
      <c r="I149" s="372" t="str">
        <f>VLOOKUP(Tableau17[[#This Row],[OPEX VARIABLES en €
BN 2024]],Tableau106[],9,FALSE)</f>
        <v>KéC</v>
      </c>
      <c r="J149" s="360">
        <f>VLOOKUP(Tableau17[[#This Row],[CODE PI]],Tableau16[[CODE PI]:[(mesures compensatoires du PC ou autres)]],5,FALSE)*(1+$B$1)</f>
        <v>0</v>
      </c>
      <c r="K149" s="228">
        <v>0</v>
      </c>
      <c r="L149" s="228"/>
      <c r="M149" s="229">
        <v>0</v>
      </c>
      <c r="N149" s="229">
        <v>0</v>
      </c>
      <c r="O149" s="229">
        <v>0</v>
      </c>
      <c r="P149" s="229">
        <f>-440*15</f>
        <v>-6600</v>
      </c>
      <c r="Q149" s="229">
        <f>-250*'OPX_BN+1'!$E149</f>
        <v>-3750</v>
      </c>
      <c r="R149" s="274">
        <f>SUM('OPX_BN+1'!$K149:$Q149)</f>
        <v>-10350</v>
      </c>
      <c r="S149" s="337">
        <f>VLOOKUP(Tableau17[[#This Row],[CODE PI]],Tableau16[[CODE PI]:[(mesures compensatoires du PC ou autres)]],14,FALSE)*(1+$B$1)</f>
        <v>-227860.57499999998</v>
      </c>
      <c r="T149" s="423">
        <v>0</v>
      </c>
      <c r="U149" s="341">
        <v>0</v>
      </c>
      <c r="V149" s="423">
        <v>-7500</v>
      </c>
      <c r="W149" s="423">
        <v>-1500</v>
      </c>
      <c r="X149" s="423">
        <v>0</v>
      </c>
      <c r="Y149" s="423">
        <v>-5000</v>
      </c>
      <c r="Z149" s="264">
        <f>-250*Tableau17[[#This Row],[MW]]</f>
        <v>-3750</v>
      </c>
      <c r="AA149" s="423">
        <f>-0.002*'CA_BN+1'!M141</f>
        <v>-4053.7328939999993</v>
      </c>
      <c r="AB149" s="273">
        <f>SUM('OPX_BN+1'!$T149:$AA149)</f>
        <v>-21803.732894000001</v>
      </c>
      <c r="AC149" s="426"/>
      <c r="AD149" s="426"/>
      <c r="AE149" s="417">
        <v>0</v>
      </c>
      <c r="AF149" s="417">
        <v>-10000</v>
      </c>
      <c r="AG149" s="417">
        <v>-40000</v>
      </c>
      <c r="AH149" s="417">
        <v>0</v>
      </c>
      <c r="AI149" s="417">
        <v>-2017.03</v>
      </c>
      <c r="AJ149" s="371">
        <f>SUM('OPX_BN+1'!$AC149:$AI149)</f>
        <v>-52017.03</v>
      </c>
      <c r="AK149" s="424"/>
      <c r="AL149" s="276">
        <f>SUM('OPX_BN+1'!$J149,'OPX_BN+1'!$AB149,'OPX_BN+1'!$S149,'OPX_BN+1'!$AJ149,'OPX_BN+1'!$R149,'OPX_BN+1'!$AK149)</f>
        <v>-312031.337894</v>
      </c>
      <c r="AM149" s="427"/>
    </row>
    <row r="150" spans="1:39" ht="15">
      <c r="A150" s="244" t="s">
        <v>573</v>
      </c>
      <c r="B150" s="320" t="str">
        <f>VLOOKUP('OPX_BN+1'!$A150,Tableau106[],3,FALSE)</f>
        <v>F037</v>
      </c>
      <c r="C150" s="320" t="str">
        <f>VLOOKUP('OPX_BN+1'!$A150,Tableau106[],2,FALSE)</f>
        <v>FR14E05E</v>
      </c>
      <c r="D150" s="320" t="str">
        <f>VLOOKUP('OPX_BN+1'!$A150,Tableau106[],8,FALSE)</f>
        <v>EOLIEN</v>
      </c>
      <c r="E150" s="321">
        <f>VLOOKUP('OPX_BN+1'!$A150,Tableau106[],4,FALSE)</f>
        <v>10</v>
      </c>
      <c r="F150" s="322" t="str">
        <f>VLOOKUP('OPX_BN+1'!$A150,Tableau106[],5,FALSE)</f>
        <v>SABL</v>
      </c>
      <c r="G150" s="322" t="str">
        <f>VLOOKUP('OPX_BN+1'!$A150,Tableau106[],7,FALSE)</f>
        <v>FUTUREN</v>
      </c>
      <c r="H150" s="322" t="str">
        <f>VLOOKUP('OPX_BN+1'!$A150,Tableau106[],6,FALSE)</f>
        <v>N</v>
      </c>
      <c r="I150" s="372" t="str">
        <f>VLOOKUP(Tableau17[[#This Row],[OPEX VARIABLES en €
BN 2024]],Tableau106[],9,FALSE)</f>
        <v>AnN</v>
      </c>
      <c r="J150" s="360">
        <f>VLOOKUP(Tableau17[[#This Row],[CODE PI]],Tableau16[[CODE PI]:[(mesures compensatoires du PC ou autres)]],5,FALSE)*(1+$B$1)</f>
        <v>-238925.57689704996</v>
      </c>
      <c r="K150" s="228">
        <v>0</v>
      </c>
      <c r="L150" s="228"/>
      <c r="M150" s="229">
        <v>0</v>
      </c>
      <c r="N150" s="229">
        <v>0</v>
      </c>
      <c r="O150" s="229">
        <v>0</v>
      </c>
      <c r="P150" s="229">
        <v>0</v>
      </c>
      <c r="Q150" s="229">
        <f>-250*'OPX_BN+1'!$E150</f>
        <v>-2500</v>
      </c>
      <c r="R150" s="274">
        <f>SUM('OPX_BN+1'!$K150:$Q150)</f>
        <v>-2500</v>
      </c>
      <c r="S150" s="337">
        <f>VLOOKUP(Tableau17[[#This Row],[CODE PI]],Tableau16[[CODE PI]:[(mesures compensatoires du PC ou autres)]],14,FALSE)*(1+$B$1)</f>
        <v>0</v>
      </c>
      <c r="T150" s="423">
        <v>0</v>
      </c>
      <c r="U150" s="341">
        <v>0</v>
      </c>
      <c r="V150" s="423">
        <v>0</v>
      </c>
      <c r="W150" s="423">
        <v>-1000</v>
      </c>
      <c r="X150" s="423">
        <v>0</v>
      </c>
      <c r="Y150" s="423">
        <v>0</v>
      </c>
      <c r="Z150" s="264">
        <f>-250*Tableau17[[#This Row],[MW]]</f>
        <v>-2500</v>
      </c>
      <c r="AA150" s="423"/>
      <c r="AB150" s="273">
        <f>SUM('OPX_BN+1'!$T150:$AA150)</f>
        <v>-3500</v>
      </c>
      <c r="AC150" s="426"/>
      <c r="AD150" s="426"/>
      <c r="AE150" s="417">
        <v>0</v>
      </c>
      <c r="AF150" s="417">
        <v>0</v>
      </c>
      <c r="AG150" s="417">
        <v>0</v>
      </c>
      <c r="AH150" s="417">
        <v>0</v>
      </c>
      <c r="AI150" s="417">
        <v>0</v>
      </c>
      <c r="AJ150" s="371">
        <f>SUM('OPX_BN+1'!$AC150:$AI150)</f>
        <v>0</v>
      </c>
      <c r="AK150" s="424"/>
      <c r="AL150" s="276">
        <f>SUM('OPX_BN+1'!$J150,'OPX_BN+1'!$AB150,'OPX_BN+1'!$S150,'OPX_BN+1'!$AJ150,'OPX_BN+1'!$R150,'OPX_BN+1'!$AK150)</f>
        <v>-244925.57689704996</v>
      </c>
      <c r="AM150" s="427"/>
    </row>
    <row r="151" spans="1:39" ht="15">
      <c r="A151" s="244" t="s">
        <v>578</v>
      </c>
      <c r="B151" s="320" t="str">
        <f>VLOOKUP('OPX_BN+1'!$A151,Tableau106[],3,FALSE)</f>
        <v>A544</v>
      </c>
      <c r="C151" s="320" t="str">
        <f>VLOOKUP('OPX_BN+1'!$A151,Tableau106[],2,FALSE)</f>
        <v>FR55E07E</v>
      </c>
      <c r="D151" s="320" t="str">
        <f>VLOOKUP('OPX_BN+1'!$A151,Tableau106[],8,FALSE)</f>
        <v>EOLIEN</v>
      </c>
      <c r="E151" s="321">
        <f>VLOOKUP('OPX_BN+1'!$A151,Tableau106[],4,FALSE)</f>
        <v>12</v>
      </c>
      <c r="F151" s="322" t="str">
        <f>VLOOKUP('OPX_BN+1'!$A151,Tableau106[],5,FALSE)</f>
        <v>STAU</v>
      </c>
      <c r="G151" s="322" t="str">
        <f>VLOOKUP('OPX_BN+1'!$A151,Tableau106[],7,FALSE)</f>
        <v>EGM</v>
      </c>
      <c r="H151" s="322" t="str">
        <f>VLOOKUP('OPX_BN+1'!$A151,Tableau106[],6,FALSE)</f>
        <v>N</v>
      </c>
      <c r="I151" s="372" t="str">
        <f>VLOOKUP(Tableau17[[#This Row],[OPEX VARIABLES en €
BN 2024]],Tableau106[],9,FALSE)</f>
        <v>NoS</v>
      </c>
      <c r="J151" s="360">
        <f>VLOOKUP(Tableau17[[#This Row],[CODE PI]],Tableau16[[CODE PI]:[(mesures compensatoires du PC ou autres)]],5,FALSE)*(1+$B$1)</f>
        <v>-317287.72499999998</v>
      </c>
      <c r="K151" s="228">
        <v>-100000</v>
      </c>
      <c r="L151" s="228"/>
      <c r="M151" s="229">
        <v>0</v>
      </c>
      <c r="N151" s="229">
        <v>0</v>
      </c>
      <c r="O151" s="229">
        <v>0</v>
      </c>
      <c r="P151" s="229">
        <v>-4200</v>
      </c>
      <c r="Q151" s="229">
        <f>-250*'OPX_BN+1'!$E151</f>
        <v>-3000</v>
      </c>
      <c r="R151" s="274">
        <f>SUM('OPX_BN+1'!$K151:$Q151)</f>
        <v>-107200</v>
      </c>
      <c r="S151" s="337">
        <f>VLOOKUP(Tableau17[[#This Row],[CODE PI]],Tableau16[[CODE PI]:[(mesures compensatoires du PC ou autres)]],14,FALSE)*(1+$B$1)</f>
        <v>0</v>
      </c>
      <c r="T151" s="423">
        <v>0</v>
      </c>
      <c r="U151" s="341">
        <v>0</v>
      </c>
      <c r="V151" s="423">
        <v>-2000</v>
      </c>
      <c r="W151" s="423">
        <v>0</v>
      </c>
      <c r="X151" s="423">
        <v>0</v>
      </c>
      <c r="Y151" s="423">
        <v>-720</v>
      </c>
      <c r="Z151" s="264">
        <f>-250*Tableau17[[#This Row],[MW]]</f>
        <v>-3000</v>
      </c>
      <c r="AA151" s="423"/>
      <c r="AB151" s="273">
        <f>SUM('OPX_BN+1'!$T151:$AA151)</f>
        <v>-5720</v>
      </c>
      <c r="AC151" s="426"/>
      <c r="AD151" s="426"/>
      <c r="AE151" s="417">
        <v>0</v>
      </c>
      <c r="AF151" s="417">
        <v>0</v>
      </c>
      <c r="AG151" s="417">
        <v>0</v>
      </c>
      <c r="AH151" s="417">
        <v>0</v>
      </c>
      <c r="AI151" s="417">
        <v>0</v>
      </c>
      <c r="AJ151" s="371">
        <f>SUM('OPX_BN+1'!$AC151:$AI151)</f>
        <v>0</v>
      </c>
      <c r="AK151" s="424"/>
      <c r="AL151" s="276">
        <f>SUM('OPX_BN+1'!$J151,'OPX_BN+1'!$AB151,'OPX_BN+1'!$S151,'OPX_BN+1'!$AJ151,'OPX_BN+1'!$R151,'OPX_BN+1'!$AK151)</f>
        <v>-430207.72499999998</v>
      </c>
      <c r="AM151" s="427"/>
    </row>
    <row r="152" spans="1:39" ht="15">
      <c r="A152" s="244" t="s">
        <v>612</v>
      </c>
      <c r="B152" s="320" t="str">
        <f>VLOOKUP('OPX_BN+1'!$A152,Tableau106[],3,FALSE)</f>
        <v>A540</v>
      </c>
      <c r="C152" s="320" t="str">
        <f>VLOOKUP('OPX_BN+1'!$A152,Tableau106[],2,FALSE)</f>
        <v>FR56E07E</v>
      </c>
      <c r="D152" s="320" t="str">
        <f>VLOOKUP('OPX_BN+1'!$A152,Tableau106[],8,FALSE)</f>
        <v>EOLIEN</v>
      </c>
      <c r="E152" s="321">
        <f>VLOOKUP('OPX_BN+1'!$A152,Tableau106[],4,FALSE)</f>
        <v>8</v>
      </c>
      <c r="F152" s="322" t="str">
        <f>VLOOKUP('OPX_BN+1'!$A152,Tableau106[],5,FALSE)</f>
        <v>STME</v>
      </c>
      <c r="G152" s="322" t="str">
        <f>VLOOKUP('OPX_BN+1'!$A152,Tableau106[],7,FALSE)</f>
        <v>EGM</v>
      </c>
      <c r="H152" s="322" t="str">
        <f>VLOOKUP('OPX_BN+1'!$A152,Tableau106[],6,FALSE)</f>
        <v>N</v>
      </c>
      <c r="I152" s="372" t="str">
        <f>VLOOKUP(Tableau17[[#This Row],[OPEX VARIABLES en €
BN 2024]],Tableau106[],9,FALSE)</f>
        <v>DeN</v>
      </c>
      <c r="J152" s="360">
        <f>VLOOKUP(Tableau17[[#This Row],[CODE PI]],Tableau16[[CODE PI]:[(mesures compensatoires du PC ou autres)]],5,FALSE)*(1+$B$1)</f>
        <v>-211661.47499999998</v>
      </c>
      <c r="K152" s="228">
        <v>-35400</v>
      </c>
      <c r="L152" s="228"/>
      <c r="M152" s="229">
        <v>0</v>
      </c>
      <c r="N152" s="229">
        <v>0</v>
      </c>
      <c r="O152" s="229">
        <v>0</v>
      </c>
      <c r="P152" s="229">
        <v>-2800</v>
      </c>
      <c r="Q152" s="229">
        <f>-250*'OPX_BN+1'!$E152</f>
        <v>-2000</v>
      </c>
      <c r="R152" s="274">
        <f>SUM('OPX_BN+1'!$K152:$Q152)</f>
        <v>-40200</v>
      </c>
      <c r="S152" s="337">
        <f>VLOOKUP(Tableau17[[#This Row],[CODE PI]],Tableau16[[CODE PI]:[(mesures compensatoires du PC ou autres)]],14,FALSE)*(1+$B$1)</f>
        <v>0</v>
      </c>
      <c r="T152" s="423">
        <v>0</v>
      </c>
      <c r="U152" s="341">
        <v>0</v>
      </c>
      <c r="V152" s="423">
        <v>-1000</v>
      </c>
      <c r="W152" s="423">
        <v>0</v>
      </c>
      <c r="X152" s="423">
        <v>0</v>
      </c>
      <c r="Y152" s="423">
        <v>0</v>
      </c>
      <c r="Z152" s="264">
        <f>-250*Tableau17[[#This Row],[MW]]</f>
        <v>-2000</v>
      </c>
      <c r="AA152" s="423"/>
      <c r="AB152" s="273">
        <f>SUM('OPX_BN+1'!$T152:$AA152)</f>
        <v>-3000</v>
      </c>
      <c r="AC152" s="426"/>
      <c r="AD152" s="426"/>
      <c r="AE152" s="417">
        <v>0</v>
      </c>
      <c r="AF152" s="417">
        <v>0</v>
      </c>
      <c r="AG152" s="417">
        <v>0</v>
      </c>
      <c r="AH152" s="417">
        <v>0</v>
      </c>
      <c r="AI152" s="417">
        <v>0</v>
      </c>
      <c r="AJ152" s="371">
        <f>SUM('OPX_BN+1'!$AC152:$AI152)</f>
        <v>0</v>
      </c>
      <c r="AK152" s="424"/>
      <c r="AL152" s="276">
        <f>SUM('OPX_BN+1'!$J152,'OPX_BN+1'!$AB152,'OPX_BN+1'!$S152,'OPX_BN+1'!$AJ152,'OPX_BN+1'!$R152,'OPX_BN+1'!$AK152)</f>
        <v>-254861.47499999998</v>
      </c>
      <c r="AM152" s="427"/>
    </row>
    <row r="153" spans="1:39" ht="15">
      <c r="A153" s="325" t="s">
        <v>589</v>
      </c>
      <c r="B153" s="320" t="str">
        <f>VLOOKUP('OPX_BN+1'!$A153,Tableau106[],3,FALSE)</f>
        <v>A135</v>
      </c>
      <c r="C153" s="320" t="str">
        <f>VLOOKUP('OPX_BN+1'!$A153,Tableau106[],2,FALSE)</f>
        <v>FR04S98E</v>
      </c>
      <c r="D153" s="320" t="str">
        <f>VLOOKUP('OPX_BN+1'!$A153,Tableau106[],8,FALSE)</f>
        <v>SOLAIRE</v>
      </c>
      <c r="E153" s="321">
        <f>VLOOKUP('OPX_BN+1'!$A153,Tableau106[],4,FALSE)</f>
        <v>5.2350000000000003</v>
      </c>
      <c r="F153" s="322" t="str">
        <f>VLOOKUP('OPX_BN+1'!$A153,Tableau106[],5,FALSE)</f>
        <v>STUL</v>
      </c>
      <c r="G153" s="322" t="str">
        <f>VLOOKUP('OPX_BN+1'!$A153,Tableau106[],7,FALSE)</f>
        <v>GROUPE</v>
      </c>
      <c r="H153" s="322" t="str">
        <f>VLOOKUP('OPX_BN+1'!$A153,Tableau106[],6,FALSE)</f>
        <v>S</v>
      </c>
      <c r="I153" s="372" t="str">
        <f>VLOOKUP(Tableau17[[#This Row],[OPEX VARIABLES en €
BN 2024]],Tableau106[],9,FALSE)</f>
        <v>ArB</v>
      </c>
      <c r="J153" s="360">
        <f>VLOOKUP(Tableau17[[#This Row],[CODE PI]],Tableau16[[CODE PI]:[(mesures compensatoires du PC ou autres)]],5,FALSE)*(1+$B$1)</f>
        <v>-177335.24999999997</v>
      </c>
      <c r="K153" s="228">
        <v>-12870.000000000002</v>
      </c>
      <c r="L153" s="228"/>
      <c r="M153" s="229">
        <v>0</v>
      </c>
      <c r="N153" s="229">
        <v>0</v>
      </c>
      <c r="O153" s="229">
        <v>0</v>
      </c>
      <c r="P153" s="229">
        <v>0</v>
      </c>
      <c r="Q153" s="229">
        <f>-250*'OPX_BN+1'!$E153</f>
        <v>-1308.75</v>
      </c>
      <c r="R153" s="274">
        <f>SUM('OPX_BN+1'!$K153:$Q153)</f>
        <v>-14178.750000000002</v>
      </c>
      <c r="S153" s="337">
        <f>VLOOKUP(Tableau17[[#This Row],[CODE PI]],Tableau16[[CODE PI]:[(mesures compensatoires du PC ou autres)]],14,FALSE)*(1+$B$1)</f>
        <v>0</v>
      </c>
      <c r="T153" s="423">
        <v>0</v>
      </c>
      <c r="U153" s="341">
        <v>0</v>
      </c>
      <c r="V153" s="423">
        <v>-15000</v>
      </c>
      <c r="W153" s="423">
        <v>0</v>
      </c>
      <c r="X153" s="423">
        <v>0</v>
      </c>
      <c r="Y153" s="423">
        <v>0</v>
      </c>
      <c r="Z153" s="264">
        <f>-250*Tableau17[[#This Row],[MW]]</f>
        <v>-1308.75</v>
      </c>
      <c r="AA153" s="423">
        <v>-5000</v>
      </c>
      <c r="AB153" s="273">
        <f>SUM('OPX_BN+1'!$T153:$AA153)</f>
        <v>-21308.75</v>
      </c>
      <c r="AC153" s="426"/>
      <c r="AD153" s="426"/>
      <c r="AE153" s="417">
        <v>0</v>
      </c>
      <c r="AF153" s="417">
        <v>0</v>
      </c>
      <c r="AG153" s="417">
        <v>0</v>
      </c>
      <c r="AH153" s="417">
        <v>0</v>
      </c>
      <c r="AI153" s="417">
        <v>-2000</v>
      </c>
      <c r="AJ153" s="371">
        <f>SUM('OPX_BN+1'!$AC153:$AI153)</f>
        <v>-2000</v>
      </c>
      <c r="AK153" s="424"/>
      <c r="AL153" s="276">
        <f>SUM('OPX_BN+1'!$J153,'OPX_BN+1'!$AB153,'OPX_BN+1'!$S153,'OPX_BN+1'!$AJ153,'OPX_BN+1'!$R153,'OPX_BN+1'!$AK153)</f>
        <v>-214822.74999999997</v>
      </c>
      <c r="AM153" s="427"/>
    </row>
    <row r="154" spans="1:39" ht="15">
      <c r="A154" s="325" t="s">
        <v>317</v>
      </c>
      <c r="B154" s="320" t="str">
        <f>VLOOKUP('OPX_BN+1'!$A154,Tableau106[],3,FALSE)</f>
        <v>F040</v>
      </c>
      <c r="C154" s="320" t="str">
        <f>VLOOKUP('OPX_BN+1'!$A154,Tableau106[],2,FALSE)</f>
        <v>FR14E04E</v>
      </c>
      <c r="D154" s="320" t="str">
        <f>VLOOKUP('OPX_BN+1'!$A154,Tableau106[],8,FALSE)</f>
        <v>EOLIEN</v>
      </c>
      <c r="E154" s="321">
        <f>VLOOKUP('OPX_BN+1'!$A154,Tableau106[],4,FALSE)</f>
        <v>8</v>
      </c>
      <c r="F154" s="322" t="str">
        <f>VLOOKUP('OPX_BN+1'!$A154,Tableau106[],5,FALSE)</f>
        <v>SALL</v>
      </c>
      <c r="G154" s="322" t="str">
        <f>VLOOKUP('OPX_BN+1'!$A154,Tableau106[],7,FALSE)</f>
        <v>FUTUREN</v>
      </c>
      <c r="H154" s="322" t="str">
        <f>VLOOKUP('OPX_BN+1'!$A154,Tableau106[],6,FALSE)</f>
        <v>N</v>
      </c>
      <c r="I154" s="372" t="str">
        <f>VLOOKUP(Tableau17[[#This Row],[OPEX VARIABLES en €
BN 2024]],Tableau106[],9,FALSE)</f>
        <v>MéS</v>
      </c>
      <c r="J154" s="360">
        <f>VLOOKUP(Tableau17[[#This Row],[CODE PI]],Tableau16[[CODE PI]:[(mesures compensatoires du PC ou autres)]],5,FALSE)*(1+$B$1)</f>
        <v>-9339.7999999999993</v>
      </c>
      <c r="K154" s="228">
        <v>-5150</v>
      </c>
      <c r="L154" s="228"/>
      <c r="M154" s="229">
        <v>0</v>
      </c>
      <c r="N154" s="229">
        <v>0</v>
      </c>
      <c r="O154" s="229">
        <v>0</v>
      </c>
      <c r="P154" s="229">
        <f>-440*Tableau17[[#This Row],[MW]]</f>
        <v>-3520</v>
      </c>
      <c r="Q154" s="229">
        <f>-250*'OPX_BN+1'!$E154</f>
        <v>-2000</v>
      </c>
      <c r="R154" s="274">
        <f>SUM('OPX_BN+1'!$K154:$Q154)</f>
        <v>-10670</v>
      </c>
      <c r="S154" s="337">
        <f>VLOOKUP(Tableau17[[#This Row],[CODE PI]],Tableau16[[CODE PI]:[(mesures compensatoires du PC ou autres)]],14,FALSE)*(1+$B$1)</f>
        <v>-186549.99999999997</v>
      </c>
      <c r="T154" s="423">
        <v>0</v>
      </c>
      <c r="U154" s="341">
        <v>0</v>
      </c>
      <c r="V154" s="386">
        <v>-5800</v>
      </c>
      <c r="W154" s="423">
        <v>0</v>
      </c>
      <c r="X154" s="423">
        <v>0</v>
      </c>
      <c r="Y154" s="423">
        <v>0</v>
      </c>
      <c r="Z154" s="264">
        <f>-250*Tableau17[[#This Row],[MW]]</f>
        <v>-2000</v>
      </c>
      <c r="AA154" s="423"/>
      <c r="AB154" s="273">
        <f>SUM('OPX_BN+1'!$T154:$AA154)</f>
        <v>-7800</v>
      </c>
      <c r="AC154" s="426"/>
      <c r="AD154" s="426">
        <f>-4924*1.025</f>
        <v>-5047.0999999999995</v>
      </c>
      <c r="AE154" s="417">
        <v>0</v>
      </c>
      <c r="AF154" s="417">
        <v>0</v>
      </c>
      <c r="AG154" s="417">
        <v>0</v>
      </c>
      <c r="AH154" s="417">
        <v>0</v>
      </c>
      <c r="AI154" s="417">
        <v>0</v>
      </c>
      <c r="AJ154" s="371">
        <f>SUM('OPX_BN+1'!$AC154:$AI154)</f>
        <v>-5047.0999999999995</v>
      </c>
      <c r="AK154" s="424"/>
      <c r="AL154" s="276">
        <f>SUM('OPX_BN+1'!$J154,'OPX_BN+1'!$AB154,'OPX_BN+1'!$S154,'OPX_BN+1'!$AJ154,'OPX_BN+1'!$R154,'OPX_BN+1'!$AK154)</f>
        <v>-219406.89999999997</v>
      </c>
      <c r="AM154" s="427"/>
    </row>
    <row r="155" spans="1:39" ht="15">
      <c r="A155" s="325" t="s">
        <v>641</v>
      </c>
      <c r="B155" s="330" t="str">
        <f>VLOOKUP('OPX_BN+1'!$A155,Tableau106[],3,FALSE)</f>
        <v>A269</v>
      </c>
      <c r="C155" s="330" t="str">
        <f>VLOOKUP('OPX_BN+1'!$A155,Tableau106[],2,FALSE)</f>
        <v>FR13S17E</v>
      </c>
      <c r="D155" s="330" t="str">
        <f>VLOOKUP('OPX_BN+1'!$A155,Tableau106[],8,FALSE)</f>
        <v>SOLAIRE</v>
      </c>
      <c r="E155" s="331">
        <f>VLOOKUP('OPX_BN+1'!$A155,Tableau106[],4,FALSE)</f>
        <v>3.4</v>
      </c>
      <c r="F155" s="330" t="str">
        <f>VLOOKUP('OPX_BN+1'!$A155,Tableau106[],5,FALSE)</f>
        <v>SALP</v>
      </c>
      <c r="G155" s="330" t="str">
        <f>VLOOKUP('OPX_BN+1'!$A155,Tableau106[],7,FALSE)</f>
        <v>GROUPE</v>
      </c>
      <c r="H155" s="330" t="str">
        <f>VLOOKUP('OPX_BN+1'!$A155,Tableau106[],6,FALSE)</f>
        <v>S</v>
      </c>
      <c r="I155" s="372" t="str">
        <f>VLOOKUP(Tableau17[[#This Row],[OPEX VARIABLES en €
BN 2024]],Tableau106[],9,FALSE)</f>
        <v>BaA</v>
      </c>
      <c r="J155" s="360">
        <f>VLOOKUP(Tableau17[[#This Row],[CODE PI]],Tableau16[[CODE PI]:[(mesures compensatoires du PC ou autres)]],5,FALSE)*(1+$B$1)</f>
        <v>-27879.999999999996</v>
      </c>
      <c r="K155" s="228">
        <v>0</v>
      </c>
      <c r="L155" s="228"/>
      <c r="M155" s="229"/>
      <c r="N155" s="229"/>
      <c r="O155" s="229"/>
      <c r="P155" s="394"/>
      <c r="Q155" s="229">
        <f>-250*'OPX_BN+1'!$E155</f>
        <v>-850</v>
      </c>
      <c r="R155" s="274">
        <f>SUM('OPX_BN+1'!$K155:$Q155)</f>
        <v>-850</v>
      </c>
      <c r="S155" s="388">
        <f>VLOOKUP(Tableau17[[#This Row],[CODE PI]],Tableau16[[CODE PI]:[(mesures compensatoires du PC ou autres)]],14,FALSE)*(1+$B$1)</f>
        <v>0</v>
      </c>
      <c r="T155" s="438"/>
      <c r="U155" s="389"/>
      <c r="V155" s="440"/>
      <c r="W155" s="438"/>
      <c r="X155" s="438"/>
      <c r="Y155" s="438"/>
      <c r="Z155" s="264">
        <f>-250*Tableau17[[#This Row],[MW]]</f>
        <v>-850</v>
      </c>
      <c r="AA155" s="434"/>
      <c r="AB155" s="391">
        <f>SUM('OPX_BN+1'!$T155:$AA155)</f>
        <v>-850</v>
      </c>
      <c r="AC155" s="439"/>
      <c r="AD155" s="426"/>
      <c r="AE155" s="417"/>
      <c r="AF155" s="417"/>
      <c r="AG155" s="417"/>
      <c r="AH155" s="417">
        <v>-5000</v>
      </c>
      <c r="AI155" s="417"/>
      <c r="AJ155" s="371">
        <f>SUM('OPX_BN+1'!$AC155:$AI155)</f>
        <v>-5000</v>
      </c>
      <c r="AK155" s="429"/>
      <c r="AL155" s="276">
        <f>SUM('OPX_BN+1'!$J155,'OPX_BN+1'!$AB155,'OPX_BN+1'!$S155,'OPX_BN+1'!$AJ155,'OPX_BN+1'!$R155,'OPX_BN+1'!$AK155)</f>
        <v>-34580</v>
      </c>
      <c r="AM155" s="430"/>
    </row>
    <row r="156" spans="1:39" ht="15">
      <c r="A156" s="244" t="s">
        <v>591</v>
      </c>
      <c r="B156" s="320" t="str">
        <f>VLOOKUP('OPX_BN+1'!$A156,Tableau106[],3,FALSE)</f>
        <v>A272</v>
      </c>
      <c r="C156" s="320" t="str">
        <f>VLOOKUP('OPX_BN+1'!$A156,Tableau106[],2,FALSE)</f>
        <v>FR43S03E</v>
      </c>
      <c r="D156" s="320" t="str">
        <f>VLOOKUP('OPX_BN+1'!$A156,Tableau106[],8,FALSE)</f>
        <v>SOLAIRE</v>
      </c>
      <c r="E156" s="321">
        <f>VLOOKUP('OPX_BN+1'!$A156,Tableau106[],4,FALSE)</f>
        <v>4.2</v>
      </c>
      <c r="F156" s="322" t="str">
        <f>VLOOKUP('OPX_BN+1'!$A156,Tableau106[],5,FALSE)</f>
        <v>SALZ</v>
      </c>
      <c r="G156" s="322" t="str">
        <f>VLOOKUP('OPX_BN+1'!$A156,Tableau106[],7,FALSE)</f>
        <v>GROUPE</v>
      </c>
      <c r="H156" s="322" t="str">
        <f>VLOOKUP('OPX_BN+1'!$A156,Tableau106[],6,FALSE)</f>
        <v>S</v>
      </c>
      <c r="I156" s="372" t="str">
        <f>VLOOKUP(Tableau17[[#This Row],[OPEX VARIABLES en €
BN 2024]],Tableau106[],9,FALSE)</f>
        <v>ArB</v>
      </c>
      <c r="J156" s="360">
        <f>VLOOKUP(Tableau17[[#This Row],[CODE PI]],Tableau16[[CODE PI]:[(mesures compensatoires du PC ou autres)]],5,FALSE)*(1+$B$1)</f>
        <v>-36172.25</v>
      </c>
      <c r="K156" s="228">
        <v>-5730</v>
      </c>
      <c r="L156" s="228"/>
      <c r="M156" s="229">
        <v>0</v>
      </c>
      <c r="N156" s="229">
        <v>0</v>
      </c>
      <c r="O156" s="229">
        <v>0</v>
      </c>
      <c r="P156" s="229">
        <v>0</v>
      </c>
      <c r="Q156" s="229">
        <f>-250*'OPX_BN+1'!$E156</f>
        <v>-1050</v>
      </c>
      <c r="R156" s="274">
        <f>SUM('OPX_BN+1'!$K156:$Q156)</f>
        <v>-6780</v>
      </c>
      <c r="S156" s="337">
        <f>VLOOKUP(Tableau17[[#This Row],[CODE PI]],Tableau16[[CODE PI]:[(mesures compensatoires du PC ou autres)]],14,FALSE)*(1+$B$1)</f>
        <v>0</v>
      </c>
      <c r="T156" s="423">
        <v>0</v>
      </c>
      <c r="U156" s="341">
        <v>0</v>
      </c>
      <c r="V156" s="423">
        <v>-15000</v>
      </c>
      <c r="W156" s="423">
        <v>0</v>
      </c>
      <c r="X156" s="423">
        <v>0</v>
      </c>
      <c r="Y156" s="423">
        <v>0</v>
      </c>
      <c r="Z156" s="264">
        <f>-250*Tableau17[[#This Row],[MW]]</f>
        <v>-1050</v>
      </c>
      <c r="AA156" s="423">
        <v>-600</v>
      </c>
      <c r="AB156" s="273">
        <f>SUM('OPX_BN+1'!$T156:$AA156)</f>
        <v>-16650</v>
      </c>
      <c r="AC156" s="426"/>
      <c r="AD156" s="426"/>
      <c r="AE156" s="417">
        <v>0</v>
      </c>
      <c r="AF156" s="417">
        <v>0</v>
      </c>
      <c r="AG156" s="417">
        <v>0</v>
      </c>
      <c r="AH156" s="417">
        <v>0</v>
      </c>
      <c r="AI156" s="417">
        <v>0</v>
      </c>
      <c r="AJ156" s="371">
        <f>SUM('OPX_BN+1'!$AC156:$AI156)</f>
        <v>0</v>
      </c>
      <c r="AK156" s="424"/>
      <c r="AL156" s="276">
        <f>SUM('OPX_BN+1'!$J156,'OPX_BN+1'!$AB156,'OPX_BN+1'!$S156,'OPX_BN+1'!$AJ156,'OPX_BN+1'!$R156,'OPX_BN+1'!$AK156)</f>
        <v>-59602.25</v>
      </c>
      <c r="AM156" s="427"/>
    </row>
    <row r="157" spans="1:39" ht="15">
      <c r="A157" s="325" t="s">
        <v>592</v>
      </c>
      <c r="B157" s="320" t="str">
        <f>VLOOKUP('OPX_BN+1'!$A157,Tableau106[],3,FALSE)</f>
        <v>A257</v>
      </c>
      <c r="C157" s="320" t="str">
        <f>VLOOKUP('OPX_BN+1'!$A157,Tableau106[],2,FALSE)</f>
        <v>FR01S03E</v>
      </c>
      <c r="D157" s="320" t="str">
        <f>VLOOKUP('OPX_BN+1'!$A157,Tableau106[],8,FALSE)</f>
        <v>SOLAIRE</v>
      </c>
      <c r="E157" s="321">
        <f>VLOOKUP('OPX_BN+1'!$A157,Tableau106[],4,FALSE)</f>
        <v>3.6</v>
      </c>
      <c r="F157" s="322" t="str">
        <f>VLOOKUP('OPX_BN+1'!$A157,Tableau106[],5,FALSE)</f>
        <v>SAMO</v>
      </c>
      <c r="G157" s="322" t="str">
        <f>VLOOKUP('OPX_BN+1'!$A157,Tableau106[],7,FALSE)</f>
        <v>GROUPE</v>
      </c>
      <c r="H157" s="322" t="str">
        <f>VLOOKUP('OPX_BN+1'!$A157,Tableau106[],6,FALSE)</f>
        <v>S</v>
      </c>
      <c r="I157" s="372" t="str">
        <f>VLOOKUP(Tableau17[[#This Row],[OPEX VARIABLES en €
BN 2024]],Tableau106[],9,FALSE)</f>
        <v>ArB</v>
      </c>
      <c r="J157" s="360">
        <f>VLOOKUP(Tableau17[[#This Row],[CODE PI]],Tableau16[[CODE PI]:[(mesures compensatoires du PC ou autres)]],5,FALSE)*(1+$B$1)</f>
        <v>0</v>
      </c>
      <c r="K157" s="228">
        <v>0</v>
      </c>
      <c r="L157" s="228"/>
      <c r="M157" s="229">
        <v>0</v>
      </c>
      <c r="N157" s="229">
        <v>0</v>
      </c>
      <c r="O157" s="229">
        <v>0</v>
      </c>
      <c r="P157" s="229">
        <v>0</v>
      </c>
      <c r="Q157" s="334"/>
      <c r="R157" s="274">
        <f>SUM('OPX_BN+1'!$K157:$Q157)</f>
        <v>0</v>
      </c>
      <c r="S157" s="337">
        <f>VLOOKUP(Tableau17[[#This Row],[CODE PI]],Tableau16[[CODE PI]:[(mesures compensatoires du PC ou autres)]],14,FALSE)*(1+$B$1)</f>
        <v>-24343.749999999996</v>
      </c>
      <c r="T157" s="423">
        <v>-2100</v>
      </c>
      <c r="U157" s="341">
        <v>0</v>
      </c>
      <c r="V157" s="423">
        <v>-3581</v>
      </c>
      <c r="W157" s="423">
        <v>0</v>
      </c>
      <c r="X157" s="423">
        <v>0</v>
      </c>
      <c r="Y157" s="423">
        <v>0</v>
      </c>
      <c r="Z157" s="264">
        <f>-250*Tableau17[[#This Row],[MW]]</f>
        <v>-900</v>
      </c>
      <c r="AA157" s="423">
        <v>-500</v>
      </c>
      <c r="AB157" s="273">
        <f>SUM('OPX_BN+1'!$T157:$AA157)</f>
        <v>-7081</v>
      </c>
      <c r="AC157" s="426"/>
      <c r="AD157" s="426"/>
      <c r="AE157" s="417">
        <v>0</v>
      </c>
      <c r="AF157" s="417">
        <v>0</v>
      </c>
      <c r="AG157" s="417">
        <v>0</v>
      </c>
      <c r="AH157" s="417">
        <v>-5000</v>
      </c>
      <c r="AI157" s="417">
        <v>0</v>
      </c>
      <c r="AJ157" s="371">
        <f>SUM('OPX_BN+1'!$AC157:$AI157)</f>
        <v>-5000</v>
      </c>
      <c r="AK157" s="424"/>
      <c r="AL157" s="276">
        <f>SUM('OPX_BN+1'!$J157,'OPX_BN+1'!$AB157,'OPX_BN+1'!$S157,'OPX_BN+1'!$AJ157,'OPX_BN+1'!$R157,'OPX_BN+1'!$AK157)</f>
        <v>-36424.75</v>
      </c>
      <c r="AM157" s="427"/>
    </row>
    <row r="158" spans="1:39" ht="15">
      <c r="A158" s="244" t="s">
        <v>593</v>
      </c>
      <c r="B158" s="320" t="str">
        <f>VLOOKUP('OPX_BN+1'!$A158,Tableau106[],3,FALSE)</f>
        <v>A258</v>
      </c>
      <c r="C158" s="320" t="str">
        <f>VLOOKUP('OPX_BN+1'!$A158,Tableau106[],2,FALSE)</f>
        <v>FR49S01E</v>
      </c>
      <c r="D158" s="320" t="str">
        <f>VLOOKUP('OPX_BN+1'!$A158,Tableau106[],8,FALSE)</f>
        <v>SOLAIRE</v>
      </c>
      <c r="E158" s="321">
        <f>VLOOKUP('OPX_BN+1'!$A158,Tableau106[],4,FALSE)</f>
        <v>10.3</v>
      </c>
      <c r="F158" s="322" t="str">
        <f>VLOOKUP('OPX_BN+1'!$A158,Tableau106[],5,FALSE)</f>
        <v>SAUM</v>
      </c>
      <c r="G158" s="322" t="str">
        <f>VLOOKUP('OPX_BN+1'!$A158,Tableau106[],7,FALSE)</f>
        <v>GROUPE</v>
      </c>
      <c r="H158" s="322" t="str">
        <f>VLOOKUP('OPX_BN+1'!$A158,Tableau106[],6,FALSE)</f>
        <v>N</v>
      </c>
      <c r="I158" s="372" t="str">
        <f>VLOOKUP(Tableau17[[#This Row],[OPEX VARIABLES en €
BN 2024]],Tableau106[],9,FALSE)</f>
        <v>ZaA</v>
      </c>
      <c r="J158" s="360">
        <f>VLOOKUP(Tableau17[[#This Row],[CODE PI]],Tableau16[[CODE PI]:[(mesures compensatoires du PC ou autres)]],5,FALSE)*(1+$B$1)</f>
        <v>-81077.5</v>
      </c>
      <c r="K158" s="228">
        <v>0</v>
      </c>
      <c r="L158" s="228"/>
      <c r="M158" s="229">
        <v>0</v>
      </c>
      <c r="N158" s="229">
        <v>0</v>
      </c>
      <c r="O158" s="229">
        <v>0</v>
      </c>
      <c r="P158" s="229">
        <v>0</v>
      </c>
      <c r="Q158" s="334">
        <v>-11865</v>
      </c>
      <c r="R158" s="274">
        <f>SUM('OPX_BN+1'!$K158:$Q158)</f>
        <v>-11865</v>
      </c>
      <c r="S158" s="337">
        <f>VLOOKUP(Tableau17[[#This Row],[CODE PI]],Tableau16[[CODE PI]:[(mesures compensatoires du PC ou autres)]],14,FALSE)*(1+$B$1)</f>
        <v>0</v>
      </c>
      <c r="T158" s="423">
        <v>0</v>
      </c>
      <c r="U158" s="341">
        <v>0</v>
      </c>
      <c r="V158" s="423">
        <v>0</v>
      </c>
      <c r="W158" s="423">
        <v>0</v>
      </c>
      <c r="X158" s="423">
        <v>0</v>
      </c>
      <c r="Y158" s="423">
        <v>0</v>
      </c>
      <c r="Z158" s="264">
        <f>-250*Tableau17[[#This Row],[MW]]</f>
        <v>-2575</v>
      </c>
      <c r="AA158" s="423"/>
      <c r="AB158" s="273">
        <f>SUM('OPX_BN+1'!$T158:$AA158)</f>
        <v>-2575</v>
      </c>
      <c r="AC158" s="426"/>
      <c r="AD158" s="426"/>
      <c r="AE158" s="417">
        <v>0</v>
      </c>
      <c r="AF158" s="417">
        <v>0</v>
      </c>
      <c r="AG158" s="417">
        <v>0</v>
      </c>
      <c r="AH158" s="417">
        <v>0</v>
      </c>
      <c r="AI158" s="417">
        <v>0</v>
      </c>
      <c r="AJ158" s="371">
        <f>SUM('OPX_BN+1'!$AC158:$AI158)</f>
        <v>0</v>
      </c>
      <c r="AK158" s="424"/>
      <c r="AL158" s="276">
        <f>SUM('OPX_BN+1'!$J158,'OPX_BN+1'!$AB158,'OPX_BN+1'!$S158,'OPX_BN+1'!$AJ158,'OPX_BN+1'!$R158,'OPX_BN+1'!$AK158)</f>
        <v>-95517.5</v>
      </c>
      <c r="AM158" s="427"/>
    </row>
    <row r="159" spans="1:39" ht="15">
      <c r="A159" s="325" t="s">
        <v>517</v>
      </c>
      <c r="B159" s="320" t="str">
        <f>VLOOKUP('OPX_BN+1'!$A159,Tableau106[],3,FALSE)</f>
        <v>A125</v>
      </c>
      <c r="C159" s="320" t="str">
        <f>VLOOKUP('OPX_BN+1'!$A159,Tableau106[],2,FALSE)</f>
        <v>FR81E99E</v>
      </c>
      <c r="D159" s="320" t="str">
        <f>VLOOKUP('OPX_BN+1'!$A159,Tableau106[],8,FALSE)</f>
        <v>EOLIEN</v>
      </c>
      <c r="E159" s="321">
        <f>VLOOKUP('OPX_BN+1'!$A159,Tableau106[],4,FALSE)</f>
        <v>12</v>
      </c>
      <c r="F159" s="322" t="str">
        <f>VLOOKUP('OPX_BN+1'!$A159,Tableau106[],5,FALSE)</f>
        <v>SAUV</v>
      </c>
      <c r="G159" s="322" t="str">
        <f>VLOOKUP('OPX_BN+1'!$A159,Tableau106[],7,FALSE)</f>
        <v>GROUPE</v>
      </c>
      <c r="H159" s="322" t="str">
        <f>VLOOKUP('OPX_BN+1'!$A159,Tableau106[],6,FALSE)</f>
        <v>S</v>
      </c>
      <c r="I159" s="372" t="str">
        <f>VLOOKUP(Tableau17[[#This Row],[OPEX VARIABLES en €
BN 2024]],Tableau106[],9,FALSE)</f>
        <v>ThC</v>
      </c>
      <c r="J159" s="360">
        <f>VLOOKUP(Tableau17[[#This Row],[CODE PI]],Tableau16[[CODE PI]:[(mesures compensatoires du PC ou autres)]],5,FALSE)*(1+$B$1)</f>
        <v>-10265.375</v>
      </c>
      <c r="K159" s="228">
        <v>-14180</v>
      </c>
      <c r="L159" s="228"/>
      <c r="M159" s="229">
        <v>0</v>
      </c>
      <c r="N159" s="229">
        <v>0</v>
      </c>
      <c r="O159" s="229">
        <v>-1300</v>
      </c>
      <c r="P159" s="229">
        <f>-5500-5000</f>
        <v>-10500</v>
      </c>
      <c r="Q159" s="334">
        <f>-250*'OPX_BN+1'!$E159</f>
        <v>-3000</v>
      </c>
      <c r="R159" s="274">
        <f>SUM('OPX_BN+1'!$K159:$Q159)</f>
        <v>-28980</v>
      </c>
      <c r="S159" s="337">
        <f>VLOOKUP(Tableau17[[#This Row],[CODE PI]],Tableau16[[CODE PI]:[(mesures compensatoires du PC ou autres)]],14,FALSE)*(1+$B$1)</f>
        <v>-515220.35</v>
      </c>
      <c r="T159" s="361">
        <v>-31000</v>
      </c>
      <c r="U159" s="362">
        <v>0</v>
      </c>
      <c r="V159" s="361">
        <v>-38000</v>
      </c>
      <c r="W159" s="361">
        <v>-3000</v>
      </c>
      <c r="X159" s="361">
        <v>0</v>
      </c>
      <c r="Y159" s="423"/>
      <c r="Z159" s="264">
        <f>-250*Tableau17[[#This Row],[MW]]</f>
        <v>-3000</v>
      </c>
      <c r="AA159" s="423">
        <f>-0.002*1600000</f>
        <v>-3200</v>
      </c>
      <c r="AB159" s="273">
        <f>SUM('OPX_BN+1'!$T159:$AA159)</f>
        <v>-78200</v>
      </c>
      <c r="AC159" s="426"/>
      <c r="AD159" s="426">
        <f t="shared" ref="AD159:AD165" si="4">-4924*1.025</f>
        <v>-5047.0999999999995</v>
      </c>
      <c r="AE159" s="417">
        <v>0</v>
      </c>
      <c r="AF159" s="417">
        <v>-10000</v>
      </c>
      <c r="AG159" s="417">
        <v>-40000</v>
      </c>
      <c r="AH159" s="417">
        <v>0</v>
      </c>
      <c r="AI159" s="417">
        <v>0</v>
      </c>
      <c r="AJ159" s="371">
        <f>SUM('OPX_BN+1'!$AC159:$AI159)</f>
        <v>-55047.1</v>
      </c>
      <c r="AK159" s="424"/>
      <c r="AL159" s="276">
        <f>SUM('OPX_BN+1'!$J159,'OPX_BN+1'!$AB159,'OPX_BN+1'!$S159,'OPX_BN+1'!$AJ159,'OPX_BN+1'!$R159,'OPX_BN+1'!$AK159)</f>
        <v>-687712.82499999995</v>
      </c>
      <c r="AM159" s="427"/>
    </row>
    <row r="160" spans="1:39" ht="15">
      <c r="A160" s="244" t="s">
        <v>462</v>
      </c>
      <c r="B160" s="320" t="str">
        <f>VLOOKUP('OPX_BN+1'!$A160,Tableau106[],3,FALSE)</f>
        <v>A080</v>
      </c>
      <c r="C160" s="320" t="str">
        <f>VLOOKUP('OPX_BN+1'!$A160,Tableau106[],2,FALSE)</f>
        <v>FR12E98E</v>
      </c>
      <c r="D160" s="320" t="str">
        <f>VLOOKUP('OPX_BN+1'!$A160,Tableau106[],8,FALSE)</f>
        <v>EOLIEN</v>
      </c>
      <c r="E160" s="321">
        <f>VLOOKUP('OPX_BN+1'!$A160,Tableau106[],4,FALSE)</f>
        <v>60</v>
      </c>
      <c r="F160" s="322" t="str">
        <f>VLOOKUP('OPX_BN+1'!$A160,Tableau106[],5,FALSE)</f>
        <v>SACU</v>
      </c>
      <c r="G160" s="322" t="str">
        <f>VLOOKUP('OPX_BN+1'!$A160,Tableau106[],7,FALSE)</f>
        <v>GROUPE</v>
      </c>
      <c r="H160" s="322" t="str">
        <f>VLOOKUP('OPX_BN+1'!$A160,Tableau106[],6,FALSE)</f>
        <v>N</v>
      </c>
      <c r="I160" s="372" t="str">
        <f>VLOOKUP(Tableau17[[#This Row],[OPEX VARIABLES en €
BN 2024]],Tableau106[],9,FALSE)</f>
        <v>AuE</v>
      </c>
      <c r="J160" s="360">
        <f>VLOOKUP(Tableau17[[#This Row],[CODE PI]],Tableau16[[CODE PI]:[(mesures compensatoires du PC ou autres)]],5,FALSE)*(1+$B$1)</f>
        <v>-1545359.7</v>
      </c>
      <c r="K160" s="228">
        <v>-42410.000000000007</v>
      </c>
      <c r="L160" s="228"/>
      <c r="M160" s="229">
        <v>0</v>
      </c>
      <c r="N160" s="229">
        <f>-20*400</f>
        <v>-8000</v>
      </c>
      <c r="O160" s="229">
        <v>-3000</v>
      </c>
      <c r="P160" s="229">
        <f>-4200-5000</f>
        <v>-9200</v>
      </c>
      <c r="Q160" s="334">
        <f>-250*'OPX_BN+1'!$E160</f>
        <v>-15000</v>
      </c>
      <c r="R160" s="274">
        <f>SUM('OPX_BN+1'!$K160:$Q160)</f>
        <v>-77610</v>
      </c>
      <c r="S160" s="392">
        <f>VLOOKUP(Tableau17[[#This Row],[CODE PI]],Tableau16[[CODE PI]:[(mesures compensatoires du PC ou autres)]],14,FALSE)*(1+$B$1)</f>
        <v>0</v>
      </c>
      <c r="T160" s="379">
        <f>-(2000/29)*20</f>
        <v>-1379.3103448275863</v>
      </c>
      <c r="U160" s="341">
        <v>0</v>
      </c>
      <c r="V160" s="379">
        <v>-15000</v>
      </c>
      <c r="W160" s="423">
        <v>0</v>
      </c>
      <c r="X160" s="423"/>
      <c r="Y160" s="423">
        <v>-26400</v>
      </c>
      <c r="Z160" s="264">
        <f>-250*Tableau17[[#This Row],[MW]]</f>
        <v>-15000</v>
      </c>
      <c r="AA160" s="423">
        <f>-(0.2*CA_LE3!M149)/100</f>
        <v>-642.68123823199994</v>
      </c>
      <c r="AB160" s="273">
        <f>SUM('OPX_BN+1'!$T160:$AA160)</f>
        <v>-58421.991583059586</v>
      </c>
      <c r="AC160" s="426"/>
      <c r="AD160" s="426">
        <f t="shared" si="4"/>
        <v>-5047.0999999999995</v>
      </c>
      <c r="AE160" s="417">
        <v>-15000</v>
      </c>
      <c r="AF160" s="417">
        <v>-10000</v>
      </c>
      <c r="AG160" s="417">
        <v>-40000</v>
      </c>
      <c r="AH160" s="417">
        <v>0</v>
      </c>
      <c r="AI160" s="417">
        <v>0</v>
      </c>
      <c r="AJ160" s="371">
        <f>SUM('OPX_BN+1'!$AC160:$AI160)</f>
        <v>-70047.100000000006</v>
      </c>
      <c r="AK160" s="424"/>
      <c r="AL160" s="276">
        <f>SUM('OPX_BN+1'!$J160,'OPX_BN+1'!$AB160,'OPX_BN+1'!$S160,'OPX_BN+1'!$AJ160,'OPX_BN+1'!$R160,'OPX_BN+1'!$AK160)</f>
        <v>-1751438.7915830596</v>
      </c>
      <c r="AM160" s="427"/>
    </row>
    <row r="161" spans="1:39" ht="15">
      <c r="A161" s="325" t="s">
        <v>460</v>
      </c>
      <c r="B161" s="320" t="str">
        <f>VLOOKUP('OPX_BN+1'!$A161,Tableau106[],3,FALSE)</f>
        <v>A081</v>
      </c>
      <c r="C161" s="320" t="str">
        <f>VLOOKUP('OPX_BN+1'!$A161,Tableau106[],2,FALSE)</f>
        <v>FR12E97E</v>
      </c>
      <c r="D161" s="320" t="str">
        <f>VLOOKUP('OPX_BN+1'!$A161,Tableau106[],8,FALSE)</f>
        <v>EOLIEN</v>
      </c>
      <c r="E161" s="321">
        <f>VLOOKUP('OPX_BN+1'!$A161,Tableau106[],4,FALSE)</f>
        <v>9</v>
      </c>
      <c r="F161" s="322" t="str">
        <f>VLOOKUP('OPX_BN+1'!$A161,Tableau106[],5,FALSE)</f>
        <v>SAPN</v>
      </c>
      <c r="G161" s="322" t="str">
        <f>VLOOKUP('OPX_BN+1'!$A161,Tableau106[],7,FALSE)</f>
        <v>GROUPE</v>
      </c>
      <c r="H161" s="322" t="str">
        <f>VLOOKUP('OPX_BN+1'!$A161,Tableau106[],6,FALSE)</f>
        <v>N</v>
      </c>
      <c r="I161" s="372" t="str">
        <f>VLOOKUP(Tableau17[[#This Row],[OPEX VARIABLES en €
BN 2024]],Tableau106[],9,FALSE)</f>
        <v>AuE</v>
      </c>
      <c r="J161" s="360">
        <f>VLOOKUP(Tableau17[[#This Row],[CODE PI]],Tableau16[[CODE PI]:[(mesures compensatoires du PC ou autres)]],5,FALSE)*(1+$B$1)</f>
        <v>-217289.74999999997</v>
      </c>
      <c r="K161" s="228">
        <v>-5070</v>
      </c>
      <c r="L161" s="228"/>
      <c r="M161" s="229">
        <v>0</v>
      </c>
      <c r="N161" s="229">
        <f>-3*400</f>
        <v>-1200</v>
      </c>
      <c r="O161" s="229">
        <v>0</v>
      </c>
      <c r="P161" s="229">
        <f>-3150-5000</f>
        <v>-8150</v>
      </c>
      <c r="Q161" s="229">
        <f>-250*'OPX_BN+1'!$E161</f>
        <v>-2250</v>
      </c>
      <c r="R161" s="274">
        <f>SUM('OPX_BN+1'!$K161:$Q161)</f>
        <v>-16670</v>
      </c>
      <c r="S161" s="393">
        <f>VLOOKUP(Tableau17[[#This Row],[CODE PI]],Tableau16[[CODE PI]:[(mesures compensatoires du PC ou autres)]],14,FALSE)*(1+$B$1)</f>
        <v>0</v>
      </c>
      <c r="T161" s="379">
        <f>-(2000/29)*3</f>
        <v>-206.89655172413796</v>
      </c>
      <c r="U161" s="341">
        <v>0</v>
      </c>
      <c r="V161" s="379">
        <v>-3500</v>
      </c>
      <c r="W161" s="423">
        <v>0</v>
      </c>
      <c r="X161" s="423">
        <v>0</v>
      </c>
      <c r="Y161" s="423">
        <v>-3960</v>
      </c>
      <c r="Z161" s="264">
        <f>-250*Tableau17[[#This Row],[MW]]</f>
        <v>-2250</v>
      </c>
      <c r="AA161" s="423">
        <f>-(0.2*CA_LE3!M11)/100</f>
        <v>-1674.3475410000001</v>
      </c>
      <c r="AB161" s="273">
        <f>SUM('OPX_BN+1'!$T161:$AA161)</f>
        <v>-11591.244092724137</v>
      </c>
      <c r="AC161" s="426"/>
      <c r="AD161" s="426">
        <f t="shared" si="4"/>
        <v>-5047.0999999999995</v>
      </c>
      <c r="AE161" s="417">
        <v>0</v>
      </c>
      <c r="AF161" s="417">
        <v>0</v>
      </c>
      <c r="AG161" s="417">
        <v>0</v>
      </c>
      <c r="AH161" s="417">
        <v>0</v>
      </c>
      <c r="AI161" s="417">
        <v>0</v>
      </c>
      <c r="AJ161" s="371">
        <f>SUM('OPX_BN+1'!$AC161:$AI161)</f>
        <v>-5047.0999999999995</v>
      </c>
      <c r="AK161" s="424"/>
      <c r="AL161" s="276">
        <f>SUM('OPX_BN+1'!$J161,'OPX_BN+1'!$AB161,'OPX_BN+1'!$S161,'OPX_BN+1'!$AJ161,'OPX_BN+1'!$R161,'OPX_BN+1'!$AK161)</f>
        <v>-250598.09409272412</v>
      </c>
      <c r="AM161" s="427"/>
    </row>
    <row r="162" spans="1:39" ht="15">
      <c r="A162" s="244" t="s">
        <v>339</v>
      </c>
      <c r="B162" s="320" t="str">
        <f>VLOOKUP('OPX_BN+1'!$A162,Tableau106[],3,FALSE)</f>
        <v>F033</v>
      </c>
      <c r="C162" s="320" t="str">
        <f>VLOOKUP('OPX_BN+1'!$A162,Tableau106[],2,FALSE)</f>
        <v>FR56E10E</v>
      </c>
      <c r="D162" s="320" t="str">
        <f>VLOOKUP('OPX_BN+1'!$A162,Tableau106[],8,FALSE)</f>
        <v>EOLIEN</v>
      </c>
      <c r="E162" s="321">
        <f>VLOOKUP('OPX_BN+1'!$A162,Tableau106[],4,FALSE)</f>
        <v>9</v>
      </c>
      <c r="F162" s="322" t="str">
        <f>VLOOKUP('OPX_BN+1'!$A162,Tableau106[],5,FALSE)</f>
        <v>SAMI</v>
      </c>
      <c r="G162" s="322" t="str">
        <f>VLOOKUP('OPX_BN+1'!$A162,Tableau106[],7,FALSE)</f>
        <v>FUTUREN</v>
      </c>
      <c r="H162" s="322" t="str">
        <f>VLOOKUP('OPX_BN+1'!$A162,Tableau106[],6,FALSE)</f>
        <v>N</v>
      </c>
      <c r="I162" s="372" t="str">
        <f>VLOOKUP(Tableau17[[#This Row],[OPEX VARIABLES en €
BN 2024]],Tableau106[],9,FALSE)</f>
        <v>AnN</v>
      </c>
      <c r="J162" s="360">
        <f>VLOOKUP(Tableau17[[#This Row],[CODE PI]],Tableau16[[CODE PI]:[(mesures compensatoires du PC ou autres)]],5,FALSE)*(1+$B$1)</f>
        <v>-263684.72014262498</v>
      </c>
      <c r="K162" s="228">
        <v>-5400</v>
      </c>
      <c r="L162" s="228"/>
      <c r="M162" s="229">
        <v>0</v>
      </c>
      <c r="N162" s="229">
        <v>0</v>
      </c>
      <c r="O162" s="229">
        <v>0</v>
      </c>
      <c r="P162" s="229">
        <v>-3150</v>
      </c>
      <c r="Q162" s="229">
        <f>-250*'OPX_BN+1'!$E162</f>
        <v>-2250</v>
      </c>
      <c r="R162" s="274">
        <f>SUM('OPX_BN+1'!$K162:$Q162)</f>
        <v>-10800</v>
      </c>
      <c r="S162" s="337">
        <f>VLOOKUP(Tableau17[[#This Row],[CODE PI]],Tableau16[[CODE PI]:[(mesures compensatoires du PC ou autres)]],14,FALSE)*(1+$B$1)</f>
        <v>0</v>
      </c>
      <c r="T162" s="423">
        <v>0</v>
      </c>
      <c r="U162" s="341">
        <v>0</v>
      </c>
      <c r="V162" s="423">
        <v>0</v>
      </c>
      <c r="W162" s="423">
        <v>0</v>
      </c>
      <c r="X162" s="423">
        <v>0</v>
      </c>
      <c r="Y162" s="423">
        <v>0</v>
      </c>
      <c r="Z162" s="264">
        <f>-250*Tableau17[[#This Row],[MW]]</f>
        <v>-2250</v>
      </c>
      <c r="AA162" s="423"/>
      <c r="AB162" s="273">
        <f>SUM('OPX_BN+1'!$T162:$AA162)</f>
        <v>-2250</v>
      </c>
      <c r="AC162" s="426"/>
      <c r="AD162" s="426"/>
      <c r="AE162" s="417">
        <v>0</v>
      </c>
      <c r="AF162" s="417">
        <v>0</v>
      </c>
      <c r="AG162" s="417">
        <v>0</v>
      </c>
      <c r="AH162" s="417">
        <v>0</v>
      </c>
      <c r="AI162" s="417">
        <v>0</v>
      </c>
      <c r="AJ162" s="371">
        <f>SUM('OPX_BN+1'!$AC162:$AI162)</f>
        <v>0</v>
      </c>
      <c r="AK162" s="424"/>
      <c r="AL162" s="276">
        <f>SUM('OPX_BN+1'!$J162,'OPX_BN+1'!$AB162,'OPX_BN+1'!$S162,'OPX_BN+1'!$AJ162,'OPX_BN+1'!$R162,'OPX_BN+1'!$AK162)</f>
        <v>-276734.72014262498</v>
      </c>
      <c r="AM162" s="427"/>
    </row>
    <row r="163" spans="1:39" ht="15">
      <c r="A163" s="325" t="s">
        <v>342</v>
      </c>
      <c r="B163" s="320" t="str">
        <f>VLOOKUP('OPX_BN+1'!$A163,Tableau106[],3,FALSE)</f>
        <v>A540</v>
      </c>
      <c r="C163" s="320" t="str">
        <f>VLOOKUP('OPX_BN+1'!$A163,Tableau106[],2,FALSE)</f>
        <v>FR02E05E</v>
      </c>
      <c r="D163" s="320" t="str">
        <f>VLOOKUP('OPX_BN+1'!$A163,Tableau106[],8,FALSE)</f>
        <v>EOLIEN</v>
      </c>
      <c r="E163" s="321">
        <f>VLOOKUP('OPX_BN+1'!$A163,Tableau106[],4,FALSE)</f>
        <v>8</v>
      </c>
      <c r="F163" s="322" t="str">
        <f>VLOOKUP('OPX_BN+1'!$A163,Tableau106[],5,FALSE)</f>
        <v>SERY</v>
      </c>
      <c r="G163" s="322" t="str">
        <f>VLOOKUP('OPX_BN+1'!$A163,Tableau106[],7,FALSE)</f>
        <v>EGM</v>
      </c>
      <c r="H163" s="322" t="str">
        <f>VLOOKUP('OPX_BN+1'!$A163,Tableau106[],6,FALSE)</f>
        <v>N</v>
      </c>
      <c r="I163" s="372" t="str">
        <f>VLOOKUP(Tableau17[[#This Row],[OPEX VARIABLES en €
BN 2024]],Tableau106[],9,FALSE)</f>
        <v>NoS</v>
      </c>
      <c r="J163" s="360">
        <f>VLOOKUP(Tableau17[[#This Row],[CODE PI]],Tableau16[[CODE PI]:[(mesures compensatoires du PC ou autres)]],5,FALSE)*(1+$B$1)</f>
        <v>-211661.47499999998</v>
      </c>
      <c r="K163" s="228">
        <v>-120000</v>
      </c>
      <c r="L163" s="228"/>
      <c r="M163" s="229">
        <v>0</v>
      </c>
      <c r="N163" s="229">
        <v>0</v>
      </c>
      <c r="O163" s="229">
        <v>-3188.7</v>
      </c>
      <c r="P163" s="229">
        <v>-2800</v>
      </c>
      <c r="Q163" s="229">
        <f>-250*'OPX_BN+1'!$E163</f>
        <v>-2000</v>
      </c>
      <c r="R163" s="274">
        <f>SUM('OPX_BN+1'!$K163:$Q163)</f>
        <v>-127988.7</v>
      </c>
      <c r="S163" s="337">
        <f>VLOOKUP(Tableau17[[#This Row],[CODE PI]],Tableau16[[CODE PI]:[(mesures compensatoires du PC ou autres)]],14,FALSE)*(1+$B$1)</f>
        <v>0</v>
      </c>
      <c r="T163" s="423">
        <v>0</v>
      </c>
      <c r="U163" s="341">
        <v>0</v>
      </c>
      <c r="V163" s="423">
        <v>-2862</v>
      </c>
      <c r="W163" s="423">
        <v>0</v>
      </c>
      <c r="X163" s="423">
        <v>-4000</v>
      </c>
      <c r="Y163" s="423">
        <v>0</v>
      </c>
      <c r="Z163" s="264">
        <f>-250*Tableau17[[#This Row],[MW]]</f>
        <v>-2000</v>
      </c>
      <c r="AA163" s="423"/>
      <c r="AB163" s="273">
        <f>SUM('OPX_BN+1'!$T163:$AA163)</f>
        <v>-8862</v>
      </c>
      <c r="AC163" s="426"/>
      <c r="AD163" s="426"/>
      <c r="AE163" s="417">
        <v>0</v>
      </c>
      <c r="AF163" s="417">
        <v>0</v>
      </c>
      <c r="AG163" s="417">
        <v>0</v>
      </c>
      <c r="AH163" s="417">
        <v>0</v>
      </c>
      <c r="AI163" s="417">
        <v>0</v>
      </c>
      <c r="AJ163" s="371">
        <f>SUM('OPX_BN+1'!$AC163:$AI163)</f>
        <v>0</v>
      </c>
      <c r="AK163" s="424"/>
      <c r="AL163" s="276">
        <f>SUM('OPX_BN+1'!$J163,'OPX_BN+1'!$AB163,'OPX_BN+1'!$S163,'OPX_BN+1'!$AJ163,'OPX_BN+1'!$R163,'OPX_BN+1'!$AK163)</f>
        <v>-348512.17499999999</v>
      </c>
      <c r="AM163" s="427"/>
    </row>
    <row r="164" spans="1:39" ht="15">
      <c r="A164" s="325" t="s">
        <v>600</v>
      </c>
      <c r="B164" s="320" t="str">
        <f>VLOOKUP('OPX_BN+1'!$A164,Tableau106[],3,FALSE)</f>
        <v>A065</v>
      </c>
      <c r="C164" s="320" t="str">
        <f>VLOOKUP('OPX_BN+1'!$A164,Tableau106[],2,FALSE)</f>
        <v>FR97S90E</v>
      </c>
      <c r="D164" s="320" t="str">
        <f>VLOOKUP('OPX_BN+1'!$A164,Tableau106[],8,FALSE)</f>
        <v>SOLAIRE DOM</v>
      </c>
      <c r="E164" s="321">
        <f>VLOOKUP('OPX_BN+1'!$A164,Tableau106[],4,FALSE)</f>
        <v>1.2569999999999999</v>
      </c>
      <c r="F164" s="322" t="str">
        <f>VLOOKUP('OPX_BN+1'!$A164,Tableau106[],5,FALSE)</f>
        <v>SIOU</v>
      </c>
      <c r="G164" s="322" t="str">
        <f>VLOOKUP('OPX_BN+1'!$A164,Tableau106[],7,FALSE)</f>
        <v>GROUPE</v>
      </c>
      <c r="H164" s="322" t="str">
        <f>VLOOKUP('OPX_BN+1'!$A164,Tableau106[],6,FALSE)</f>
        <v>DOM</v>
      </c>
      <c r="I164" s="372" t="str">
        <f>VLOOKUP(Tableau17[[#This Row],[OPEX VARIABLES en €
BN 2024]],Tableau106[],9,FALSE)</f>
        <v>DoJ</v>
      </c>
      <c r="J164" s="360">
        <f>VLOOKUP(Tableau17[[#This Row],[CODE PI]],Tableau16[[CODE PI]:[(mesures compensatoires du PC ou autres)]],5,FALSE)*(1+$B$1)</f>
        <v>0</v>
      </c>
      <c r="K164" s="228">
        <v>0</v>
      </c>
      <c r="L164" s="228"/>
      <c r="M164" s="229">
        <v>0</v>
      </c>
      <c r="N164" s="229">
        <v>0</v>
      </c>
      <c r="O164" s="229">
        <v>0</v>
      </c>
      <c r="P164" s="229">
        <v>0</v>
      </c>
      <c r="Q164" s="229">
        <f>-250*'OPX_BN+1'!$E165</f>
        <v>-3450</v>
      </c>
      <c r="R164" s="274">
        <f>SUM('OPX_BN+1'!$K164:$Q164)</f>
        <v>-3450</v>
      </c>
      <c r="S164" s="337">
        <f>VLOOKUP(Tableau17[[#This Row],[CODE PI]],Tableau16[[CODE PI]:[(mesures compensatoires du PC ou autres)]],14,FALSE)*(1+$B$1)</f>
        <v>-75460.5</v>
      </c>
      <c r="T164" s="361">
        <v>-7300</v>
      </c>
      <c r="U164" s="341">
        <v>0</v>
      </c>
      <c r="V164" s="423">
        <v>0</v>
      </c>
      <c r="W164" s="423">
        <v>-1700</v>
      </c>
      <c r="X164" s="423">
        <v>0</v>
      </c>
      <c r="Y164" s="423">
        <v>0</v>
      </c>
      <c r="Z164" s="264">
        <f>-250*Tableau17[[#This Row],[MW]]</f>
        <v>-314.25</v>
      </c>
      <c r="AA164" s="423">
        <v>-968.99599999999998</v>
      </c>
      <c r="AB164" s="273">
        <f>SUM('OPX_BN+1'!$T164:$AA164)</f>
        <v>-10283.245999999999</v>
      </c>
      <c r="AC164" s="426"/>
      <c r="AD164" s="426"/>
      <c r="AE164" s="417">
        <v>0</v>
      </c>
      <c r="AF164" s="417">
        <v>0</v>
      </c>
      <c r="AG164" s="417">
        <v>0</v>
      </c>
      <c r="AH164" s="417">
        <v>0</v>
      </c>
      <c r="AI164" s="417">
        <v>0</v>
      </c>
      <c r="AJ164" s="371">
        <f>SUM('OPX_BN+1'!$AC164:$AI164)</f>
        <v>0</v>
      </c>
      <c r="AK164" s="424"/>
      <c r="AL164" s="276">
        <f>SUM('OPX_BN+1'!$J164,'OPX_BN+1'!$AB164,'OPX_BN+1'!$S164,'OPX_BN+1'!$AJ164,'OPX_BN+1'!$R164,'OPX_BN+1'!$AK164)</f>
        <v>-89193.745999999999</v>
      </c>
      <c r="AM164" s="427"/>
    </row>
    <row r="165" spans="1:39" ht="15">
      <c r="A165" s="244" t="s">
        <v>349</v>
      </c>
      <c r="B165" s="320" t="str">
        <f>VLOOKUP('OPX_BN+1'!$A165,Tableau106[],3,FALSE)</f>
        <v>F099</v>
      </c>
      <c r="C165" s="320" t="str">
        <f>VLOOKUP('OPX_BN+1'!$A165,Tableau106[],2,FALSE)</f>
        <v>FR12E93E</v>
      </c>
      <c r="D165" s="320" t="str">
        <f>VLOOKUP('OPX_BN+1'!$A165,Tableau106[],8,FALSE)</f>
        <v>EOLIEN</v>
      </c>
      <c r="E165" s="321">
        <f>VLOOKUP('OPX_BN+1'!$A165,Tableau106[],4,FALSE)</f>
        <v>13.8</v>
      </c>
      <c r="F165" s="322" t="str">
        <f>VLOOKUP('OPX_BN+1'!$A165,Tableau106[],5,FALSE)</f>
        <v>FAYD</v>
      </c>
      <c r="G165" s="322" t="str">
        <f>VLOOKUP('OPX_BN+1'!$A165,Tableau106[],7,FALSE)</f>
        <v>FUTUREN</v>
      </c>
      <c r="H165" s="322" t="str">
        <f>VLOOKUP('OPX_BN+1'!$A165,Tableau106[],6,FALSE)</f>
        <v>S</v>
      </c>
      <c r="I165" s="372" t="str">
        <f>VLOOKUP(Tableau17[[#This Row],[OPEX VARIABLES en €
BN 2024]],Tableau106[],9,FALSE)</f>
        <v>OdP</v>
      </c>
      <c r="J165" s="360">
        <v>-9526</v>
      </c>
      <c r="K165" s="228">
        <f>-5690+1250</f>
        <v>-4440</v>
      </c>
      <c r="L165" s="228"/>
      <c r="M165" s="229">
        <v>0</v>
      </c>
      <c r="N165" s="229">
        <v>0</v>
      </c>
      <c r="O165" s="229">
        <v>0</v>
      </c>
      <c r="P165" s="229">
        <v>0</v>
      </c>
      <c r="Q165" s="229">
        <f>-250*'OPX_BN+1'!$E166</f>
        <v>-1250</v>
      </c>
      <c r="R165" s="274">
        <f>SUM('OPX_BN+1'!$K165:$Q165)</f>
        <v>-5690</v>
      </c>
      <c r="S165" s="337">
        <f>VLOOKUP(Tableau17[[#This Row],[CODE PI]],Tableau16[[CODE PI]:[(mesures compensatoires du PC ou autres)]],14,FALSE)*(1+$B$1)</f>
        <v>-133250</v>
      </c>
      <c r="T165" s="423">
        <v>-2000</v>
      </c>
      <c r="U165" s="341">
        <v>0</v>
      </c>
      <c r="V165" s="423">
        <v>-3500</v>
      </c>
      <c r="W165" s="423">
        <v>0</v>
      </c>
      <c r="X165" s="423">
        <v>0</v>
      </c>
      <c r="Y165" s="423">
        <v>0</v>
      </c>
      <c r="Z165" s="264">
        <f>-250*Tableau17[[#This Row],[MW]]</f>
        <v>-3450</v>
      </c>
      <c r="AA165" s="423">
        <v>-3486.2020000000002</v>
      </c>
      <c r="AB165" s="273">
        <f>SUM('OPX_BN+1'!$T165:$AA165)</f>
        <v>-12436.202000000001</v>
      </c>
      <c r="AC165" s="426"/>
      <c r="AD165" s="426">
        <f t="shared" si="4"/>
        <v>-5047.0999999999995</v>
      </c>
      <c r="AE165" s="417">
        <v>-25000</v>
      </c>
      <c r="AF165" s="417">
        <v>0</v>
      </c>
      <c r="AG165" s="417">
        <v>-30000</v>
      </c>
      <c r="AH165" s="417">
        <v>0</v>
      </c>
      <c r="AI165" s="417">
        <v>0</v>
      </c>
      <c r="AJ165" s="371">
        <f>SUM('OPX_BN+1'!$AC165:$AI165)</f>
        <v>-60047.1</v>
      </c>
      <c r="AK165" s="424"/>
      <c r="AL165" s="276">
        <f>SUM('OPX_BN+1'!$J165,'OPX_BN+1'!$AB165,'OPX_BN+1'!$S165,'OPX_BN+1'!$AJ165,'OPX_BN+1'!$R165,'OPX_BN+1'!$AK165)</f>
        <v>-220949.302</v>
      </c>
      <c r="AM165" s="427"/>
    </row>
    <row r="166" spans="1:39" ht="15">
      <c r="A166" s="325" t="s">
        <v>603</v>
      </c>
      <c r="B166" s="320" t="str">
        <f>VLOOKUP('OPX_BN+1'!$A166,Tableau106[],3,FALSE)</f>
        <v>A295</v>
      </c>
      <c r="C166" s="320" t="str">
        <f>VLOOKUP('OPX_BN+1'!$A166,Tableau106[],2,FALSE)</f>
        <v>FR18S01E</v>
      </c>
      <c r="D166" s="320" t="str">
        <f>VLOOKUP('OPX_BN+1'!$A166,Tableau106[],8,FALSE)</f>
        <v>SOLAIRE</v>
      </c>
      <c r="E166" s="321">
        <f>VLOOKUP('OPX_BN+1'!$A166,Tableau106[],4,FALSE)</f>
        <v>5</v>
      </c>
      <c r="F166" s="322" t="str">
        <f>VLOOKUP('OPX_BN+1'!$A166,Tableau106[],5,FALSE)</f>
        <v>SAMM</v>
      </c>
      <c r="G166" s="322" t="str">
        <f>VLOOKUP('OPX_BN+1'!$A166,Tableau106[],7,FALSE)</f>
        <v>GROUPE</v>
      </c>
      <c r="H166" s="322" t="str">
        <f>VLOOKUP('OPX_BN+1'!$A166,Tableau106[],6,FALSE)</f>
        <v>N</v>
      </c>
      <c r="I166" s="372" t="str">
        <f>VLOOKUP(Tableau17[[#This Row],[OPEX VARIABLES en €
BN 2024]],Tableau106[],9,FALSE)</f>
        <v>ArB</v>
      </c>
      <c r="J166" s="360">
        <f>VLOOKUP(Tableau17[[#This Row],[CODE PI]],Tableau16[[CODE PI]:[(mesures compensatoires du PC ou autres)]],5,FALSE)*(1+$B$1)</f>
        <v>0</v>
      </c>
      <c r="K166" s="228">
        <v>0</v>
      </c>
      <c r="L166" s="228"/>
      <c r="M166" s="229">
        <v>0</v>
      </c>
      <c r="N166" s="229">
        <v>0</v>
      </c>
      <c r="O166" s="229">
        <v>0</v>
      </c>
      <c r="P166" s="229">
        <v>0</v>
      </c>
      <c r="Q166" s="229">
        <f>-250*'OPX_BN+1'!$E167</f>
        <v>-900</v>
      </c>
      <c r="R166" s="274">
        <f>SUM('OPX_BN+1'!$K166:$Q166)</f>
        <v>-900</v>
      </c>
      <c r="S166" s="337">
        <f>VLOOKUP(Tableau17[[#This Row],[CODE PI]],Tableau16[[CODE PI]:[(mesures compensatoires du PC ou autres)]],14,FALSE)*(1+$B$1)</f>
        <v>-40897.5</v>
      </c>
      <c r="T166" s="423">
        <v>-2600</v>
      </c>
      <c r="U166" s="341">
        <v>0</v>
      </c>
      <c r="V166" s="423">
        <v>0</v>
      </c>
      <c r="W166" s="423">
        <v>0</v>
      </c>
      <c r="X166" s="423">
        <v>0</v>
      </c>
      <c r="Y166" s="423">
        <v>0</v>
      </c>
      <c r="Z166" s="264">
        <f>-250*Tableau17[[#This Row],[MW]]</f>
        <v>-1250</v>
      </c>
      <c r="AA166" s="423">
        <v>-1506.57</v>
      </c>
      <c r="AB166" s="273">
        <f>SUM('OPX_BN+1'!$T166:$AA166)</f>
        <v>-5356.57</v>
      </c>
      <c r="AC166" s="426"/>
      <c r="AD166" s="426"/>
      <c r="AE166" s="417">
        <v>0</v>
      </c>
      <c r="AF166" s="417">
        <v>0</v>
      </c>
      <c r="AG166" s="417">
        <v>0</v>
      </c>
      <c r="AH166" s="417">
        <v>0</v>
      </c>
      <c r="AI166" s="417">
        <v>0</v>
      </c>
      <c r="AJ166" s="371">
        <f>SUM('OPX_BN+1'!$AC166:$AI166)</f>
        <v>0</v>
      </c>
      <c r="AK166" s="424"/>
      <c r="AL166" s="276">
        <f>SUM('OPX_BN+1'!$J166,'OPX_BN+1'!$AB166,'OPX_BN+1'!$S166,'OPX_BN+1'!$AJ166,'OPX_BN+1'!$R166,'OPX_BN+1'!$AK166)</f>
        <v>-47154.07</v>
      </c>
      <c r="AM166" s="427"/>
    </row>
    <row r="167" spans="1:39" ht="15">
      <c r="A167" s="325" t="s">
        <v>604</v>
      </c>
      <c r="B167" s="320" t="str">
        <f>VLOOKUP('OPX_BN+1'!$A167,Tableau106[],3,FALSE)</f>
        <v>A066</v>
      </c>
      <c r="C167" s="320" t="str">
        <f>VLOOKUP('OPX_BN+1'!$A167,Tableau106[],2,FALSE)</f>
        <v>FR97S99E</v>
      </c>
      <c r="D167" s="320" t="str">
        <f>VLOOKUP('OPX_BN+1'!$A167,Tableau106[],8,FALSE)</f>
        <v>SOLAIRE DOM</v>
      </c>
      <c r="E167" s="321">
        <f>VLOOKUP('OPX_BN+1'!$A167,Tableau106[],4,FALSE)</f>
        <v>3.6</v>
      </c>
      <c r="F167" s="322" t="str">
        <f>VLOOKUP('OPX_BN+1'!$A167,Tableau106[],5,FALSE)</f>
        <v>SFR1</v>
      </c>
      <c r="G167" s="322" t="str">
        <f>VLOOKUP('OPX_BN+1'!$A167,Tableau106[],7,FALSE)</f>
        <v>GROUPE</v>
      </c>
      <c r="H167" s="322" t="str">
        <f>VLOOKUP('OPX_BN+1'!$A167,Tableau106[],6,FALSE)</f>
        <v>DOM</v>
      </c>
      <c r="I167" s="372" t="str">
        <f>VLOOKUP(Tableau17[[#This Row],[OPEX VARIABLES en €
BN 2024]],Tableau106[],9,FALSE)</f>
        <v>DoJ</v>
      </c>
      <c r="J167" s="360">
        <f>VLOOKUP(Tableau17[[#This Row],[CODE PI]],Tableau16[[CODE PI]:[(mesures compensatoires du PC ou autres)]],5,FALSE)*(1+$B$1)</f>
        <v>0</v>
      </c>
      <c r="K167" s="228">
        <v>0</v>
      </c>
      <c r="L167" s="228"/>
      <c r="M167" s="229">
        <v>0</v>
      </c>
      <c r="N167" s="229">
        <v>0</v>
      </c>
      <c r="O167" s="229">
        <v>0</v>
      </c>
      <c r="P167" s="229">
        <v>0</v>
      </c>
      <c r="Q167" s="229">
        <f>-250*'OPX_BN+1'!$E150</f>
        <v>-2500</v>
      </c>
      <c r="R167" s="274">
        <f>SUM('OPX_BN+1'!$K167:$Q167)</f>
        <v>-2500</v>
      </c>
      <c r="S167" s="337">
        <f>VLOOKUP(Tableau17[[#This Row],[CODE PI]],Tableau16[[CODE PI]:[(mesures compensatoires du PC ou autres)]],14,FALSE)*(1+$B$1)</f>
        <v>-132430</v>
      </c>
      <c r="T167" s="423">
        <v>-51000</v>
      </c>
      <c r="U167" s="341">
        <v>0</v>
      </c>
      <c r="V167" s="423">
        <v>0</v>
      </c>
      <c r="W167" s="423">
        <v>-1400</v>
      </c>
      <c r="X167" s="423">
        <v>0</v>
      </c>
      <c r="Y167" s="361">
        <v>-3500</v>
      </c>
      <c r="Z167" s="264">
        <f>-250*Tableau17[[#This Row],[MW]]</f>
        <v>-900</v>
      </c>
      <c r="AA167" s="423">
        <f>-484498*0.002</f>
        <v>-968.99599999999998</v>
      </c>
      <c r="AB167" s="273">
        <f>SUM('OPX_BN+1'!$T167:$AA167)</f>
        <v>-57768.995999999999</v>
      </c>
      <c r="AC167" s="426"/>
      <c r="AD167" s="426"/>
      <c r="AE167" s="417">
        <v>0</v>
      </c>
      <c r="AF167" s="417">
        <v>0</v>
      </c>
      <c r="AG167" s="417">
        <v>0</v>
      </c>
      <c r="AH167" s="417">
        <v>0</v>
      </c>
      <c r="AI167" s="417">
        <v>0</v>
      </c>
      <c r="AJ167" s="371">
        <f>SUM('OPX_BN+1'!$AC167:$AI167)</f>
        <v>0</v>
      </c>
      <c r="AK167" s="424"/>
      <c r="AL167" s="276">
        <f>SUM('OPX_BN+1'!$J167,'OPX_BN+1'!$AB167,'OPX_BN+1'!$S167,'OPX_BN+1'!$AJ167,'OPX_BN+1'!$R167,'OPX_BN+1'!$AK167)</f>
        <v>-192698.99599999998</v>
      </c>
      <c r="AM167" s="427"/>
    </row>
    <row r="168" spans="1:39" ht="15">
      <c r="A168" s="244" t="s">
        <v>605</v>
      </c>
      <c r="B168" s="320" t="str">
        <f>VLOOKUP('OPX_BN+1'!$A168,Tableau106[],3,FALSE)</f>
        <v>A257</v>
      </c>
      <c r="C168" s="320" t="str">
        <f>VLOOKUP('OPX_BN+1'!$A168,Tableau106[],2,FALSE)</f>
        <v>FR01S07E</v>
      </c>
      <c r="D168" s="320" t="str">
        <f>VLOOKUP('OPX_BN+1'!$A168,Tableau106[],8,FALSE)</f>
        <v>SOLAIRE</v>
      </c>
      <c r="E168" s="321">
        <f>VLOOKUP('OPX_BN+1'!$A168,Tableau106[],4,FALSE)</f>
        <v>2.7</v>
      </c>
      <c r="F168" s="322" t="str">
        <f>VLOOKUP('OPX_BN+1'!$A168,Tableau106[],5,FALSE)</f>
        <v>SJLV</v>
      </c>
      <c r="G168" s="322" t="str">
        <f>VLOOKUP('OPX_BN+1'!$A168,Tableau106[],7,FALSE)</f>
        <v>GROUPE</v>
      </c>
      <c r="H168" s="322" t="str">
        <f>VLOOKUP('OPX_BN+1'!$A168,Tableau106[],6,FALSE)</f>
        <v>S</v>
      </c>
      <c r="I168" s="372" t="str">
        <f>VLOOKUP(Tableau17[[#This Row],[OPEX VARIABLES en €
BN 2024]],Tableau106[],9,FALSE)</f>
        <v>ArB</v>
      </c>
      <c r="J168" s="360">
        <f>VLOOKUP(Tableau17[[#This Row],[CODE PI]],Tableau16[[CODE PI]:[(mesures compensatoires du PC ou autres)]],5,FALSE)*(1+$B$1)</f>
        <v>0</v>
      </c>
      <c r="K168" s="228">
        <v>0</v>
      </c>
      <c r="L168" s="228"/>
      <c r="M168" s="229">
        <v>0</v>
      </c>
      <c r="N168" s="229">
        <v>0</v>
      </c>
      <c r="O168" s="229">
        <v>0</v>
      </c>
      <c r="P168" s="229">
        <v>0</v>
      </c>
      <c r="Q168" s="229">
        <f>-250*'OPX_BN+1'!$E168</f>
        <v>-675</v>
      </c>
      <c r="R168" s="274">
        <f>SUM('OPX_BN+1'!$K168:$Q168)</f>
        <v>-675</v>
      </c>
      <c r="S168" s="337">
        <f>VLOOKUP(Tableau17[[#This Row],[CODE PI]],Tableau16[[CODE PI]:[(mesures compensatoires du PC ou autres)]],14,FALSE)*(1+$B$1)</f>
        <v>-22016.999999999996</v>
      </c>
      <c r="T168" s="423">
        <v>-2200</v>
      </c>
      <c r="U168" s="341">
        <v>0</v>
      </c>
      <c r="V168" s="423">
        <v>-2907</v>
      </c>
      <c r="W168" s="423">
        <v>0</v>
      </c>
      <c r="X168" s="423">
        <v>0</v>
      </c>
      <c r="Y168" s="423">
        <v>0</v>
      </c>
      <c r="Z168" s="264">
        <f>-250*Tableau17[[#This Row],[MW]]</f>
        <v>-675</v>
      </c>
      <c r="AA168" s="423"/>
      <c r="AB168" s="273">
        <f>SUM('OPX_BN+1'!$T168:$AA168)</f>
        <v>-5782</v>
      </c>
      <c r="AC168" s="426"/>
      <c r="AD168" s="426"/>
      <c r="AE168" s="417">
        <v>0</v>
      </c>
      <c r="AF168" s="417">
        <v>0</v>
      </c>
      <c r="AG168" s="417">
        <v>0</v>
      </c>
      <c r="AH168" s="417">
        <v>0</v>
      </c>
      <c r="AI168" s="417">
        <v>0</v>
      </c>
      <c r="AJ168" s="371">
        <f>SUM('OPX_BN+1'!$AC168:$AI168)</f>
        <v>0</v>
      </c>
      <c r="AK168" s="424">
        <v>0</v>
      </c>
      <c r="AL168" s="276">
        <f>SUM('OPX_BN+1'!$J168,'OPX_BN+1'!$AB168,'OPX_BN+1'!$S168,'OPX_BN+1'!$AJ168,'OPX_BN+1'!$R168,'OPX_BN+1'!$AK168)</f>
        <v>-28473.999999999996</v>
      </c>
      <c r="AM168" s="427"/>
    </row>
    <row r="169" spans="1:39" ht="15">
      <c r="A169" s="325" t="s">
        <v>528</v>
      </c>
      <c r="B169" s="320" t="str">
        <f>VLOOKUP('OPX_BN+1'!$A169,Tableau106[],3,FALSE)</f>
        <v>A894</v>
      </c>
      <c r="C169" s="320" t="str">
        <f>VLOOKUP('OPX_BN+1'!$A169,Tableau106[],2,FALSE)</f>
        <v>FR14E99E</v>
      </c>
      <c r="D169" s="320" t="str">
        <f>VLOOKUP('OPX_BN+1'!$A169,Tableau106[],8,FALSE)</f>
        <v>EOLIEN</v>
      </c>
      <c r="E169" s="321">
        <f>VLOOKUP('OPX_BN+1'!$A169,Tableau106[],4,FALSE)</f>
        <v>6</v>
      </c>
      <c r="F169" s="322" t="str">
        <f>VLOOKUP('OPX_BN+1'!$A169,Tableau106[],5,FALSE)</f>
        <v>STMB</v>
      </c>
      <c r="G169" s="322" t="str">
        <f>VLOOKUP('OPX_BN+1'!$A169,Tableau106[],7,FALSE)</f>
        <v>GROUPE</v>
      </c>
      <c r="H169" s="322" t="str">
        <f>VLOOKUP('OPX_BN+1'!$A169,Tableau106[],6,FALSE)</f>
        <v>N</v>
      </c>
      <c r="I169" s="372" t="str">
        <f>VLOOKUP(Tableau17[[#This Row],[OPEX VARIABLES en €
BN 2024]],Tableau106[],9,FALSE)</f>
        <v>AnN</v>
      </c>
      <c r="J169" s="360">
        <f>VLOOKUP(Tableau17[[#This Row],[CODE PI]],Tableau16[[CODE PI]:[(mesures compensatoires du PC ou autres)]],5,FALSE)*(1+$B$1)</f>
        <v>-69707.174999999988</v>
      </c>
      <c r="K169" s="228">
        <v>-99999.999999999985</v>
      </c>
      <c r="L169" s="228"/>
      <c r="M169" s="229">
        <v>0</v>
      </c>
      <c r="N169" s="229">
        <v>0</v>
      </c>
      <c r="O169" s="229">
        <v>0</v>
      </c>
      <c r="P169" s="229">
        <v>-2100</v>
      </c>
      <c r="Q169" s="229">
        <f>-250*'OPX_BN+1'!$E169</f>
        <v>-1500</v>
      </c>
      <c r="R169" s="274">
        <f>SUM('OPX_BN+1'!$K169:$Q169)</f>
        <v>-103599.99999999999</v>
      </c>
      <c r="S169" s="337">
        <f>VLOOKUP(Tableau17[[#This Row],[CODE PI]],Tableau16[[CODE PI]:[(mesures compensatoires du PC ou autres)]],14,FALSE)*(1+$B$1)</f>
        <v>0</v>
      </c>
      <c r="T169" s="423">
        <v>0</v>
      </c>
      <c r="U169" s="341">
        <v>0</v>
      </c>
      <c r="V169" s="423">
        <v>-1000</v>
      </c>
      <c r="W169" s="423">
        <v>0</v>
      </c>
      <c r="X169" s="423">
        <v>0</v>
      </c>
      <c r="Y169" s="423">
        <v>0</v>
      </c>
      <c r="Z169" s="264">
        <f>-250*Tableau17[[#This Row],[MW]]</f>
        <v>-1500</v>
      </c>
      <c r="AA169" s="423"/>
      <c r="AB169" s="273">
        <f>SUM('OPX_BN+1'!$T169:$AA169)</f>
        <v>-2500</v>
      </c>
      <c r="AC169" s="426"/>
      <c r="AD169" s="426"/>
      <c r="AE169" s="417">
        <v>0</v>
      </c>
      <c r="AF169" s="417">
        <v>0</v>
      </c>
      <c r="AG169" s="417">
        <v>0</v>
      </c>
      <c r="AH169" s="417">
        <v>0</v>
      </c>
      <c r="AI169" s="417">
        <v>0</v>
      </c>
      <c r="AJ169" s="371">
        <f>SUM('OPX_BN+1'!$AC169:$AI169)</f>
        <v>0</v>
      </c>
      <c r="AK169" s="424"/>
      <c r="AL169" s="276">
        <f>SUM('OPX_BN+1'!$J169,'OPX_BN+1'!$AB169,'OPX_BN+1'!$S169,'OPX_BN+1'!$AJ169,'OPX_BN+1'!$R169,'OPX_BN+1'!$AK169)</f>
        <v>-175807.17499999999</v>
      </c>
      <c r="AM169" s="427"/>
    </row>
    <row r="170" spans="1:39" ht="15">
      <c r="A170" s="244" t="s">
        <v>353</v>
      </c>
      <c r="B170" s="320" t="str">
        <f>VLOOKUP('OPX_BN+1'!$A170,Tableau106[],3,FALSE)</f>
        <v>A257</v>
      </c>
      <c r="C170" s="320" t="str">
        <f>VLOOKUP('OPX_BN+1'!$A170,Tableau106[],2,FALSE)</f>
        <v>FR11S06E</v>
      </c>
      <c r="D170" s="320" t="str">
        <f>VLOOKUP('OPX_BN+1'!$A170,Tableau106[],8,FALSE)</f>
        <v>SOLAIRE</v>
      </c>
      <c r="E170" s="321">
        <f>VLOOKUP('OPX_BN+1'!$A170,Tableau106[],4,FALSE)</f>
        <v>4.5999999999999996</v>
      </c>
      <c r="F170" s="322" t="str">
        <f>VLOOKUP('OPX_BN+1'!$A170,Tableau106[],5,FALSE)</f>
        <v>STPA</v>
      </c>
      <c r="G170" s="322" t="str">
        <f>VLOOKUP('OPX_BN+1'!$A170,Tableau106[],7,FALSE)</f>
        <v>GROUPE</v>
      </c>
      <c r="H170" s="322" t="str">
        <f>VLOOKUP('OPX_BN+1'!$A170,Tableau106[],6,FALSE)</f>
        <v>S</v>
      </c>
      <c r="I170" s="372" t="str">
        <f>VLOOKUP(Tableau17[[#This Row],[OPEX VARIABLES en €
BN 2024]],Tableau106[],9,FALSE)</f>
        <v>BaA</v>
      </c>
      <c r="J170" s="360">
        <f>VLOOKUP(Tableau17[[#This Row],[CODE PI]],Tableau16[[CODE PI]:[(mesures compensatoires du PC ou autres)]],5,FALSE)*(1+$B$1)</f>
        <v>-26285.1</v>
      </c>
      <c r="K170" s="228">
        <v>-3490</v>
      </c>
      <c r="L170" s="228"/>
      <c r="M170" s="229">
        <v>0</v>
      </c>
      <c r="N170" s="229">
        <v>0</v>
      </c>
      <c r="O170" s="229">
        <v>0</v>
      </c>
      <c r="P170" s="229">
        <v>0</v>
      </c>
      <c r="Q170" s="229">
        <f>-250*'OPX_BN+1'!$E58</f>
        <v>-775</v>
      </c>
      <c r="R170" s="274">
        <f>SUM('OPX_BN+1'!$K170:$Q170)</f>
        <v>-4265</v>
      </c>
      <c r="S170" s="337">
        <f>VLOOKUP(Tableau17[[#This Row],[CODE PI]],Tableau16[[CODE PI]:[(mesures compensatoires du PC ou autres)]],14,FALSE)*(1+$B$1)</f>
        <v>0</v>
      </c>
      <c r="T170" s="423">
        <v>0</v>
      </c>
      <c r="U170" s="341">
        <v>0</v>
      </c>
      <c r="V170" s="423">
        <v>-1400</v>
      </c>
      <c r="W170" s="423">
        <v>0</v>
      </c>
      <c r="X170" s="423">
        <v>0</v>
      </c>
      <c r="Y170" s="423">
        <v>0</v>
      </c>
      <c r="Z170" s="264">
        <f>-250*Tableau17[[#This Row],[MW]]</f>
        <v>-1150</v>
      </c>
      <c r="AA170" s="423"/>
      <c r="AB170" s="273">
        <f>SUM('OPX_BN+1'!$T170:$AA170)</f>
        <v>-2550</v>
      </c>
      <c r="AC170" s="426"/>
      <c r="AD170" s="426"/>
      <c r="AE170" s="417">
        <v>0</v>
      </c>
      <c r="AF170" s="417">
        <v>0</v>
      </c>
      <c r="AG170" s="417">
        <v>0</v>
      </c>
      <c r="AH170" s="417">
        <v>-2160</v>
      </c>
      <c r="AI170" s="417">
        <v>0</v>
      </c>
      <c r="AJ170" s="371">
        <f>SUM('OPX_BN+1'!$AC170:$AI170)</f>
        <v>-2160</v>
      </c>
      <c r="AK170" s="424"/>
      <c r="AL170" s="276">
        <f>SUM('OPX_BN+1'!$J170,'OPX_BN+1'!$AB170,'OPX_BN+1'!$S170,'OPX_BN+1'!$AJ170,'OPX_BN+1'!$R170,'OPX_BN+1'!$AK170)</f>
        <v>-35260.1</v>
      </c>
      <c r="AM170" s="427"/>
    </row>
    <row r="171" spans="1:39" ht="15">
      <c r="A171" s="244" t="s">
        <v>607</v>
      </c>
      <c r="B171" s="320" t="str">
        <f>VLOOKUP('OPX_BN+1'!$A171,Tableau106[],3,FALSE)</f>
        <v>A353</v>
      </c>
      <c r="C171" s="320" t="str">
        <f>VLOOKUP('OPX_BN+1'!$A171,Tableau106[],2,FALSE)</f>
        <v>FR34S01E</v>
      </c>
      <c r="D171" s="320" t="str">
        <f>VLOOKUP('OPX_BN+1'!$A171,Tableau106[],8,FALSE)</f>
        <v>SOLAIRE</v>
      </c>
      <c r="E171" s="321">
        <f>VLOOKUP('OPX_BN+1'!$A171,Tableau106[],4,FALSE)</f>
        <v>10.664</v>
      </c>
      <c r="F171" s="322" t="str">
        <f>VLOOKUP('OPX_BN+1'!$A171,Tableau106[],5,FALSE)</f>
        <v>SPAR</v>
      </c>
      <c r="G171" s="322" t="str">
        <f>VLOOKUP('OPX_BN+1'!$A171,Tableau106[],7,FALSE)</f>
        <v>GROUPE</v>
      </c>
      <c r="H171" s="322" t="str">
        <f>VLOOKUP('OPX_BN+1'!$A171,Tableau106[],6,FALSE)</f>
        <v>S</v>
      </c>
      <c r="I171" s="372" t="str">
        <f>VLOOKUP(Tableau17[[#This Row],[OPEX VARIABLES en €
BN 2024]],Tableau106[],9,FALSE)</f>
        <v>BaA</v>
      </c>
      <c r="J171" s="360">
        <f>VLOOKUP(Tableau17[[#This Row],[CODE PI]],Tableau16[[CODE PI]:[(mesures compensatoires du PC ou autres)]],5,FALSE)*(1+$B$1)</f>
        <v>-125605.54999999999</v>
      </c>
      <c r="K171" s="228">
        <v>-11960</v>
      </c>
      <c r="L171" s="228"/>
      <c r="M171" s="229">
        <v>0</v>
      </c>
      <c r="N171" s="229">
        <v>0</v>
      </c>
      <c r="O171" s="229">
        <v>0</v>
      </c>
      <c r="P171" s="229">
        <v>0</v>
      </c>
      <c r="Q171" s="229">
        <f>-250*'OPX_BN+1'!$E153</f>
        <v>-1308.75</v>
      </c>
      <c r="R171" s="274">
        <f>SUM('OPX_BN+1'!$K171:$Q171)</f>
        <v>-13268.75</v>
      </c>
      <c r="S171" s="337">
        <f>VLOOKUP(Tableau17[[#This Row],[CODE PI]],Tableau16[[CODE PI]:[(mesures compensatoires du PC ou autres)]],14,FALSE)*(1+$B$1)</f>
        <v>0</v>
      </c>
      <c r="T171" s="423">
        <v>0</v>
      </c>
      <c r="U171" s="341">
        <v>0</v>
      </c>
      <c r="V171" s="423">
        <v>-12500</v>
      </c>
      <c r="W171" s="423">
        <v>0</v>
      </c>
      <c r="X171" s="423">
        <v>0</v>
      </c>
      <c r="Y171" s="423">
        <v>0</v>
      </c>
      <c r="Z171" s="264">
        <f>-250*Tableau17[[#This Row],[MW]]</f>
        <v>-2666</v>
      </c>
      <c r="AA171" s="423"/>
      <c r="AB171" s="273">
        <f>SUM('OPX_BN+1'!$T171:$AA171)</f>
        <v>-15166</v>
      </c>
      <c r="AC171" s="426"/>
      <c r="AD171" s="426"/>
      <c r="AE171" s="417">
        <v>0</v>
      </c>
      <c r="AF171" s="417">
        <v>0</v>
      </c>
      <c r="AG171" s="417">
        <v>0</v>
      </c>
      <c r="AH171" s="417">
        <v>0</v>
      </c>
      <c r="AI171" s="417">
        <v>0</v>
      </c>
      <c r="AJ171" s="371">
        <f>SUM('OPX_BN+1'!$AC171:$AI171)</f>
        <v>0</v>
      </c>
      <c r="AK171" s="424"/>
      <c r="AL171" s="276">
        <f>SUM('OPX_BN+1'!$J171,'OPX_BN+1'!$AB171,'OPX_BN+1'!$S171,'OPX_BN+1'!$AJ171,'OPX_BN+1'!$R171,'OPX_BN+1'!$AK171)</f>
        <v>-154040.29999999999</v>
      </c>
      <c r="AM171" s="427"/>
    </row>
    <row r="172" spans="1:39" ht="15">
      <c r="A172" s="325" t="s">
        <v>608</v>
      </c>
      <c r="B172" s="320" t="str">
        <f>VLOOKUP('OPX_BN+1'!$A172,Tableau106[],3,FALSE)</f>
        <v>A257</v>
      </c>
      <c r="C172" s="320" t="str">
        <f>VLOOKUP('OPX_BN+1'!$A172,Tableau106[],2,FALSE)</f>
        <v>FR69S05E</v>
      </c>
      <c r="D172" s="320" t="str">
        <f>VLOOKUP('OPX_BN+1'!$A172,Tableau106[],8,FALSE)</f>
        <v>SOLAIRE</v>
      </c>
      <c r="E172" s="321">
        <f>VLOOKUP('OPX_BN+1'!$A172,Tableau106[],4,FALSE)</f>
        <v>5</v>
      </c>
      <c r="F172" s="322" t="str">
        <f>VLOOKUP('OPX_BN+1'!$A172,Tableau106[],5,FALSE)</f>
        <v>SREG</v>
      </c>
      <c r="G172" s="322" t="str">
        <f>VLOOKUP('OPX_BN+1'!$A172,Tableau106[],7,FALSE)</f>
        <v>GROUPE</v>
      </c>
      <c r="H172" s="322" t="str">
        <f>VLOOKUP('OPX_BN+1'!$A172,Tableau106[],6,FALSE)</f>
        <v>S</v>
      </c>
      <c r="I172" s="372" t="str">
        <f>VLOOKUP(Tableau17[[#This Row],[OPEX VARIABLES en €
BN 2024]],Tableau106[],9,FALSE)</f>
        <v>ArB</v>
      </c>
      <c r="J172" s="360">
        <f>VLOOKUP(Tableau17[[#This Row],[CODE PI]],Tableau16[[CODE PI]:[(mesures compensatoires du PC ou autres)]],5,FALSE)*(1+$B$1)</f>
        <v>0</v>
      </c>
      <c r="K172" s="228">
        <v>0</v>
      </c>
      <c r="L172" s="228"/>
      <c r="M172" s="229">
        <v>0</v>
      </c>
      <c r="N172" s="229">
        <v>0</v>
      </c>
      <c r="O172" s="229">
        <v>0</v>
      </c>
      <c r="P172" s="229">
        <v>0</v>
      </c>
      <c r="Q172" s="229">
        <f>-250*'OPX_BN+1'!$E171</f>
        <v>-2666</v>
      </c>
      <c r="R172" s="274">
        <f>SUM('OPX_BN+1'!$K172:$Q172)</f>
        <v>-2666</v>
      </c>
      <c r="S172" s="337">
        <f>VLOOKUP(Tableau17[[#This Row],[CODE PI]],Tableau16[[CODE PI]:[(mesures compensatoires du PC ou autres)]],14,FALSE)*(1+$B$1)</f>
        <v>-41000</v>
      </c>
      <c r="T172" s="423">
        <v>-2100</v>
      </c>
      <c r="U172" s="341">
        <v>0</v>
      </c>
      <c r="V172" s="423">
        <v>0</v>
      </c>
      <c r="W172" s="423">
        <v>0</v>
      </c>
      <c r="X172" s="423">
        <v>0</v>
      </c>
      <c r="Y172" s="423">
        <v>0</v>
      </c>
      <c r="Z172" s="264">
        <f>-250*Tableau17[[#This Row],[MW]]</f>
        <v>-1250</v>
      </c>
      <c r="AA172" s="423"/>
      <c r="AB172" s="273">
        <f>SUM('OPX_BN+1'!$T172:$AA172)</f>
        <v>-3350</v>
      </c>
      <c r="AC172" s="426"/>
      <c r="AD172" s="426"/>
      <c r="AE172" s="417">
        <v>0</v>
      </c>
      <c r="AF172" s="417">
        <v>0</v>
      </c>
      <c r="AG172" s="417">
        <v>0</v>
      </c>
      <c r="AH172" s="417">
        <v>0</v>
      </c>
      <c r="AI172" s="417">
        <v>0</v>
      </c>
      <c r="AJ172" s="371">
        <f>SUM('OPX_BN+1'!$AC172:$AI172)</f>
        <v>0</v>
      </c>
      <c r="AK172" s="424">
        <v>0</v>
      </c>
      <c r="AL172" s="276">
        <f>SUM('OPX_BN+1'!$J172,'OPX_BN+1'!$AB172,'OPX_BN+1'!$S172,'OPX_BN+1'!$AJ172,'OPX_BN+1'!$R172,'OPX_BN+1'!$AK172)</f>
        <v>-47016</v>
      </c>
      <c r="AM172" s="427"/>
    </row>
    <row r="173" spans="1:39" ht="15">
      <c r="A173" s="325" t="s">
        <v>625</v>
      </c>
      <c r="B173" s="330" t="str">
        <f>VLOOKUP('OPX_BN+1'!$A173,Tableau106[],3,FALSE)</f>
        <v>A892</v>
      </c>
      <c r="C173" s="330" t="str">
        <f>VLOOKUP('OPX_BN+1'!$A173,Tableau106[],2,FALSE)</f>
        <v>FR02E99E</v>
      </c>
      <c r="D173" s="330" t="str">
        <f>VLOOKUP('OPX_BN+1'!$A173,Tableau106[],8,FALSE)</f>
        <v>EOLIEN</v>
      </c>
      <c r="E173" s="331">
        <f>VLOOKUP('OPX_BN+1'!$A173,Tableau106[],4,FALSE)</f>
        <v>10.119999999999999</v>
      </c>
      <c r="F173" s="330" t="str">
        <f>VLOOKUP('OPX_BN+1'!$A173,Tableau106[],5,FALSE)</f>
        <v>STSI</v>
      </c>
      <c r="G173" s="330" t="str">
        <f>VLOOKUP('OPX_BN+1'!$A173,Tableau106[],7,FALSE)</f>
        <v>GROUPE</v>
      </c>
      <c r="H173" s="330" t="str">
        <f>VLOOKUP('OPX_BN+1'!$A173,Tableau106[],6,FALSE)</f>
        <v>N</v>
      </c>
      <c r="I173" s="372" t="str">
        <f>VLOOKUP(Tableau17[[#This Row],[OPEX VARIABLES en €
BN 2024]],Tableau106[],9,FALSE)</f>
        <v>AyB</v>
      </c>
      <c r="J173" s="360">
        <f>VLOOKUP(Tableau17[[#This Row],[CODE PI]],Tableau16[[CODE PI]:[(mesures compensatoires du PC ou autres)]],5,FALSE)*(1+$B$1)</f>
        <v>-58424.999999999993</v>
      </c>
      <c r="K173" s="228">
        <v>0</v>
      </c>
      <c r="L173" s="228"/>
      <c r="M173" s="229"/>
      <c r="N173" s="229"/>
      <c r="O173" s="229"/>
      <c r="P173" s="229"/>
      <c r="Q173" s="229"/>
      <c r="R173" s="274">
        <f>SUM('OPX_BN+1'!$K173:$Q173)</f>
        <v>0</v>
      </c>
      <c r="S173" s="388">
        <f>VLOOKUP(Tableau17[[#This Row],[CODE PI]],Tableau16[[CODE PI]:[(mesures compensatoires du PC ou autres)]],14,FALSE)*(1+$B$1)</f>
        <v>0</v>
      </c>
      <c r="T173" s="438"/>
      <c r="U173" s="389"/>
      <c r="V173" s="438"/>
      <c r="W173" s="438"/>
      <c r="X173" s="438"/>
      <c r="Y173" s="438"/>
      <c r="Z173" s="264"/>
      <c r="AA173" s="434"/>
      <c r="AB173" s="391">
        <f>SUM('OPX_BN+1'!$T173:$AA173)</f>
        <v>0</v>
      </c>
      <c r="AC173" s="439"/>
      <c r="AD173" s="426">
        <f>-4924*1.025</f>
        <v>-5047.0999999999995</v>
      </c>
      <c r="AE173" s="417"/>
      <c r="AF173" s="417"/>
      <c r="AG173" s="417"/>
      <c r="AH173" s="417"/>
      <c r="AI173" s="417"/>
      <c r="AJ173" s="371">
        <f>SUM('OPX_BN+1'!$AC173:$AI173)</f>
        <v>-5047.0999999999995</v>
      </c>
      <c r="AK173" s="429"/>
      <c r="AL173" s="276">
        <f>SUM('OPX_BN+1'!$J173,'OPX_BN+1'!$AB173,'OPX_BN+1'!$S173,'OPX_BN+1'!$AJ173,'OPX_BN+1'!$R173,'OPX_BN+1'!$AK173)</f>
        <v>-63472.099999999991</v>
      </c>
      <c r="AM173" s="430"/>
    </row>
    <row r="174" spans="1:39" ht="15">
      <c r="A174" s="325" t="s">
        <v>680</v>
      </c>
      <c r="B174" s="330" t="str">
        <f>VLOOKUP('OPX_BN+1'!$A174,Tableau106[],3,FALSE)</f>
        <v>A9892</v>
      </c>
      <c r="C174" s="330" t="str">
        <f>VLOOKUP('OPX_BN+1'!$A174,Tableau106[],2,FALSE)</f>
        <v>FR02E993</v>
      </c>
      <c r="D174" s="330" t="str">
        <f>VLOOKUP('OPX_BN+1'!$A174,Tableau106[],8,FALSE)</f>
        <v>EOLIEN</v>
      </c>
      <c r="E174" s="331">
        <f>VLOOKUP('OPX_BN+1'!$A174,Tableau106[],4,FALSE)</f>
        <v>12</v>
      </c>
      <c r="F174" s="330" t="str">
        <f>VLOOKUP('OPX_BN+1'!$A174,Tableau106[],5,FALSE)</f>
        <v>STS2</v>
      </c>
      <c r="G174" s="330" t="str">
        <f>VLOOKUP('OPX_BN+1'!$A174,Tableau106[],7,FALSE)</f>
        <v>GROUPE</v>
      </c>
      <c r="H174" s="330" t="str">
        <f>VLOOKUP('OPX_BN+1'!$A174,Tableau106[],6,FALSE)</f>
        <v>N</v>
      </c>
      <c r="I174" s="372" t="str">
        <f>VLOOKUP(Tableau17[[#This Row],[OPEX VARIABLES en €
BN 2024]],Tableau106[],9,FALSE)</f>
        <v>AyB</v>
      </c>
      <c r="J174" s="360">
        <f>-10000*10/12</f>
        <v>-8333.3333333333339</v>
      </c>
      <c r="K174" s="228">
        <v>0</v>
      </c>
      <c r="L174" s="228"/>
      <c r="M174" s="229"/>
      <c r="N174" s="229"/>
      <c r="O174" s="229"/>
      <c r="P174" s="229">
        <f>-440*Tableau17[[#This Row],[MW]]</f>
        <v>-5280</v>
      </c>
      <c r="Q174" s="229">
        <f>-250*'OPX_BN+1'!$E174</f>
        <v>-3000</v>
      </c>
      <c r="R174" s="274">
        <f>SUM('OPX_BN+1'!$K174:$Q174)</f>
        <v>-8280</v>
      </c>
      <c r="S174" s="388">
        <f>-70000*4*(3/4)</f>
        <v>-210000</v>
      </c>
      <c r="T174" s="438"/>
      <c r="U174" s="389"/>
      <c r="V174" s="438">
        <v>-5000</v>
      </c>
      <c r="W174" s="438"/>
      <c r="X174" s="438"/>
      <c r="Y174" s="438"/>
      <c r="Z174" s="264">
        <f>-250*Tableau17[[#This Row],[MW]]</f>
        <v>-3000</v>
      </c>
      <c r="AA174" s="434"/>
      <c r="AB174" s="391">
        <f>SUM('OPX_BN+1'!$T174:$AA174)</f>
        <v>-8000</v>
      </c>
      <c r="AC174" s="439"/>
      <c r="AD174" s="426">
        <f>-4924*1.025</f>
        <v>-5047.0999999999995</v>
      </c>
      <c r="AE174" s="417"/>
      <c r="AF174" s="417"/>
      <c r="AG174" s="417"/>
      <c r="AH174" s="417"/>
      <c r="AI174" s="417"/>
      <c r="AJ174" s="371">
        <f>SUM('OPX_BN+1'!$AC174:$AI174)</f>
        <v>-5047.0999999999995</v>
      </c>
      <c r="AK174" s="429"/>
      <c r="AL174" s="276">
        <f>SUM('OPX_BN+1'!$J174,'OPX_BN+1'!$AB174,'OPX_BN+1'!$S174,'OPX_BN+1'!$AJ174,'OPX_BN+1'!$R174,'OPX_BN+1'!$AK174)</f>
        <v>-239660.43333333335</v>
      </c>
      <c r="AM174" s="430"/>
    </row>
    <row r="175" spans="1:39" ht="15">
      <c r="A175" s="244" t="s">
        <v>610</v>
      </c>
      <c r="B175" s="320" t="str">
        <f>VLOOKUP('OPX_BN+1'!$A175,Tableau106[],3,FALSE)</f>
        <v>A295</v>
      </c>
      <c r="C175" s="320" t="str">
        <f>VLOOKUP('OPX_BN+1'!$A175,Tableau106[],2,FALSE)</f>
        <v>FR01S05E</v>
      </c>
      <c r="D175" s="320" t="str">
        <f>VLOOKUP('OPX_BN+1'!$A175,Tableau106[],8,FALSE)</f>
        <v>SOLAIRE</v>
      </c>
      <c r="E175" s="321">
        <f>VLOOKUP('OPX_BN+1'!$A175,Tableau106[],4,FALSE)</f>
        <v>2.7</v>
      </c>
      <c r="F175" s="322" t="str">
        <f>VLOOKUP('OPX_BN+1'!$A175,Tableau106[],5,FALSE)</f>
        <v>STJU</v>
      </c>
      <c r="G175" s="322" t="str">
        <f>VLOOKUP('OPX_BN+1'!$A175,Tableau106[],7,FALSE)</f>
        <v>GROUPE</v>
      </c>
      <c r="H175" s="322" t="str">
        <f>VLOOKUP('OPX_BN+1'!$A175,Tableau106[],6,FALSE)</f>
        <v>S</v>
      </c>
      <c r="I175" s="372" t="str">
        <f>VLOOKUP(Tableau17[[#This Row],[OPEX VARIABLES en €
BN 2024]],Tableau106[],9,FALSE)</f>
        <v>ArB</v>
      </c>
      <c r="J175" s="360">
        <f>VLOOKUP(Tableau17[[#This Row],[CODE PI]],Tableau16[[CODE PI]:[(mesures compensatoires du PC ou autres)]],5,FALSE)*(1+$B$1)</f>
        <v>0</v>
      </c>
      <c r="K175" s="228">
        <v>0</v>
      </c>
      <c r="L175" s="228"/>
      <c r="M175" s="229">
        <v>0</v>
      </c>
      <c r="N175" s="229">
        <v>0</v>
      </c>
      <c r="O175" s="229">
        <v>0</v>
      </c>
      <c r="P175" s="229">
        <v>0</v>
      </c>
      <c r="Q175" s="229">
        <f>-250*'OPX_BN+1'!$E172</f>
        <v>-1250</v>
      </c>
      <c r="R175" s="274">
        <f>SUM('OPX_BN+1'!$K175:$Q175)</f>
        <v>-1250</v>
      </c>
      <c r="S175" s="337">
        <f>VLOOKUP(Tableau17[[#This Row],[CODE PI]],Tableau16[[CODE PI]:[(mesures compensatoires du PC ou autres)]],14,FALSE)*(1+$B$1)</f>
        <v>-72194.849999999991</v>
      </c>
      <c r="T175" s="423">
        <v>-1700</v>
      </c>
      <c r="U175" s="341">
        <v>0</v>
      </c>
      <c r="V175" s="423">
        <v>0</v>
      </c>
      <c r="W175" s="423">
        <v>0</v>
      </c>
      <c r="X175" s="423">
        <v>0</v>
      </c>
      <c r="Y175" s="423">
        <v>0</v>
      </c>
      <c r="Z175" s="264">
        <f>-250*Tableau17[[#This Row],[MW]]</f>
        <v>-675</v>
      </c>
      <c r="AA175" s="423"/>
      <c r="AB175" s="273">
        <f>SUM('OPX_BN+1'!$T175:$AA175)</f>
        <v>-2375</v>
      </c>
      <c r="AC175" s="426"/>
      <c r="AD175" s="426"/>
      <c r="AE175" s="417">
        <v>0</v>
      </c>
      <c r="AF175" s="417">
        <v>0</v>
      </c>
      <c r="AG175" s="417">
        <v>0</v>
      </c>
      <c r="AH175" s="417">
        <v>0</v>
      </c>
      <c r="AI175" s="417">
        <v>0</v>
      </c>
      <c r="AJ175" s="371">
        <f>SUM('OPX_BN+1'!$AC175:$AI175)</f>
        <v>0</v>
      </c>
      <c r="AK175" s="424">
        <v>0</v>
      </c>
      <c r="AL175" s="276">
        <f>SUM('OPX_BN+1'!$J175,'OPX_BN+1'!$AB175,'OPX_BN+1'!$S175,'OPX_BN+1'!$AJ175,'OPX_BN+1'!$R175,'OPX_BN+1'!$AK175)</f>
        <v>-75819.849999999991</v>
      </c>
      <c r="AM175" s="427"/>
    </row>
    <row r="176" spans="1:39" ht="15">
      <c r="A176" s="325" t="s">
        <v>611</v>
      </c>
      <c r="B176" s="320" t="str">
        <f>VLOOKUP('OPX_BN+1'!$A176,Tableau106[],3,FALSE)</f>
        <v>A307</v>
      </c>
      <c r="C176" s="320" t="str">
        <f>VLOOKUP('OPX_BN+1'!$A176,Tableau106[],2,FALSE)</f>
        <v>FR04S07E</v>
      </c>
      <c r="D176" s="320" t="str">
        <f>VLOOKUP('OPX_BN+1'!$A176,Tableau106[],8,FALSE)</f>
        <v>SOLAIRE</v>
      </c>
      <c r="E176" s="321">
        <f>VLOOKUP('OPX_BN+1'!$A176,Tableau106[],4,FALSE)</f>
        <v>2.8</v>
      </c>
      <c r="F176" s="322" t="str">
        <f>VLOOKUP('OPX_BN+1'!$A176,Tableau106[],5,FALSE)</f>
        <v>STLM</v>
      </c>
      <c r="G176" s="322" t="str">
        <f>VLOOKUP('OPX_BN+1'!$A176,Tableau106[],7,FALSE)</f>
        <v>GROUPE</v>
      </c>
      <c r="H176" s="322" t="str">
        <f>VLOOKUP('OPX_BN+1'!$A176,Tableau106[],6,FALSE)</f>
        <v>S</v>
      </c>
      <c r="I176" s="372" t="str">
        <f>VLOOKUP(Tableau17[[#This Row],[OPEX VARIABLES en €
BN 2024]],Tableau106[],9,FALSE)</f>
        <v>BaA</v>
      </c>
      <c r="J176" s="360">
        <f>VLOOKUP(Tableau17[[#This Row],[CODE PI]],Tableau16[[CODE PI]:[(mesures compensatoires du PC ou autres)]],5,FALSE)*(1+$B$1)</f>
        <v>-24599.999999999996</v>
      </c>
      <c r="K176" s="228">
        <v>0</v>
      </c>
      <c r="L176" s="228"/>
      <c r="M176" s="229">
        <v>0</v>
      </c>
      <c r="N176" s="229">
        <v>0</v>
      </c>
      <c r="O176" s="229">
        <v>0</v>
      </c>
      <c r="P176" s="229">
        <v>0</v>
      </c>
      <c r="Q176" s="229">
        <f>-250*'OPX_BN+1'!$E175</f>
        <v>-675</v>
      </c>
      <c r="R176" s="274">
        <f>SUM('OPX_BN+1'!$K176:$Q176)</f>
        <v>-675</v>
      </c>
      <c r="S176" s="337">
        <f>VLOOKUP(Tableau17[[#This Row],[CODE PI]],Tableau16[[CODE PI]:[(mesures compensatoires du PC ou autres)]],14,FALSE)*(1+$B$1)</f>
        <v>0</v>
      </c>
      <c r="T176" s="423">
        <v>0</v>
      </c>
      <c r="U176" s="341">
        <v>0</v>
      </c>
      <c r="V176" s="423">
        <v>0</v>
      </c>
      <c r="W176" s="423">
        <v>0</v>
      </c>
      <c r="X176" s="423">
        <v>0</v>
      </c>
      <c r="Y176" s="423">
        <v>0</v>
      </c>
      <c r="Z176" s="264">
        <f>-250*Tableau17[[#This Row],[MW]]</f>
        <v>-700</v>
      </c>
      <c r="AA176" s="423"/>
      <c r="AB176" s="273">
        <f>SUM('OPX_BN+1'!$T176:$AA176)</f>
        <v>-700</v>
      </c>
      <c r="AC176" s="426"/>
      <c r="AD176" s="426"/>
      <c r="AE176" s="417">
        <v>0</v>
      </c>
      <c r="AF176" s="417">
        <v>0</v>
      </c>
      <c r="AG176" s="417">
        <v>0</v>
      </c>
      <c r="AH176" s="417">
        <v>-4850</v>
      </c>
      <c r="AI176" s="417">
        <v>0</v>
      </c>
      <c r="AJ176" s="371">
        <f>SUM('OPX_BN+1'!$AC176:$AI176)</f>
        <v>-4850</v>
      </c>
      <c r="AK176" s="424"/>
      <c r="AL176" s="276">
        <f>SUM('OPX_BN+1'!$J176,'OPX_BN+1'!$AB176,'OPX_BN+1'!$S176,'OPX_BN+1'!$AJ176,'OPX_BN+1'!$R176,'OPX_BN+1'!$AK176)</f>
        <v>-30824.999999999996</v>
      </c>
      <c r="AM176" s="427"/>
    </row>
    <row r="177" spans="1:40" ht="15">
      <c r="A177" s="244" t="s">
        <v>557</v>
      </c>
      <c r="B177" s="320" t="str">
        <f>VLOOKUP('OPX_BN+1'!$A177,Tableau106[],3,FALSE)</f>
        <v>A541</v>
      </c>
      <c r="C177" s="320" t="str">
        <f>VLOOKUP('OPX_BN+1'!$A177,Tableau106[],2,FALSE)</f>
        <v>FR55E08E</v>
      </c>
      <c r="D177" s="320" t="str">
        <f>VLOOKUP('OPX_BN+1'!$A177,Tableau106[],8,FALSE)</f>
        <v>EOLIEN</v>
      </c>
      <c r="E177" s="321">
        <f>VLOOKUP('OPX_BN+1'!$A177,Tableau106[],4,FALSE)</f>
        <v>11.5</v>
      </c>
      <c r="F177" s="322" t="str">
        <f>VLOOKUP('OPX_BN+1'!$A177,Tableau106[],5,FALSE)</f>
        <v>STEN</v>
      </c>
      <c r="G177" s="322" t="str">
        <f>VLOOKUP('OPX_BN+1'!$A177,Tableau106[],7,FALSE)</f>
        <v>EGM</v>
      </c>
      <c r="H177" s="322" t="str">
        <f>VLOOKUP('OPX_BN+1'!$A177,Tableau106[],6,FALSE)</f>
        <v>N</v>
      </c>
      <c r="I177" s="372" t="str">
        <f>VLOOKUP(Tableau17[[#This Row],[OPEX VARIABLES en €
BN 2024]],Tableau106[],9,FALSE)</f>
        <v>MaA</v>
      </c>
      <c r="J177" s="360">
        <f>VLOOKUP(Tableau17[[#This Row],[CODE PI]],Tableau16[[CODE PI]:[(mesures compensatoires du PC ou autres)]],5,FALSE)*(1+$B$1)</f>
        <v>-264576.07499999995</v>
      </c>
      <c r="K177" s="228">
        <v>-153700.00000000003</v>
      </c>
      <c r="L177" s="228"/>
      <c r="M177" s="229">
        <v>0</v>
      </c>
      <c r="N177" s="229">
        <v>0</v>
      </c>
      <c r="O177" s="229">
        <v>0</v>
      </c>
      <c r="P177" s="229">
        <v>-4025</v>
      </c>
      <c r="Q177" s="229">
        <f>-250*'OPX_BN+1'!$E177</f>
        <v>-2875</v>
      </c>
      <c r="R177" s="274">
        <f>SUM('OPX_BN+1'!$K177:$Q177)</f>
        <v>-160600.00000000003</v>
      </c>
      <c r="S177" s="337">
        <f>VLOOKUP(Tableau17[[#This Row],[CODE PI]],Tableau16[[CODE PI]:[(mesures compensatoires du PC ou autres)]],14,FALSE)*(1+$B$1)</f>
        <v>0</v>
      </c>
      <c r="T177" s="423">
        <v>0</v>
      </c>
      <c r="U177" s="341">
        <v>0</v>
      </c>
      <c r="V177" s="423">
        <v>0</v>
      </c>
      <c r="W177" s="423">
        <v>0</v>
      </c>
      <c r="X177" s="423">
        <v>0</v>
      </c>
      <c r="Y177" s="423">
        <v>0</v>
      </c>
      <c r="Z177" s="264">
        <f>-250*Tableau17[[#This Row],[MW]]</f>
        <v>-2875</v>
      </c>
      <c r="AA177" s="423"/>
      <c r="AB177" s="273">
        <f>SUM('OPX_BN+1'!$T177:$AA177)</f>
        <v>-2875</v>
      </c>
      <c r="AC177" s="426"/>
      <c r="AD177" s="426"/>
      <c r="AE177" s="417">
        <v>0</v>
      </c>
      <c r="AF177" s="417">
        <v>0</v>
      </c>
      <c r="AG177" s="417">
        <v>0</v>
      </c>
      <c r="AH177" s="417">
        <v>0</v>
      </c>
      <c r="AI177" s="417">
        <v>0</v>
      </c>
      <c r="AJ177" s="371">
        <f>SUM('OPX_BN+1'!$AC177:$AI177)</f>
        <v>0</v>
      </c>
      <c r="AK177" s="424"/>
      <c r="AL177" s="276">
        <f>SUM('OPX_BN+1'!$J177,'OPX_BN+1'!$AB177,'OPX_BN+1'!$S177,'OPX_BN+1'!$AJ177,'OPX_BN+1'!$R177,'OPX_BN+1'!$AK177)</f>
        <v>-428051.07499999995</v>
      </c>
      <c r="AM177" s="427"/>
    </row>
    <row r="178" spans="1:40" ht="15">
      <c r="A178" s="325" t="s">
        <v>613</v>
      </c>
      <c r="B178" s="320" t="str">
        <f>VLOOKUP('OPX_BN+1'!$A178,Tableau106[],3,FALSE)</f>
        <v>A313</v>
      </c>
      <c r="C178" s="320" t="str">
        <f>VLOOKUP('OPX_BN+1'!$A178,Tableau106[],2,FALSE)</f>
        <v>FR89S03E</v>
      </c>
      <c r="D178" s="320" t="str">
        <f>VLOOKUP('OPX_BN+1'!$A178,Tableau106[],8,FALSE)</f>
        <v>SOLAIRE</v>
      </c>
      <c r="E178" s="321">
        <f>VLOOKUP('OPX_BN+1'!$A178,Tableau106[],4,FALSE)</f>
        <v>10.1</v>
      </c>
      <c r="F178" s="322" t="str">
        <f>VLOOKUP('OPX_BN+1'!$A178,Tableau106[],5,FALSE)</f>
        <v>SUBL</v>
      </c>
      <c r="G178" s="322" t="str">
        <f>VLOOKUP('OPX_BN+1'!$A178,Tableau106[],7,FALSE)</f>
        <v>GROUPE</v>
      </c>
      <c r="H178" s="322" t="str">
        <f>VLOOKUP('OPX_BN+1'!$A178,Tableau106[],6,FALSE)</f>
        <v>N</v>
      </c>
      <c r="I178" s="372" t="str">
        <f>VLOOKUP(Tableau17[[#This Row],[OPEX VARIABLES en €
BN 2024]],Tableau106[],9,FALSE)</f>
        <v>LoG</v>
      </c>
      <c r="J178" s="360">
        <f>-69570</f>
        <v>-69570</v>
      </c>
      <c r="K178" s="228">
        <v>-20000</v>
      </c>
      <c r="L178" s="228"/>
      <c r="M178" s="229">
        <v>0</v>
      </c>
      <c r="N178" s="229">
        <v>0</v>
      </c>
      <c r="O178" s="229"/>
      <c r="P178" s="229"/>
      <c r="Q178" s="229">
        <f>-250*'OPX_BN+1'!$E177-(69570*0.1)</f>
        <v>-9832</v>
      </c>
      <c r="R178" s="274">
        <f>SUM('OPX_BN+1'!$K178:$Q178)</f>
        <v>-29832</v>
      </c>
      <c r="S178" s="337">
        <f>VLOOKUP(Tableau17[[#This Row],[CODE PI]],Tableau16[[CODE PI]:[(mesures compensatoires du PC ou autres)]],14,FALSE)*(1+$B$1)</f>
        <v>0</v>
      </c>
      <c r="T178" s="423">
        <v>0</v>
      </c>
      <c r="U178" s="341">
        <v>0</v>
      </c>
      <c r="V178" s="423"/>
      <c r="W178" s="423"/>
      <c r="X178" s="423"/>
      <c r="Y178" s="423">
        <v>0</v>
      </c>
      <c r="Z178" s="264">
        <f>-250*Tableau17[[#This Row],[MW]]</f>
        <v>-2525</v>
      </c>
      <c r="AA178" s="423"/>
      <c r="AB178" s="273">
        <f>SUM('OPX_BN+1'!$T178:$AA178)</f>
        <v>-2525</v>
      </c>
      <c r="AC178" s="426"/>
      <c r="AD178" s="426"/>
      <c r="AE178" s="417">
        <v>0</v>
      </c>
      <c r="AF178" s="417">
        <v>0</v>
      </c>
      <c r="AG178" s="417">
        <v>0</v>
      </c>
      <c r="AH178" s="417">
        <v>0</v>
      </c>
      <c r="AI178" s="417">
        <v>0</v>
      </c>
      <c r="AJ178" s="371">
        <f>SUM('OPX_BN+1'!$AC178:$AI178)</f>
        <v>0</v>
      </c>
      <c r="AK178" s="424"/>
      <c r="AL178" s="276">
        <f>SUM('OPX_BN+1'!$J178,'OPX_BN+1'!$AB178,'OPX_BN+1'!$S178,'OPX_BN+1'!$AJ178,'OPX_BN+1'!$R178,'OPX_BN+1'!$AK178)</f>
        <v>-101927</v>
      </c>
      <c r="AM178" s="427"/>
    </row>
    <row r="179" spans="1:40" ht="15">
      <c r="A179" s="325" t="s">
        <v>663</v>
      </c>
      <c r="B179" s="330" t="str">
        <f>VLOOKUP('OPX_BN+1'!$A179,Tableau106[],3,FALSE)</f>
        <v>A536</v>
      </c>
      <c r="C179" s="330" t="str">
        <f>VLOOKUP('OPX_BN+1'!$A179,Tableau106[],2,FALSE)</f>
        <v>FR62E04E</v>
      </c>
      <c r="D179" s="330" t="str">
        <f>VLOOKUP('OPX_BN+1'!$A179,Tableau106[],8,FALSE)</f>
        <v>EOLIEN</v>
      </c>
      <c r="E179" s="331">
        <f>VLOOKUP('OPX_BN+1'!$A179,Tableau106[],4,FALSE)</f>
        <v>21.6</v>
      </c>
      <c r="F179" s="330" t="str">
        <f>VLOOKUP('OPX_BN+1'!$A179,Tableau106[],5,FALSE)</f>
        <v>SARA</v>
      </c>
      <c r="G179" s="330" t="str">
        <f>VLOOKUP('OPX_BN+1'!$A179,Tableau106[],7,FALSE)</f>
        <v>GROUPE</v>
      </c>
      <c r="H179" s="330" t="str">
        <f>VLOOKUP('OPX_BN+1'!$A179,Tableau106[],6,FALSE)</f>
        <v>N</v>
      </c>
      <c r="I179" s="372" t="str">
        <f>VLOOKUP(Tableau17[[#This Row],[OPEX VARIABLES en €
BN 2024]],Tableau106[],9,FALSE)</f>
        <v>NiL</v>
      </c>
      <c r="J179" s="360">
        <f>VLOOKUP(Tableau17[[#This Row],[CODE PI]],Tableau16[[CODE PI]:[(mesures compensatoires du PC ou autres)]],5,FALSE)*(1+$B$1)</f>
        <v>-18946.099999999999</v>
      </c>
      <c r="K179" s="228">
        <v>-6440</v>
      </c>
      <c r="L179" s="228"/>
      <c r="M179" s="229"/>
      <c r="N179" s="229"/>
      <c r="O179" s="229"/>
      <c r="P179" s="229">
        <v>-4620</v>
      </c>
      <c r="Q179" s="229">
        <f>-250*'OPX_BN+1'!$E179</f>
        <v>-5400</v>
      </c>
      <c r="R179" s="274">
        <f>SUM('OPX_BN+1'!$K179:$Q179)</f>
        <v>-16460</v>
      </c>
      <c r="S179" s="388">
        <f>VLOOKUP(Tableau17[[#This Row],[CODE PI]],Tableau16[[CODE PI]:[(mesures compensatoires du PC ou autres)]],14,FALSE)*(1+$B$1)</f>
        <v>-321030</v>
      </c>
      <c r="T179" s="438"/>
      <c r="U179" s="389"/>
      <c r="V179" s="438">
        <v>-600</v>
      </c>
      <c r="W179" s="438">
        <f>-450*6</f>
        <v>-2700</v>
      </c>
      <c r="X179" s="438"/>
      <c r="Y179" s="438"/>
      <c r="Z179" s="264">
        <f>-250*Tableau17[[#This Row],[MW]]</f>
        <v>-5400</v>
      </c>
      <c r="AA179" s="434"/>
      <c r="AB179" s="391">
        <f>SUM('OPX_BN+1'!$T179:$AA179)</f>
        <v>-8700</v>
      </c>
      <c r="AC179" s="439"/>
      <c r="AD179" s="426">
        <f>-4924*1.025</f>
        <v>-5047.0999999999995</v>
      </c>
      <c r="AE179" s="417">
        <f>-(7255+6000)</f>
        <v>-13255</v>
      </c>
      <c r="AF179" s="417">
        <v>-14577</v>
      </c>
      <c r="AG179" s="417">
        <v>-38425</v>
      </c>
      <c r="AH179" s="417"/>
      <c r="AI179" s="417"/>
      <c r="AJ179" s="371">
        <f>SUM('OPX_BN+1'!$AC179:$AI179)</f>
        <v>-71304.100000000006</v>
      </c>
      <c r="AK179" s="429"/>
      <c r="AL179" s="276">
        <f>SUM('OPX_BN+1'!$J179,'OPX_BN+1'!$AB179,'OPX_BN+1'!$S179,'OPX_BN+1'!$AJ179,'OPX_BN+1'!$R179,'OPX_BN+1'!$AK179)</f>
        <v>-436440.19999999995</v>
      </c>
      <c r="AM179" s="430"/>
    </row>
    <row r="180" spans="1:40" ht="15">
      <c r="A180" s="325" t="s">
        <v>436</v>
      </c>
      <c r="B180" s="320" t="str">
        <f>VLOOKUP('OPX_BN+1'!$A180,Tableau106[],3,FALSE)</f>
        <v>A280</v>
      </c>
      <c r="C180" s="320" t="str">
        <f>VLOOKUP('OPX_BN+1'!$A180,Tableau106[],2,FALSE)</f>
        <v>FR89E08E</v>
      </c>
      <c r="D180" s="320" t="str">
        <f>VLOOKUP('OPX_BN+1'!$A180,Tableau106[],8,FALSE)</f>
        <v>EOLIEN</v>
      </c>
      <c r="E180" s="321">
        <f>VLOOKUP('OPX_BN+1'!$A180,Tableau106[],4,FALSE)</f>
        <v>14.4</v>
      </c>
      <c r="F180" s="322" t="str">
        <f>VLOOKUP('OPX_BN+1'!$A180,Tableau106[],5,FALSE)</f>
        <v>TLGR</v>
      </c>
      <c r="G180" s="322" t="str">
        <f>VLOOKUP('OPX_BN+1'!$A180,Tableau106[],7,FALSE)</f>
        <v>GROUPE</v>
      </c>
      <c r="H180" s="322" t="str">
        <f>VLOOKUP('OPX_BN+1'!$A180,Tableau106[],6,FALSE)</f>
        <v>N</v>
      </c>
      <c r="I180" s="372" t="str">
        <f>VLOOKUP(Tableau17[[#This Row],[OPEX VARIABLES en €
BN 2024]],Tableau106[],9,FALSE)</f>
        <v>LoH</v>
      </c>
      <c r="J180" s="360">
        <f>VLOOKUP(Tableau17[[#This Row],[CODE PI]],Tableau16[[CODE PI]:[(mesures compensatoires du PC ou autres)]],5,FALSE)*(1+$B$1)</f>
        <v>-9460.75</v>
      </c>
      <c r="K180" s="228">
        <v>-1540</v>
      </c>
      <c r="L180" s="228"/>
      <c r="M180" s="229">
        <v>0</v>
      </c>
      <c r="N180" s="229">
        <v>0</v>
      </c>
      <c r="O180" s="229">
        <v>0</v>
      </c>
      <c r="P180" s="229">
        <f>-440*Tableau17[[#This Row],[MW]]</f>
        <v>-6336</v>
      </c>
      <c r="Q180" s="229">
        <f>-250*'OPX_BN+1'!$E180</f>
        <v>-3600</v>
      </c>
      <c r="R180" s="274">
        <f>SUM('OPX_BN+1'!$K180:$Q180)</f>
        <v>-11476</v>
      </c>
      <c r="S180" s="337">
        <f>VLOOKUP(Tableau17[[#This Row],[CODE PI]],Tableau16[[CODE PI]:[(mesures compensatoires du PC ou autres)]],14,FALSE)*(1+$B$1)</f>
        <v>-226346.65</v>
      </c>
      <c r="T180" s="423">
        <v>0</v>
      </c>
      <c r="U180" s="341">
        <v>0</v>
      </c>
      <c r="V180" s="423">
        <v>0</v>
      </c>
      <c r="W180" s="423">
        <v>-1800</v>
      </c>
      <c r="X180" s="423">
        <v>0</v>
      </c>
      <c r="Y180" s="423">
        <v>0</v>
      </c>
      <c r="Z180" s="264">
        <f>-250*Tableau17[[#This Row],[MW]]</f>
        <v>-3600</v>
      </c>
      <c r="AA180" s="423"/>
      <c r="AB180" s="273">
        <f>SUM('OPX_BN+1'!$T180:$AA180)</f>
        <v>-5400</v>
      </c>
      <c r="AC180" s="426"/>
      <c r="AD180" s="426">
        <f>-4924*1.025</f>
        <v>-5047.0999999999995</v>
      </c>
      <c r="AE180" s="417">
        <v>0</v>
      </c>
      <c r="AF180" s="417">
        <v>0</v>
      </c>
      <c r="AG180" s="417">
        <v>-30000</v>
      </c>
      <c r="AH180" s="417">
        <v>0</v>
      </c>
      <c r="AI180" s="417">
        <v>0</v>
      </c>
      <c r="AJ180" s="371">
        <f>SUM('OPX_BN+1'!$AC180:$AI180)</f>
        <v>-35047.1</v>
      </c>
      <c r="AK180" s="424"/>
      <c r="AL180" s="276">
        <f>SUM('OPX_BN+1'!$J180,'OPX_BN+1'!$AB180,'OPX_BN+1'!$S180,'OPX_BN+1'!$AJ180,'OPX_BN+1'!$R180,'OPX_BN+1'!$AK180)</f>
        <v>-287730.5</v>
      </c>
      <c r="AM180" s="427"/>
    </row>
    <row r="181" spans="1:40" ht="15">
      <c r="A181" s="325" t="s">
        <v>665</v>
      </c>
      <c r="B181" s="330" t="str">
        <f>VLOOKUP('OPX_BN+1'!$A181,Tableau106[],3,FALSE)</f>
        <v>A060</v>
      </c>
      <c r="C181" s="330" t="str">
        <f>VLOOKUP('OPX_BN+1'!$A181,Tableau106[],2,FALSE)</f>
        <v>FR2BE01E</v>
      </c>
      <c r="D181" s="330" t="str">
        <f>VLOOKUP('OPX_BN+1'!$A181,Tableau106[],8,FALSE)</f>
        <v>EOLIEN</v>
      </c>
      <c r="E181" s="331">
        <f>VLOOKUP('OPX_BN+1'!$A181,Tableau106[],4,FALSE)</f>
        <v>11.7</v>
      </c>
      <c r="F181" s="330" t="str">
        <f>VLOOKUP('OPX_BN+1'!$A181,Tableau106[],5,FALSE)</f>
        <v>TERE</v>
      </c>
      <c r="G181" s="330" t="str">
        <f>VLOOKUP('OPX_BN+1'!$A181,Tableau106[],7,FALSE)</f>
        <v>GROUPE</v>
      </c>
      <c r="H181" s="330" t="str">
        <f>VLOOKUP('OPX_BN+1'!$A181,Tableau106[],6,FALSE)</f>
        <v>S</v>
      </c>
      <c r="I181" s="372" t="str">
        <f>VLOOKUP(Tableau17[[#This Row],[OPEX VARIABLES en €
BN 2024]],Tableau106[],9,FALSE)</f>
        <v>SaH</v>
      </c>
      <c r="J181" s="360"/>
      <c r="K181" s="228">
        <v>-32220</v>
      </c>
      <c r="L181" s="228"/>
      <c r="M181" s="229"/>
      <c r="N181" s="229"/>
      <c r="O181" s="229"/>
      <c r="P181" s="229">
        <v>-5000</v>
      </c>
      <c r="Q181" s="229">
        <f>-250*'OPX_BN+1'!$E181</f>
        <v>-2925</v>
      </c>
      <c r="R181" s="274">
        <f>SUM('OPX_BN+1'!$K181:$Q181)</f>
        <v>-40145</v>
      </c>
      <c r="S181" s="388">
        <f>-13*7500*104%-15000</f>
        <v>-116400</v>
      </c>
      <c r="T181" s="438"/>
      <c r="U181" s="389"/>
      <c r="V181" s="438"/>
      <c r="W181" s="438">
        <f>-1300*13</f>
        <v>-16900</v>
      </c>
      <c r="X181" s="438"/>
      <c r="Y181" s="438">
        <f>-440*11.7-5000</f>
        <v>-10148</v>
      </c>
      <c r="Z181" s="264">
        <f>-250*Tableau17[[#This Row],[MW]]</f>
        <v>-2925</v>
      </c>
      <c r="AA181" s="434"/>
      <c r="AB181" s="391">
        <f>SUM('OPX_BN+1'!$T181:$AA181)</f>
        <v>-29973</v>
      </c>
      <c r="AC181" s="439">
        <v>-15000</v>
      </c>
      <c r="AD181" s="426">
        <v>-3000</v>
      </c>
      <c r="AE181" s="417"/>
      <c r="AF181" s="417">
        <v>-15000</v>
      </c>
      <c r="AG181" s="417">
        <v>-50000</v>
      </c>
      <c r="AH181" s="417"/>
      <c r="AI181" s="417"/>
      <c r="AJ181" s="371">
        <f>SUM('OPX_BN+1'!$AC181:$AI181)</f>
        <v>-83000</v>
      </c>
      <c r="AK181" s="429"/>
      <c r="AL181" s="276">
        <f>SUM('OPX_BN+1'!$J181,'OPX_BN+1'!$AB181,'OPX_BN+1'!$S181,'OPX_BN+1'!$AJ181,'OPX_BN+1'!$R181,'OPX_BN+1'!$AK181)</f>
        <v>-269518</v>
      </c>
      <c r="AM181" s="430"/>
    </row>
    <row r="182" spans="1:40" ht="15">
      <c r="A182" s="244" t="s">
        <v>614</v>
      </c>
      <c r="B182" s="320" t="str">
        <f>VLOOKUP('OPX_BN+1'!$A182,Tableau106[],3,FALSE)</f>
        <v>A168</v>
      </c>
      <c r="C182" s="320" t="str">
        <f>VLOOKUP('OPX_BN+1'!$A182,Tableau106[],2,FALSE)</f>
        <v>FR97S89E</v>
      </c>
      <c r="D182" s="320" t="str">
        <f>VLOOKUP('OPX_BN+1'!$A182,Tableau106[],8,FALSE)</f>
        <v>SOLAIRE DOM</v>
      </c>
      <c r="E182" s="321">
        <f>VLOOKUP('OPX_BN+1'!$A182,Tableau106[],4,FALSE)</f>
        <v>4.9980000000000002</v>
      </c>
      <c r="F182" s="322" t="str">
        <f>VLOOKUP('OPX_BN+1'!$A182,Tableau106[],5,FALSE)</f>
        <v>TOUC</v>
      </c>
      <c r="G182" s="322" t="str">
        <f>VLOOKUP('OPX_BN+1'!$A182,Tableau106[],7,FALSE)</f>
        <v>GROUPE</v>
      </c>
      <c r="H182" s="322" t="str">
        <f>VLOOKUP('OPX_BN+1'!$A182,Tableau106[],6,FALSE)</f>
        <v>DOM</v>
      </c>
      <c r="I182" s="372" t="str">
        <f>VLOOKUP(Tableau17[[#This Row],[OPEX VARIABLES en €
BN 2024]],Tableau106[],9,FALSE)</f>
        <v>DoJ</v>
      </c>
      <c r="J182" s="360">
        <f>VLOOKUP(Tableau17[[#This Row],[CODE PI]],Tableau16[[CODE PI]:[(mesures compensatoires du PC ou autres)]],5,FALSE)*(1+$B$1)</f>
        <v>0</v>
      </c>
      <c r="K182" s="228">
        <v>0</v>
      </c>
      <c r="L182" s="228"/>
      <c r="M182" s="229">
        <v>0</v>
      </c>
      <c r="N182" s="229">
        <v>0</v>
      </c>
      <c r="O182" s="229">
        <v>0</v>
      </c>
      <c r="P182" s="229">
        <v>-5040</v>
      </c>
      <c r="Q182" s="229">
        <f>-250*'OPX_BN+1'!$E182</f>
        <v>-1249.5</v>
      </c>
      <c r="R182" s="274">
        <f>SUM('OPX_BN+1'!$K182:$Q182)</f>
        <v>-6289.5</v>
      </c>
      <c r="S182" s="337">
        <f>VLOOKUP(Tableau17[[#This Row],[CODE PI]],Tableau16[[CODE PI]:[(mesures compensatoires du PC ou autres)]],14,FALSE)*(1+$B$1)</f>
        <v>-534456.52499999991</v>
      </c>
      <c r="T182" s="361">
        <v>-52000</v>
      </c>
      <c r="U182" s="341">
        <v>0</v>
      </c>
      <c r="V182" s="423">
        <v>0</v>
      </c>
      <c r="W182" s="423">
        <v>-4600</v>
      </c>
      <c r="X182" s="423">
        <v>0</v>
      </c>
      <c r="Y182" s="423">
        <v>0</v>
      </c>
      <c r="Z182" s="264">
        <f>-250*Tableau17[[#This Row],[MW]]</f>
        <v>-1249.5</v>
      </c>
      <c r="AA182" s="423">
        <f>-1743101*0.002</f>
        <v>-3486.2020000000002</v>
      </c>
      <c r="AB182" s="273">
        <f>SUM('OPX_BN+1'!$T182:$AA182)</f>
        <v>-61335.701999999997</v>
      </c>
      <c r="AC182" s="426"/>
      <c r="AD182" s="426"/>
      <c r="AE182" s="417">
        <v>-13920</v>
      </c>
      <c r="AF182" s="417">
        <v>0</v>
      </c>
      <c r="AG182" s="417">
        <v>-10000</v>
      </c>
      <c r="AH182" s="417">
        <v>0</v>
      </c>
      <c r="AI182" s="417">
        <v>0</v>
      </c>
      <c r="AJ182" s="371">
        <f>SUM('OPX_BN+1'!$AC182:$AI182)</f>
        <v>-23920</v>
      </c>
      <c r="AK182" s="424"/>
      <c r="AL182" s="276">
        <f>SUM('OPX_BN+1'!$J182,'OPX_BN+1'!$AB182,'OPX_BN+1'!$S182,'OPX_BN+1'!$AJ182,'OPX_BN+1'!$R182,'OPX_BN+1'!$AK182)</f>
        <v>-626001.72699999996</v>
      </c>
      <c r="AM182" s="427"/>
    </row>
    <row r="183" spans="1:40" ht="15">
      <c r="A183" s="325" t="s">
        <v>367</v>
      </c>
      <c r="B183" s="320" t="str">
        <f>VLOOKUP('OPX_BN+1'!$A183,Tableau106[],3,FALSE)</f>
        <v>A167</v>
      </c>
      <c r="C183" s="320" t="str">
        <f>VLOOKUP('OPX_BN+1'!$A183,Tableau106[],2,FALSE)</f>
        <v>FR973S01E</v>
      </c>
      <c r="D183" s="320" t="str">
        <f>VLOOKUP('OPX_BN+1'!$A183,Tableau106[],8,FALSE)</f>
        <v>SOLAIRE DOM</v>
      </c>
      <c r="E183" s="321">
        <f>VLOOKUP('OPX_BN+1'!$A183,Tableau106[],4,FALSE)</f>
        <v>5</v>
      </c>
      <c r="F183" s="322" t="str">
        <f>VLOOKUP('OPX_BN+1'!$A183,Tableau106[],5,FALSE)</f>
        <v>TOC2</v>
      </c>
      <c r="G183" s="322" t="str">
        <f>VLOOKUP('OPX_BN+1'!$A183,Tableau106[],7,FALSE)</f>
        <v>GROUPE</v>
      </c>
      <c r="H183" s="322" t="str">
        <f>VLOOKUP('OPX_BN+1'!$A183,Tableau106[],6,FALSE)</f>
        <v>DOM</v>
      </c>
      <c r="I183" s="372" t="str">
        <f>VLOOKUP(Tableau17[[#This Row],[OPEX VARIABLES en €
BN 2024]],Tableau106[],9,FALSE)</f>
        <v>DoJ</v>
      </c>
      <c r="J183" s="360">
        <f>VLOOKUP(Tableau17[[#This Row],[CODE PI]],Tableau16[[CODE PI]:[(mesures compensatoires du PC ou autres)]],5,FALSE)*(1+$B$1)</f>
        <v>0</v>
      </c>
      <c r="K183" s="228">
        <v>0</v>
      </c>
      <c r="L183" s="228"/>
      <c r="M183" s="229">
        <v>0</v>
      </c>
      <c r="N183" s="229">
        <v>0</v>
      </c>
      <c r="O183" s="229">
        <v>0</v>
      </c>
      <c r="P183" s="229">
        <v>0</v>
      </c>
      <c r="Q183" s="229">
        <f>-250*'OPX_BN+1'!$E183</f>
        <v>-1250</v>
      </c>
      <c r="R183" s="274">
        <f>SUM('OPX_BN+1'!$K183:$Q183)</f>
        <v>-1250</v>
      </c>
      <c r="S183" s="337">
        <f>VLOOKUP(Tableau17[[#This Row],[CODE PI]],Tableau16[[CODE PI]:[(mesures compensatoires du PC ou autres)]],14,FALSE)*(1+$B$1)</f>
        <v>-129595.87499999999</v>
      </c>
      <c r="T183" s="361">
        <v>-12600</v>
      </c>
      <c r="U183" s="341">
        <v>0</v>
      </c>
      <c r="V183" s="423"/>
      <c r="W183" s="423">
        <v>-1600</v>
      </c>
      <c r="X183" s="423">
        <v>0</v>
      </c>
      <c r="Y183" s="423">
        <v>0</v>
      </c>
      <c r="Z183" s="264">
        <f>-250*Tableau17[[#This Row],[MW]]</f>
        <v>-1250</v>
      </c>
      <c r="AA183" s="423">
        <f>-601368*0.002</f>
        <v>-1202.7360000000001</v>
      </c>
      <c r="AB183" s="273">
        <f>SUM('OPX_BN+1'!$T183:$AA183)</f>
        <v>-16652.736000000001</v>
      </c>
      <c r="AC183" s="426"/>
      <c r="AD183" s="426"/>
      <c r="AE183" s="417">
        <v>0</v>
      </c>
      <c r="AF183" s="417">
        <v>0</v>
      </c>
      <c r="AG183" s="417">
        <v>0</v>
      </c>
      <c r="AH183" s="417">
        <v>0</v>
      </c>
      <c r="AI183" s="417">
        <v>0</v>
      </c>
      <c r="AJ183" s="371">
        <f>SUM('OPX_BN+1'!$AC183:$AI183)</f>
        <v>0</v>
      </c>
      <c r="AK183" s="424"/>
      <c r="AL183" s="276">
        <f>SUM('OPX_BN+1'!$J183,'OPX_BN+1'!$AB183,'OPX_BN+1'!$S183,'OPX_BN+1'!$AJ183,'OPX_BN+1'!$R183,'OPX_BN+1'!$AK183)</f>
        <v>-147498.61099999998</v>
      </c>
      <c r="AM183" s="427"/>
    </row>
    <row r="184" spans="1:40" ht="15">
      <c r="A184" s="244" t="s">
        <v>615</v>
      </c>
      <c r="B184" s="320" t="str">
        <f>VLOOKUP('OPX_BN+1'!$A184,Tableau106[],3,FALSE)</f>
        <v>A391</v>
      </c>
      <c r="C184" s="320" t="str">
        <f>VLOOKUP('OPX_BN+1'!$A184,Tableau106[],2,FALSE)</f>
        <v>FR54S01E</v>
      </c>
      <c r="D184" s="320" t="str">
        <f>VLOOKUP('OPX_BN+1'!$A184,Tableau106[],8,FALSE)</f>
        <v>SOLAIRE</v>
      </c>
      <c r="E184" s="321">
        <f>VLOOKUP('OPX_BN+1'!$A184,Tableau106[],4,FALSE)</f>
        <v>54.93</v>
      </c>
      <c r="F184" s="322" t="str">
        <f>VLOOKUP('OPX_BN+1'!$A184,Tableau106[],5,FALSE)</f>
        <v>TOUL</v>
      </c>
      <c r="G184" s="322" t="str">
        <f>VLOOKUP('OPX_BN+1'!$A184,Tableau106[],7,FALSE)</f>
        <v>GROUPE</v>
      </c>
      <c r="H184" s="322" t="str">
        <f>VLOOKUP('OPX_BN+1'!$A184,Tableau106[],6,FALSE)</f>
        <v>S</v>
      </c>
      <c r="I184" s="372" t="str">
        <f>VLOOKUP(Tableau17[[#This Row],[OPEX VARIABLES en €
BN 2024]],Tableau106[],9,FALSE)</f>
        <v>LoG</v>
      </c>
      <c r="J184" s="360">
        <f>VLOOKUP(Tableau17[[#This Row],[CODE PI]],Tableau16[[CODE PI]:[(mesures compensatoires du PC ou autres)]],5,FALSE)*(1+$B$1)</f>
        <v>-1166177.3499999999</v>
      </c>
      <c r="K184" s="228">
        <v>-51080</v>
      </c>
      <c r="L184" s="228"/>
      <c r="M184" s="229">
        <v>0</v>
      </c>
      <c r="N184" s="229">
        <v>0</v>
      </c>
      <c r="O184" s="229">
        <v>0</v>
      </c>
      <c r="P184" s="229">
        <v>0</v>
      </c>
      <c r="Q184" s="229">
        <f>-250*'OPX_BN+1'!$E184-3000</f>
        <v>-16732.5</v>
      </c>
      <c r="R184" s="274">
        <f>SUM('OPX_BN+1'!$K184:$Q184)</f>
        <v>-67812.5</v>
      </c>
      <c r="S184" s="337">
        <f>VLOOKUP(Tableau17[[#This Row],[CODE PI]],Tableau16[[CODE PI]:[(mesures compensatoires du PC ou autres)]],14,FALSE)*(1+$B$1)</f>
        <v>0</v>
      </c>
      <c r="T184" s="423">
        <v>-20000</v>
      </c>
      <c r="U184" s="341">
        <v>-67000</v>
      </c>
      <c r="V184" s="423"/>
      <c r="W184" s="423"/>
      <c r="X184" s="423">
        <v>0</v>
      </c>
      <c r="Y184" s="423">
        <v>0</v>
      </c>
      <c r="Z184" s="264">
        <f>-250*Tableau17[[#This Row],[MW]]</f>
        <v>-13732.5</v>
      </c>
      <c r="AA184" s="423"/>
      <c r="AB184" s="273">
        <f>SUM('OPX_BN+1'!$T184:$AA184)</f>
        <v>-100732.5</v>
      </c>
      <c r="AC184" s="426"/>
      <c r="AD184" s="426"/>
      <c r="AE184" s="417">
        <v>-8000</v>
      </c>
      <c r="AF184" s="417">
        <v>0</v>
      </c>
      <c r="AG184" s="417">
        <v>0</v>
      </c>
      <c r="AH184" s="417">
        <v>0</v>
      </c>
      <c r="AI184" s="417">
        <v>-25000</v>
      </c>
      <c r="AJ184" s="371">
        <f>SUM('OPX_BN+1'!$AC184:$AI184)</f>
        <v>-33000</v>
      </c>
      <c r="AK184" s="424"/>
      <c r="AL184" s="276">
        <f>SUM('OPX_BN+1'!$J184,'OPX_BN+1'!$AB184,'OPX_BN+1'!$S184,'OPX_BN+1'!$AJ184,'OPX_BN+1'!$R184,'OPX_BN+1'!$AK184)</f>
        <v>-1367722.3499999999</v>
      </c>
      <c r="AM184" s="427"/>
    </row>
    <row r="185" spans="1:40" ht="15">
      <c r="A185" s="325" t="s">
        <v>451</v>
      </c>
      <c r="B185" s="320" t="str">
        <f>VLOOKUP('OPX_BN+1'!$A185,Tableau106[],3,FALSE)</f>
        <v>A541</v>
      </c>
      <c r="C185" s="320" t="str">
        <f>VLOOKUP('OPX_BN+1'!$A185,Tableau106[],2,FALSE)</f>
        <v>FR79E02E</v>
      </c>
      <c r="D185" s="320" t="str">
        <f>VLOOKUP('OPX_BN+1'!$A185,Tableau106[],8,FALSE)</f>
        <v>EOLIEN</v>
      </c>
      <c r="E185" s="321">
        <f>VLOOKUP('OPX_BN+1'!$A185,Tableau106[],4,FALSE)</f>
        <v>10</v>
      </c>
      <c r="F185" s="322" t="str">
        <f>VLOOKUP('OPX_BN+1'!$A185,Tableau106[],5,FALSE)</f>
        <v>TRAY</v>
      </c>
      <c r="G185" s="322" t="str">
        <f>VLOOKUP('OPX_BN+1'!$A185,Tableau106[],7,FALSE)</f>
        <v>EGM</v>
      </c>
      <c r="H185" s="322" t="str">
        <f>VLOOKUP('OPX_BN+1'!$A185,Tableau106[],6,FALSE)</f>
        <v>N</v>
      </c>
      <c r="I185" s="372" t="str">
        <f>VLOOKUP(Tableau17[[#This Row],[OPEX VARIABLES en €
BN 2024]],Tableau106[],9,FALSE)</f>
        <v>BoK</v>
      </c>
      <c r="J185" s="360">
        <f>VLOOKUP(Tableau17[[#This Row],[CODE PI]],Tableau16[[CODE PI]:[(mesures compensatoires du PC ou autres)]],5,FALSE)*(1+$B$1)</f>
        <v>-264576.07499999995</v>
      </c>
      <c r="K185" s="228">
        <v>-150000</v>
      </c>
      <c r="L185" s="228"/>
      <c r="M185" s="229">
        <v>-40000</v>
      </c>
      <c r="N185" s="229">
        <v>0</v>
      </c>
      <c r="O185" s="229">
        <v>0</v>
      </c>
      <c r="P185" s="229">
        <v>0</v>
      </c>
      <c r="Q185" s="229">
        <f>-250*'OPX_BN+1'!$E185</f>
        <v>-2500</v>
      </c>
      <c r="R185" s="274">
        <f>SUM('OPX_BN+1'!$K185:$Q185)</f>
        <v>-192500</v>
      </c>
      <c r="S185" s="337">
        <f>VLOOKUP(Tableau17[[#This Row],[CODE PI]],Tableau16[[CODE PI]:[(mesures compensatoires du PC ou autres)]],14,FALSE)*(1+$B$1)</f>
        <v>0</v>
      </c>
      <c r="T185" s="423">
        <v>0</v>
      </c>
      <c r="U185" s="341">
        <v>0</v>
      </c>
      <c r="V185" s="423">
        <v>-40000</v>
      </c>
      <c r="W185" s="423">
        <v>0</v>
      </c>
      <c r="X185" s="423">
        <v>0</v>
      </c>
      <c r="Y185" s="423">
        <v>0</v>
      </c>
      <c r="Z185" s="264">
        <f>-250*Tableau17[[#This Row],[MW]]</f>
        <v>-2500</v>
      </c>
      <c r="AA185" s="423"/>
      <c r="AB185" s="273">
        <f>SUM('OPX_BN+1'!$T185:$AA185)</f>
        <v>-42500</v>
      </c>
      <c r="AC185" s="426"/>
      <c r="AD185" s="426">
        <f t="shared" ref="AD185" si="5">-4924*1.025</f>
        <v>-5047.0999999999995</v>
      </c>
      <c r="AE185" s="417">
        <v>0</v>
      </c>
      <c r="AF185" s="417">
        <v>-10000</v>
      </c>
      <c r="AG185" s="417">
        <v>-21000</v>
      </c>
      <c r="AH185" s="417">
        <v>0</v>
      </c>
      <c r="AI185" s="417">
        <v>0</v>
      </c>
      <c r="AJ185" s="371">
        <f>SUM('OPX_BN+1'!$AC185:$AI185)</f>
        <v>-36047.1</v>
      </c>
      <c r="AK185" s="424"/>
      <c r="AL185" s="276">
        <f>SUM('OPX_BN+1'!$J185,'OPX_BN+1'!$AB185,'OPX_BN+1'!$S185,'OPX_BN+1'!$AJ185,'OPX_BN+1'!$R185,'OPX_BN+1'!$AK185)</f>
        <v>-535623.17499999993</v>
      </c>
      <c r="AM185" s="427"/>
    </row>
    <row r="186" spans="1:40" ht="15">
      <c r="A186" s="244" t="s">
        <v>594</v>
      </c>
      <c r="B186" s="320" t="str">
        <f>VLOOKUP('OPX_BN+1'!$A186,Tableau106[],3,FALSE)</f>
        <v>A938</v>
      </c>
      <c r="C186" s="320" t="str">
        <f>VLOOKUP('OPX_BN+1'!$A186,Tableau106[],2,FALSE)</f>
        <v>FR34E81E</v>
      </c>
      <c r="D186" s="320" t="str">
        <f>VLOOKUP('OPX_BN+1'!$A186,Tableau106[],8,FALSE)</f>
        <v>EOLIEN</v>
      </c>
      <c r="E186" s="321">
        <f>VLOOKUP('OPX_BN+1'!$A186,Tableau106[],4,FALSE)</f>
        <v>6</v>
      </c>
      <c r="F186" s="322" t="str">
        <f>VLOOKUP('OPX_BN+1'!$A186,Tableau106[],5,FALSE)</f>
        <v>TRFR</v>
      </c>
      <c r="G186" s="322" t="str">
        <f>VLOOKUP('OPX_BN+1'!$A186,Tableau106[],7,FALSE)</f>
        <v>FUTUREN</v>
      </c>
      <c r="H186" s="322" t="str">
        <f>VLOOKUP('OPX_BN+1'!$A186,Tableau106[],6,FALSE)</f>
        <v>S</v>
      </c>
      <c r="I186" s="372" t="str">
        <f>VLOOKUP(Tableau17[[#This Row],[OPEX VARIABLES en €
BN 2024]],Tableau106[],9,FALSE)</f>
        <v>KéD</v>
      </c>
      <c r="J186" s="360">
        <f>VLOOKUP(Tableau17[[#This Row],[CODE PI]],Tableau16[[CODE PI]:[(mesures compensatoires du PC ou autres)]],5,FALSE)*(1+$B$1)</f>
        <v>-193787.52499999999</v>
      </c>
      <c r="K186" s="228">
        <v>-5410</v>
      </c>
      <c r="L186" s="228"/>
      <c r="M186" s="229">
        <v>0</v>
      </c>
      <c r="N186" s="229">
        <v>0</v>
      </c>
      <c r="O186" s="229">
        <v>0</v>
      </c>
      <c r="P186" s="229">
        <f>-3500-5000</f>
        <v>-8500</v>
      </c>
      <c r="Q186" s="229">
        <f>-250*'OPX_BN+1'!$E117</f>
        <v>-3350</v>
      </c>
      <c r="R186" s="274">
        <f>SUM('OPX_BN+1'!$K186:$Q186)</f>
        <v>-17260</v>
      </c>
      <c r="S186" s="337">
        <f>VLOOKUP(Tableau17[[#This Row],[CODE PI]],Tableau16[[CODE PI]:[(mesures compensatoires du PC ou autres)]],14,FALSE)*(1+$B$1)</f>
        <v>0</v>
      </c>
      <c r="T186" s="423">
        <v>0</v>
      </c>
      <c r="U186" s="341">
        <v>0</v>
      </c>
      <c r="V186" s="423">
        <v>-2000</v>
      </c>
      <c r="W186" s="423">
        <v>0</v>
      </c>
      <c r="X186" s="423">
        <v>0</v>
      </c>
      <c r="Y186" s="423">
        <v>0</v>
      </c>
      <c r="Z186" s="264">
        <f>-250*Tableau17[[#This Row],[MW]]</f>
        <v>-1500</v>
      </c>
      <c r="AA186" s="423"/>
      <c r="AB186" s="273">
        <f>SUM('OPX_BN+1'!$T186:$AA186)</f>
        <v>-3500</v>
      </c>
      <c r="AC186" s="426">
        <f>-((6184*3)+1500)</f>
        <v>-20052</v>
      </c>
      <c r="AD186" s="426"/>
      <c r="AE186" s="417">
        <v>-2190</v>
      </c>
      <c r="AF186" s="417"/>
      <c r="AG186" s="417">
        <v>-15200</v>
      </c>
      <c r="AH186" s="417">
        <v>0</v>
      </c>
      <c r="AI186" s="417">
        <v>0</v>
      </c>
      <c r="AJ186" s="371">
        <f>SUM('OPX_BN+1'!$AC186:$AI186)</f>
        <v>-37442</v>
      </c>
      <c r="AK186" s="424"/>
      <c r="AL186" s="276">
        <f>SUM('OPX_BN+1'!$J186,'OPX_BN+1'!$AB186,'OPX_BN+1'!$S186,'OPX_BN+1'!$AJ186,'OPX_BN+1'!$R186,'OPX_BN+1'!$AK186)</f>
        <v>-251989.52499999999</v>
      </c>
      <c r="AM186" s="427"/>
    </row>
    <row r="187" spans="1:40" ht="15">
      <c r="A187" s="244" t="s">
        <v>619</v>
      </c>
      <c r="B187" s="320" t="str">
        <f>VLOOKUP('OPX_BN+1'!$A187,Tableau106[],3,FALSE)</f>
        <v>A046</v>
      </c>
      <c r="C187" s="320" t="str">
        <f>VLOOKUP('OPX_BN+1'!$A187,Tableau106[],2,FALSE)</f>
        <v>FR97S75E</v>
      </c>
      <c r="D187" s="320" t="str">
        <f>VLOOKUP('OPX_BN+1'!$A187,Tableau106[],8,FALSE)</f>
        <v>SOLAIRE DOM</v>
      </c>
      <c r="E187" s="321">
        <f>VLOOKUP('OPX_BN+1'!$A187,Tableau106[],4,FALSE)</f>
        <v>0.68200000000000005</v>
      </c>
      <c r="F187" s="322" t="str">
        <f>VLOOKUP('OPX_BN+1'!$A187,Tableau106[],5,FALSE)</f>
        <v>TROI</v>
      </c>
      <c r="G187" s="322" t="str">
        <f>VLOOKUP('OPX_BN+1'!$A187,Tableau106[],7,FALSE)</f>
        <v>GROUPE</v>
      </c>
      <c r="H187" s="322" t="str">
        <f>VLOOKUP('OPX_BN+1'!$A187,Tableau106[],6,FALSE)</f>
        <v>DOM</v>
      </c>
      <c r="I187" s="372" t="str">
        <f>VLOOKUP(Tableau17[[#This Row],[OPEX VARIABLES en €
BN 2024]],Tableau106[],9,FALSE)</f>
        <v>DoJ</v>
      </c>
      <c r="J187" s="360">
        <f>VLOOKUP(Tableau17[[#This Row],[CODE PI]],Tableau16[[CODE PI]:[(mesures compensatoires du PC ou autres)]],5,FALSE)*(1+$B$1)</f>
        <v>0</v>
      </c>
      <c r="K187" s="228">
        <v>0</v>
      </c>
      <c r="L187" s="228"/>
      <c r="M187" s="229">
        <v>0</v>
      </c>
      <c r="N187" s="229">
        <v>0</v>
      </c>
      <c r="O187" s="229">
        <v>0</v>
      </c>
      <c r="P187" s="229">
        <v>-2100</v>
      </c>
      <c r="Q187" s="229">
        <f>-250*'OPX_BN+1'!$E186</f>
        <v>-1500</v>
      </c>
      <c r="R187" s="274">
        <f>SUM('OPX_BN+1'!$K187:$Q187)</f>
        <v>-3600</v>
      </c>
      <c r="S187" s="337">
        <f>VLOOKUP(Tableau17[[#This Row],[CODE PI]],Tableau16[[CODE PI]:[(mesures compensatoires du PC ou autres)]],14,FALSE)*(1+$B$1)</f>
        <v>-34381.574999999997</v>
      </c>
      <c r="T187" s="361">
        <v>-3500</v>
      </c>
      <c r="U187" s="341">
        <v>0</v>
      </c>
      <c r="V187" s="423"/>
      <c r="W187" s="423">
        <v>-1200</v>
      </c>
      <c r="X187" s="423">
        <v>0</v>
      </c>
      <c r="Y187" s="423">
        <v>0</v>
      </c>
      <c r="Z187" s="264">
        <f>-250*Tableau17[[#This Row],[MW]]</f>
        <v>-170.5</v>
      </c>
      <c r="AA187" s="423">
        <f>-312281*0.002</f>
        <v>-624.56200000000001</v>
      </c>
      <c r="AB187" s="273">
        <f>SUM('OPX_BN+1'!$T187:$AA187)</f>
        <v>-5495.0619999999999</v>
      </c>
      <c r="AC187" s="426"/>
      <c r="AD187" s="426"/>
      <c r="AE187" s="417">
        <v>0</v>
      </c>
      <c r="AF187" s="417">
        <v>0</v>
      </c>
      <c r="AG187" s="417">
        <v>-10726</v>
      </c>
      <c r="AH187" s="417">
        <v>-18551.97</v>
      </c>
      <c r="AI187" s="417">
        <v>0</v>
      </c>
      <c r="AJ187" s="371">
        <f>SUM('OPX_BN+1'!$AC187:$AI187)</f>
        <v>-29277.97</v>
      </c>
      <c r="AK187" s="424"/>
      <c r="AL187" s="276">
        <f>SUM('OPX_BN+1'!$J187,'OPX_BN+1'!$AB187,'OPX_BN+1'!$S187,'OPX_BN+1'!$AJ187,'OPX_BN+1'!$R187,'OPX_BN+1'!$AK187)</f>
        <v>-72754.606999999989</v>
      </c>
      <c r="AM187" s="427"/>
    </row>
    <row r="188" spans="1:40" s="121" customFormat="1" ht="22.5" customHeight="1">
      <c r="A188" s="325" t="s">
        <v>447</v>
      </c>
      <c r="B188" s="320" t="str">
        <f>VLOOKUP('OPX_BN+1'!$A188,Tableau106[],3,FALSE)</f>
        <v>A898</v>
      </c>
      <c r="C188" s="320" t="str">
        <f>VLOOKUP('OPX_BN+1'!$A188,Tableau106[],2,FALSE)</f>
        <v>FR55E12E</v>
      </c>
      <c r="D188" s="320" t="str">
        <f>VLOOKUP('OPX_BN+1'!$A188,Tableau106[],8,FALSE)</f>
        <v>EOLIEN</v>
      </c>
      <c r="E188" s="321">
        <f>VLOOKUP('OPX_BN+1'!$A188,Tableau106[],4,FALSE)</f>
        <v>24</v>
      </c>
      <c r="F188" s="322" t="str">
        <f>VLOOKUP('OPX_BN+1'!$A188,Tableau106[],5,FALSE)</f>
        <v>SOUR</v>
      </c>
      <c r="G188" s="322" t="str">
        <f>VLOOKUP('OPX_BN+1'!$A188,Tableau106[],7,FALSE)</f>
        <v>GROUPE</v>
      </c>
      <c r="H188" s="322" t="str">
        <f>VLOOKUP('OPX_BN+1'!$A188,Tableau106[],6,FALSE)</f>
        <v>N</v>
      </c>
      <c r="I188" s="372" t="str">
        <f>VLOOKUP(Tableau17[[#This Row],[OPEX VARIABLES en €
BN 2024]],Tableau106[],9,FALSE)</f>
        <v>LoH</v>
      </c>
      <c r="J188" s="360">
        <f>VLOOKUP(Tableau17[[#This Row],[CODE PI]],Tableau16[[CODE PI]:[(mesures compensatoires du PC ou autres)]],5,FALSE)*(1+$B$1)</f>
        <v>-23179.35</v>
      </c>
      <c r="K188" s="228">
        <v>-12960</v>
      </c>
      <c r="L188" s="228"/>
      <c r="M188" s="229">
        <v>0</v>
      </c>
      <c r="N188" s="229">
        <v>0</v>
      </c>
      <c r="O188" s="229">
        <v>0</v>
      </c>
      <c r="P188" s="229">
        <f>-440*Tableau17[[#This Row],[MW]]</f>
        <v>-10560</v>
      </c>
      <c r="Q188" s="229">
        <f>-250*'OPX_BN+1'!$E188</f>
        <v>-6000</v>
      </c>
      <c r="R188" s="274">
        <f>SUM('OPX_BN+1'!$K188:$Q188)</f>
        <v>-29520</v>
      </c>
      <c r="S188" s="337">
        <f>VLOOKUP(Tableau17[[#This Row],[CODE PI]],Tableau16[[CODE PI]:[(mesures compensatoires du PC ou autres)]],14,FALSE)*(1+$B$1)</f>
        <v>-557190</v>
      </c>
      <c r="T188" s="423">
        <v>-6000</v>
      </c>
      <c r="U188" s="341">
        <v>0</v>
      </c>
      <c r="V188" s="423">
        <v>-1920</v>
      </c>
      <c r="W188" s="423">
        <v>-5400</v>
      </c>
      <c r="X188" s="423">
        <v>0</v>
      </c>
      <c r="Y188" s="423">
        <v>-1300</v>
      </c>
      <c r="Z188" s="264">
        <f>-250*Tableau17[[#This Row],[MW]]</f>
        <v>-6000</v>
      </c>
      <c r="AA188" s="423"/>
      <c r="AB188" s="273">
        <f>SUM('OPX_BN+1'!$T188:$AA188)</f>
        <v>-20620</v>
      </c>
      <c r="AC188" s="426"/>
      <c r="AD188" s="426">
        <f t="shared" ref="AD188:AD193" si="6">-4924*1.025</f>
        <v>-5047.0999999999995</v>
      </c>
      <c r="AE188" s="417">
        <v>0</v>
      </c>
      <c r="AF188" s="417">
        <v>0</v>
      </c>
      <c r="AG188" s="417">
        <v>0</v>
      </c>
      <c r="AH188" s="417">
        <v>0</v>
      </c>
      <c r="AI188" s="417">
        <v>0</v>
      </c>
      <c r="AJ188" s="371">
        <f>SUM('OPX_BN+1'!$AC188:$AI188)</f>
        <v>-5047.0999999999995</v>
      </c>
      <c r="AK188" s="424"/>
      <c r="AL188" s="276">
        <f>SUM('OPX_BN+1'!$J188,'OPX_BN+1'!$AB188,'OPX_BN+1'!$S188,'OPX_BN+1'!$AJ188,'OPX_BN+1'!$R188,'OPX_BN+1'!$AK188)</f>
        <v>-635556.44999999995</v>
      </c>
      <c r="AM188" s="427"/>
      <c r="AN188" s="6"/>
    </row>
    <row r="189" spans="1:40" ht="15">
      <c r="A189" s="325" t="s">
        <v>474</v>
      </c>
      <c r="B189" s="320" t="str">
        <f>VLOOKUP('OPX_BN+1'!$A189,Tableau106[],3,FALSE)</f>
        <v>A530</v>
      </c>
      <c r="C189" s="320" t="str">
        <f>VLOOKUP('OPX_BN+1'!$A189,Tableau106[],2,FALSE)</f>
        <v>FR51E02E</v>
      </c>
      <c r="D189" s="320" t="str">
        <f>VLOOKUP('OPX_BN+1'!$A189,Tableau106[],8,FALSE)</f>
        <v>EOLIEN</v>
      </c>
      <c r="E189" s="321">
        <f>VLOOKUP('OPX_BN+1'!$A189,Tableau106[],4,FALSE)</f>
        <v>8.5</v>
      </c>
      <c r="F189" s="322" t="str">
        <f>VLOOKUP('OPX_BN+1'!$A189,Tableau106[],5,FALSE)</f>
        <v>VANA</v>
      </c>
      <c r="G189" s="322" t="str">
        <f>VLOOKUP('OPX_BN+1'!$A189,Tableau106[],7,FALSE)</f>
        <v>GROUPE</v>
      </c>
      <c r="H189" s="322" t="str">
        <f>VLOOKUP('OPX_BN+1'!$A189,Tableau106[],6,FALSE)</f>
        <v>N</v>
      </c>
      <c r="I189" s="372" t="str">
        <f>VLOOKUP(Tableau17[[#This Row],[OPEX VARIABLES en €
BN 2024]],Tableau106[],9,FALSE)</f>
        <v>BaB</v>
      </c>
      <c r="J189" s="360">
        <f>VLOOKUP(Tableau17[[#This Row],[CODE PI]],Tableau16[[CODE PI]:[(mesures compensatoires du PC ou autres)]],5,FALSE)*(1+$B$1)</f>
        <v>-9791.8249999999989</v>
      </c>
      <c r="K189" s="228">
        <v>-14460</v>
      </c>
      <c r="L189" s="228"/>
      <c r="M189" s="229">
        <v>0</v>
      </c>
      <c r="N189" s="229">
        <v>-5000</v>
      </c>
      <c r="O189" s="229">
        <v>0</v>
      </c>
      <c r="P189" s="229">
        <v>0</v>
      </c>
      <c r="Q189" s="229">
        <f>-250*'OPX_BN+1'!$E189</f>
        <v>-2125</v>
      </c>
      <c r="R189" s="274">
        <f>SUM('OPX_BN+1'!$K189:$Q189)</f>
        <v>-21585</v>
      </c>
      <c r="S189" s="337">
        <f>VLOOKUP(Tableau17[[#This Row],[CODE PI]],Tableau16[[CODE PI]:[(mesures compensatoires du PC ou autres)]],14,FALSE)*(1+$B$1)</f>
        <v>-347697.42499999999</v>
      </c>
      <c r="T189" s="423">
        <v>-5000</v>
      </c>
      <c r="U189" s="341">
        <v>0</v>
      </c>
      <c r="V189" s="423">
        <v>-6000</v>
      </c>
      <c r="W189" s="423">
        <v>-5400</v>
      </c>
      <c r="X189" s="423">
        <v>0</v>
      </c>
      <c r="Y189" s="423">
        <v>0</v>
      </c>
      <c r="Z189" s="264">
        <f>-250*Tableau17[[#This Row],[MW]]</f>
        <v>-2125</v>
      </c>
      <c r="AA189" s="423"/>
      <c r="AB189" s="273">
        <f>SUM('OPX_BN+1'!$T189:$AA189)</f>
        <v>-18525</v>
      </c>
      <c r="AC189" s="426"/>
      <c r="AD189" s="426"/>
      <c r="AE189" s="417">
        <v>0</v>
      </c>
      <c r="AF189" s="417">
        <v>0</v>
      </c>
      <c r="AG189" s="417">
        <v>0</v>
      </c>
      <c r="AH189" s="417">
        <v>0</v>
      </c>
      <c r="AI189" s="417">
        <v>0</v>
      </c>
      <c r="AJ189" s="371">
        <f>SUM('OPX_BN+1'!$AC189:$AI189)</f>
        <v>0</v>
      </c>
      <c r="AK189" s="424"/>
      <c r="AL189" s="276">
        <f>SUM('OPX_BN+1'!$J189,'OPX_BN+1'!$AB189,'OPX_BN+1'!$S189,'OPX_BN+1'!$AJ189,'OPX_BN+1'!$R189,'OPX_BN+1'!$AK189)</f>
        <v>-397599.25</v>
      </c>
      <c r="AM189" s="427"/>
    </row>
    <row r="190" spans="1:40" ht="15">
      <c r="A190" s="244" t="s">
        <v>441</v>
      </c>
      <c r="B190" s="320" t="str">
        <f>VLOOKUP('OPX_BN+1'!$A190,Tableau106[],3,FALSE)</f>
        <v>F244</v>
      </c>
      <c r="C190" s="320" t="str">
        <f>VLOOKUP('OPX_BN+1'!$A190,Tableau106[],2,FALSE)</f>
        <v>FR17E08E</v>
      </c>
      <c r="D190" s="320" t="str">
        <f>VLOOKUP('OPX_BN+1'!$A190,Tableau106[],8,FALSE)</f>
        <v>EOLIEN</v>
      </c>
      <c r="E190" s="321">
        <f>VLOOKUP('OPX_BN+1'!$A190,Tableau106[],4,FALSE)</f>
        <v>8.8000000000000007</v>
      </c>
      <c r="F190" s="322" t="str">
        <f>VLOOKUP('OPX_BN+1'!$A190,Tableau106[],5,FALSE)</f>
        <v>VARA</v>
      </c>
      <c r="G190" s="322" t="str">
        <f>VLOOKUP('OPX_BN+1'!$A190,Tableau106[],7,FALSE)</f>
        <v>FUTUREN</v>
      </c>
      <c r="H190" s="322" t="str">
        <f>VLOOKUP('OPX_BN+1'!$A190,Tableau106[],6,FALSE)</f>
        <v>N</v>
      </c>
      <c r="I190" s="372" t="str">
        <f>VLOOKUP(Tableau17[[#This Row],[OPEX VARIABLES en €
BN 2024]],Tableau106[],9,FALSE)</f>
        <v>PiM</v>
      </c>
      <c r="J190" s="360">
        <f>VLOOKUP(Tableau17[[#This Row],[CODE PI]],Tableau16[[CODE PI]:[(mesures compensatoires du PC ou autres)]],5,FALSE)*(1+$B$1)</f>
        <v>0</v>
      </c>
      <c r="K190" s="228">
        <v>0</v>
      </c>
      <c r="L190" s="228"/>
      <c r="M190" s="229">
        <v>0</v>
      </c>
      <c r="N190" s="229">
        <v>0</v>
      </c>
      <c r="O190" s="229">
        <v>0</v>
      </c>
      <c r="P190" s="334">
        <v>-3900</v>
      </c>
      <c r="Q190" s="229">
        <f>-250*'OPX_BN+1'!$E190</f>
        <v>-2200</v>
      </c>
      <c r="R190" s="274">
        <f>SUM('OPX_BN+1'!$K190:$Q190)</f>
        <v>-6100</v>
      </c>
      <c r="S190" s="337">
        <f>VLOOKUP(Tableau17[[#This Row],[CODE PI]],Tableau16[[CODE PI]:[(mesures compensatoires du PC ou autres)]],14,FALSE)*(1+$B$1)</f>
        <v>-153478.375</v>
      </c>
      <c r="T190" s="423">
        <f>-3000</f>
        <v>-3000</v>
      </c>
      <c r="U190" s="341">
        <v>0</v>
      </c>
      <c r="V190" s="423">
        <v>-3000</v>
      </c>
      <c r="W190" s="423">
        <v>-2250</v>
      </c>
      <c r="X190" s="423">
        <v>0</v>
      </c>
      <c r="Y190" s="423">
        <v>-5000</v>
      </c>
      <c r="Z190" s="264">
        <f>-250*Tableau17[[#This Row],[MW]]</f>
        <v>-2200</v>
      </c>
      <c r="AA190" s="423"/>
      <c r="AB190" s="273">
        <f>SUM('OPX_BN+1'!$T190:$AA190)</f>
        <v>-15450</v>
      </c>
      <c r="AC190" s="426"/>
      <c r="AD190" s="426">
        <f t="shared" si="6"/>
        <v>-5047.0999999999995</v>
      </c>
      <c r="AE190" s="417">
        <v>-6000</v>
      </c>
      <c r="AF190" s="432">
        <v>-20000</v>
      </c>
      <c r="AG190" s="432">
        <f>-25000</f>
        <v>-25000</v>
      </c>
      <c r="AH190" s="417">
        <v>0</v>
      </c>
      <c r="AI190" s="417">
        <v>-10000</v>
      </c>
      <c r="AJ190" s="371">
        <f>SUM('OPX_BN+1'!$AC190:$AI190)</f>
        <v>-66047.100000000006</v>
      </c>
      <c r="AK190" s="435">
        <v>0</v>
      </c>
      <c r="AL190" s="276">
        <f>SUM('OPX_BN+1'!$J190,'OPX_BN+1'!$AB190,'OPX_BN+1'!$S190,'OPX_BN+1'!$AJ190,'OPX_BN+1'!$R190,'OPX_BN+1'!$AK190)</f>
        <v>-241075.47500000001</v>
      </c>
      <c r="AM190" s="427"/>
    </row>
    <row r="191" spans="1:40" ht="15">
      <c r="A191" s="325" t="s">
        <v>585</v>
      </c>
      <c r="B191" s="320" t="str">
        <f>VLOOKUP('OPX_BN+1'!$A191,Tableau106[],3,FALSE)</f>
        <v>A104</v>
      </c>
      <c r="C191" s="320" t="str">
        <f>VLOOKUP('OPX_BN+1'!$A191,Tableau106[],2,FALSE)</f>
        <v>FR76E98E</v>
      </c>
      <c r="D191" s="320" t="str">
        <f>VLOOKUP('OPX_BN+1'!$A191,Tableau106[],8,FALSE)</f>
        <v>EOLIEN</v>
      </c>
      <c r="E191" s="321">
        <f>VLOOKUP('OPX_BN+1'!$A191,Tableau106[],4,FALSE)</f>
        <v>8</v>
      </c>
      <c r="F191" s="322" t="str">
        <f>VLOOKUP('OPX_BN+1'!$A191,Tableau106[],5,FALSE)</f>
        <v>VEUL</v>
      </c>
      <c r="G191" s="322" t="str">
        <f>VLOOKUP('OPX_BN+1'!$A191,Tableau106[],7,FALSE)</f>
        <v>GROUPE</v>
      </c>
      <c r="H191" s="322" t="str">
        <f>VLOOKUP('OPX_BN+1'!$A191,Tableau106[],6,FALSE)</f>
        <v>N</v>
      </c>
      <c r="I191" s="372" t="str">
        <f>VLOOKUP(Tableau17[[#This Row],[OPEX VARIABLES en €
BN 2024]],Tableau106[],9,FALSE)</f>
        <v>AnN</v>
      </c>
      <c r="J191" s="360">
        <f>VLOOKUP(Tableau17[[#This Row],[CODE PI]],Tableau16[[CODE PI]:[(mesures compensatoires du PC ou autres)]],5,FALSE)*(1+$B$1)</f>
        <v>-10048.074999999999</v>
      </c>
      <c r="K191" s="228">
        <v>-5820</v>
      </c>
      <c r="L191" s="228"/>
      <c r="M191" s="229">
        <v>0</v>
      </c>
      <c r="N191" s="229">
        <v>0</v>
      </c>
      <c r="O191" s="229">
        <v>0</v>
      </c>
      <c r="P191" s="229">
        <v>0</v>
      </c>
      <c r="Q191" s="229">
        <f>-250*'OPX_BN+1'!$E191</f>
        <v>-2000</v>
      </c>
      <c r="R191" s="274">
        <f>SUM('OPX_BN+1'!$K191:$Q191)</f>
        <v>-7820</v>
      </c>
      <c r="S191" s="337">
        <f>VLOOKUP(Tableau17[[#This Row],[CODE PI]],Tableau16[[CODE PI]:[(mesures compensatoires du PC ou autres)]],14,FALSE)*(1+$B$1)</f>
        <v>-143500</v>
      </c>
      <c r="T191" s="423">
        <v>0</v>
      </c>
      <c r="U191" s="341">
        <v>0</v>
      </c>
      <c r="V191" s="423">
        <v>-2600</v>
      </c>
      <c r="W191" s="423">
        <v>-2080</v>
      </c>
      <c r="X191" s="423">
        <v>0</v>
      </c>
      <c r="Y191" s="423">
        <v>0</v>
      </c>
      <c r="Z191" s="264">
        <f>-250*Tableau17[[#This Row],[MW]]</f>
        <v>-2000</v>
      </c>
      <c r="AA191" s="423"/>
      <c r="AB191" s="273">
        <f>SUM('OPX_BN+1'!$T191:$AA191)</f>
        <v>-6680</v>
      </c>
      <c r="AC191" s="426"/>
      <c r="AD191" s="426"/>
      <c r="AE191" s="417">
        <v>0</v>
      </c>
      <c r="AF191" s="417">
        <v>0</v>
      </c>
      <c r="AG191" s="417">
        <v>0</v>
      </c>
      <c r="AH191" s="417">
        <v>0</v>
      </c>
      <c r="AI191" s="417">
        <v>0</v>
      </c>
      <c r="AJ191" s="371">
        <f>SUM('OPX_BN+1'!$AC191:$AI191)</f>
        <v>0</v>
      </c>
      <c r="AK191" s="424"/>
      <c r="AL191" s="276">
        <f>SUM('OPX_BN+1'!$J191,'OPX_BN+1'!$AB191,'OPX_BN+1'!$S191,'OPX_BN+1'!$AJ191,'OPX_BN+1'!$R191,'OPX_BN+1'!$AK191)</f>
        <v>-168048.07500000001</v>
      </c>
      <c r="AM191" s="427"/>
    </row>
    <row r="192" spans="1:40" ht="15">
      <c r="A192" s="244" t="s">
        <v>488</v>
      </c>
      <c r="B192" s="320" t="str">
        <f>VLOOKUP('OPX_BN+1'!$A192,Tableau106[],3,FALSE)</f>
        <v>A540</v>
      </c>
      <c r="C192" s="320" t="str">
        <f>VLOOKUP('OPX_BN+1'!$A192,Tableau106[],2,FALSE)</f>
        <v>FR02E06E</v>
      </c>
      <c r="D192" s="320" t="str">
        <f>VLOOKUP('OPX_BN+1'!$A192,Tableau106[],8,FALSE)</f>
        <v>EOLIEN</v>
      </c>
      <c r="E192" s="321">
        <f>VLOOKUP('OPX_BN+1'!$A192,Tableau106[],4,FALSE)</f>
        <v>6</v>
      </c>
      <c r="F192" s="322" t="str">
        <f>VLOOKUP('OPX_BN+1'!$A192,Tableau106[],5,FALSE)</f>
        <v>VISE</v>
      </c>
      <c r="G192" s="322" t="str">
        <f>VLOOKUP('OPX_BN+1'!$A192,Tableau106[],7,FALSE)</f>
        <v>EGM</v>
      </c>
      <c r="H192" s="322" t="str">
        <f>VLOOKUP('OPX_BN+1'!$A192,Tableau106[],6,FALSE)</f>
        <v>N</v>
      </c>
      <c r="I192" s="372" t="str">
        <f>VLOOKUP(Tableau17[[#This Row],[OPEX VARIABLES en €
BN 2024]],Tableau106[],9,FALSE)</f>
        <v>NoS</v>
      </c>
      <c r="J192" s="360">
        <f>VLOOKUP(Tableau17[[#This Row],[CODE PI]],Tableau16[[CODE PI]:[(mesures compensatoires du PC ou autres)]],5,FALSE)*(1+$B$1)</f>
        <v>-158745.84999999998</v>
      </c>
      <c r="K192" s="228">
        <v>-60000</v>
      </c>
      <c r="L192" s="228"/>
      <c r="M192" s="229">
        <v>0</v>
      </c>
      <c r="N192" s="229">
        <v>0</v>
      </c>
      <c r="O192" s="229">
        <v>0</v>
      </c>
      <c r="P192" s="229">
        <v>-2800</v>
      </c>
      <c r="Q192" s="229">
        <f>-250*'OPX_BN+1'!$E192</f>
        <v>-1500</v>
      </c>
      <c r="R192" s="274">
        <f>SUM('OPX_BN+1'!$K192:$Q192)</f>
        <v>-64300</v>
      </c>
      <c r="S192" s="337">
        <f>VLOOKUP(Tableau17[[#This Row],[CODE PI]],Tableau16[[CODE PI]:[(mesures compensatoires du PC ou autres)]],14,FALSE)*(1+$B$1)</f>
        <v>0</v>
      </c>
      <c r="T192" s="423">
        <v>-5000</v>
      </c>
      <c r="U192" s="341">
        <v>0</v>
      </c>
      <c r="V192" s="423">
        <f>-2600-80000</f>
        <v>-82600</v>
      </c>
      <c r="W192" s="423">
        <v>0</v>
      </c>
      <c r="X192" s="423">
        <v>0</v>
      </c>
      <c r="Y192" s="423">
        <v>0</v>
      </c>
      <c r="Z192" s="264">
        <f>-250*Tableau17[[#This Row],[MW]]</f>
        <v>-1500</v>
      </c>
      <c r="AA192" s="423"/>
      <c r="AB192" s="273">
        <f>SUM('OPX_BN+1'!$T192:$AA192)</f>
        <v>-89100</v>
      </c>
      <c r="AC192" s="426"/>
      <c r="AD192" s="426"/>
      <c r="AE192" s="417">
        <v>0</v>
      </c>
      <c r="AF192" s="417">
        <v>0</v>
      </c>
      <c r="AG192" s="417">
        <v>0</v>
      </c>
      <c r="AH192" s="417">
        <v>0</v>
      </c>
      <c r="AI192" s="417">
        <v>0</v>
      </c>
      <c r="AJ192" s="371">
        <f>SUM('OPX_BN+1'!$AC192:$AI192)</f>
        <v>0</v>
      </c>
      <c r="AK192" s="424"/>
      <c r="AL192" s="276">
        <f>SUM('OPX_BN+1'!$J192,'OPX_BN+1'!$AB192,'OPX_BN+1'!$S192,'OPX_BN+1'!$AJ192,'OPX_BN+1'!$R192,'OPX_BN+1'!$AK192)</f>
        <v>-312145.84999999998</v>
      </c>
      <c r="AM192" s="427"/>
    </row>
    <row r="193" spans="1:40" ht="15">
      <c r="A193" s="325" t="s">
        <v>596</v>
      </c>
      <c r="B193" s="320" t="str">
        <f>VLOOKUP('OPX_BN+1'!$A193,Tableau106[],3,FALSE)</f>
        <v>A056</v>
      </c>
      <c r="C193" s="320" t="str">
        <f>VLOOKUP('OPX_BN+1'!$A193,Tableau106[],2,FALSE)</f>
        <v>FR11E91E</v>
      </c>
      <c r="D193" s="320" t="str">
        <f>VLOOKUP('OPX_BN+1'!$A193,Tableau106[],8,FALSE)</f>
        <v>EOLIEN</v>
      </c>
      <c r="E193" s="321">
        <v>50.6</v>
      </c>
      <c r="F193" s="322" t="str">
        <f>VLOOKUP('OPX_BN+1'!$A193,Tableau106[],5,FALSE)</f>
        <v>VLSQ</v>
      </c>
      <c r="G193" s="322" t="str">
        <f>VLOOKUP('OPX_BN+1'!$A193,Tableau106[],7,FALSE)</f>
        <v>GROUPE</v>
      </c>
      <c r="H193" s="322" t="str">
        <f>VLOOKUP('OPX_BN+1'!$A193,Tableau106[],6,FALSE)</f>
        <v>S</v>
      </c>
      <c r="I193" s="372" t="str">
        <f>VLOOKUP(Tableau17[[#This Row],[OPEX VARIABLES en €
BN 2024]],Tableau106[],9,FALSE)</f>
        <v>ThC</v>
      </c>
      <c r="J193" s="360">
        <f>VLOOKUP(Tableau17[[#This Row],[CODE PI]],Tableau16[[CODE PI]:[(mesures compensatoires du PC ou autres)]],5,FALSE)*(1+$B$1)</f>
        <v>-100053.325</v>
      </c>
      <c r="K193" s="228">
        <v>-21050</v>
      </c>
      <c r="L193" s="228"/>
      <c r="M193" s="229">
        <v>0</v>
      </c>
      <c r="N193" s="229">
        <v>0</v>
      </c>
      <c r="O193" s="229">
        <v>0</v>
      </c>
      <c r="P193" s="229">
        <f>-28000-5000</f>
        <v>-33000</v>
      </c>
      <c r="Q193" s="229">
        <f>-250*'OPX_BN+1'!$E193</f>
        <v>-12650</v>
      </c>
      <c r="R193" s="274">
        <f>SUM('OPX_BN+1'!$K193:$Q193)</f>
        <v>-66700</v>
      </c>
      <c r="S193" s="337">
        <f>VLOOKUP(Tableau17[[#This Row],[CODE PI]],Tableau16[[CODE PI]:[(mesures compensatoires du PC ou autres)]],14,FALSE)*(1+$B$1)</f>
        <v>-1727739.9999999998</v>
      </c>
      <c r="T193" s="361">
        <v>-5000</v>
      </c>
      <c r="U193" s="363">
        <v>0</v>
      </c>
      <c r="V193" s="364">
        <v>-20000</v>
      </c>
      <c r="W193" s="364">
        <v>0</v>
      </c>
      <c r="X193" s="364">
        <v>0</v>
      </c>
      <c r="Y193" s="361">
        <f>-5085</f>
        <v>-5085</v>
      </c>
      <c r="Z193" s="264">
        <f>-250*Tableau17[[#This Row],[MW]]</f>
        <v>-12650</v>
      </c>
      <c r="AA193" s="423">
        <v>-8000</v>
      </c>
      <c r="AB193" s="273">
        <f>SUM('OPX_BN+1'!$T193:$AA193)</f>
        <v>-50735</v>
      </c>
      <c r="AC193" s="426"/>
      <c r="AD193" s="426">
        <f t="shared" si="6"/>
        <v>-5047.0999999999995</v>
      </c>
      <c r="AE193" s="417">
        <v>-30000</v>
      </c>
      <c r="AF193" s="417"/>
      <c r="AG193" s="417"/>
      <c r="AH193" s="417"/>
      <c r="AI193" s="417"/>
      <c r="AJ193" s="371">
        <f>SUM('OPX_BN+1'!$AC193:$AI193)</f>
        <v>-35047.1</v>
      </c>
      <c r="AK193" s="424"/>
      <c r="AL193" s="276">
        <f>SUM('OPX_BN+1'!$J193,'OPX_BN+1'!$AB193,'OPX_BN+1'!$S193,'OPX_BN+1'!$AJ193,'OPX_BN+1'!$R193,'OPX_BN+1'!$AK193)</f>
        <v>-1980275.4249999998</v>
      </c>
      <c r="AM193" s="427"/>
    </row>
    <row r="194" spans="1:40" ht="15">
      <c r="A194" s="325" t="s">
        <v>636</v>
      </c>
      <c r="B194" s="442" t="str">
        <f>VLOOKUP('OPX_BN+1'!$A194,Tableau106[],3,FALSE)</f>
        <v>A955</v>
      </c>
      <c r="C194" s="442" t="str">
        <f>VLOOKUP('OPX_BN+1'!$A194,Tableau106[],2,FALSE)</f>
        <v>FR01S08E</v>
      </c>
      <c r="D194" s="442" t="str">
        <f>VLOOKUP('OPX_BN+1'!$A194,Tableau106[],8,FALSE)</f>
        <v>SOLAIRE</v>
      </c>
      <c r="E194" s="443">
        <f>VLOOKUP('OPX_BN+1'!$A194,Tableau106[],4,FALSE)</f>
        <v>2.2000000000000002</v>
      </c>
      <c r="F194" s="442" t="str">
        <f>VLOOKUP('OPX_BN+1'!$A194,Tableau106[],5,FALSE)</f>
        <v>DROM</v>
      </c>
      <c r="G194" s="442" t="str">
        <f>VLOOKUP('OPX_BN+1'!$A194,Tableau106[],7,FALSE)</f>
        <v>GROUPE</v>
      </c>
      <c r="H194" s="442" t="str">
        <f>VLOOKUP('OPX_BN+1'!$A194,Tableau106[],6,FALSE)</f>
        <v>S</v>
      </c>
      <c r="I194" s="372" t="e">
        <f>VLOOKUP(Tableau17[[#This Row],[OPEX VARIABLES en €
BN 2024]],Tableau106[],9,FALSE)</f>
        <v>#N/A</v>
      </c>
      <c r="J194" s="360">
        <f>VLOOKUP(Tableau17[[#This Row],[CODE PI]],Tableau16[[CODE PI]:[(mesures compensatoires du PC ou autres)]],5,FALSE)*(1+$B$1)</f>
        <v>-16400</v>
      </c>
      <c r="K194" s="333"/>
      <c r="L194" s="333"/>
      <c r="M194" s="334"/>
      <c r="N194" s="334"/>
      <c r="O194" s="334"/>
      <c r="P194" s="334"/>
      <c r="Q194" s="229">
        <f>-250*'OPX_BN+1'!$E194</f>
        <v>-550</v>
      </c>
      <c r="R194" s="274">
        <f>SUM('OPX_BN+1'!$K194:$Q194)</f>
        <v>-550</v>
      </c>
      <c r="S194" s="444">
        <f>VLOOKUP(Tableau17[[#This Row],[CODE PI]],Tableau16[[CODE PI]:[(mesures compensatoires du PC ou autres)]],14,FALSE)*(1+$B$1)</f>
        <v>0</v>
      </c>
      <c r="T194" s="364"/>
      <c r="U194" s="363"/>
      <c r="V194" s="364"/>
      <c r="W194" s="364"/>
      <c r="X194" s="364"/>
      <c r="Y194" s="364"/>
      <c r="Z194" s="264">
        <f>-250*Tableau17[[#This Row],[MW]]</f>
        <v>-550</v>
      </c>
      <c r="AA194" s="445"/>
      <c r="AB194" s="446">
        <f>SUM('OPX_BN+1'!$T194:$AA194)</f>
        <v>-550</v>
      </c>
      <c r="AC194" s="431"/>
      <c r="AD194" s="431">
        <f t="shared" ref="AD194:AD198" si="7">-4924*1.025</f>
        <v>-5047.0999999999995</v>
      </c>
      <c r="AE194" s="432"/>
      <c r="AF194" s="432"/>
      <c r="AG194" s="432"/>
      <c r="AH194" s="432"/>
      <c r="AI194" s="432"/>
      <c r="AJ194" s="447">
        <f>SUM('OPX_BN+1'!$AC194:$AI194)</f>
        <v>-5047.0999999999995</v>
      </c>
      <c r="AK194" s="448"/>
      <c r="AL194" s="449">
        <f>SUM('OPX_BN+1'!$J194,'OPX_BN+1'!$AB194,'OPX_BN+1'!$S194,'OPX_BN+1'!$AJ194,'OPX_BN+1'!$R194,'OPX_BN+1'!$AK194)</f>
        <v>-22547.1</v>
      </c>
      <c r="AM194" s="450"/>
    </row>
    <row r="195" spans="1:40" ht="15">
      <c r="A195" s="325" t="s">
        <v>637</v>
      </c>
      <c r="B195" s="442" t="str">
        <f>VLOOKUP('OPX_BN+1'!$A195,Tableau106[],3,FALSE)</f>
        <v>A239</v>
      </c>
      <c r="C195" s="442" t="str">
        <f>VLOOKUP('OPX_BN+1'!$A195,Tableau106[],2,FALSE)</f>
        <v>FR87S01E</v>
      </c>
      <c r="D195" s="442" t="str">
        <f>VLOOKUP('OPX_BN+1'!$A195,Tableau106[],8,FALSE)</f>
        <v>SOLAIRE</v>
      </c>
      <c r="E195" s="443">
        <f>VLOOKUP('OPX_BN+1'!$A195,Tableau106[],4,FALSE)</f>
        <v>5</v>
      </c>
      <c r="F195" s="442" t="str">
        <f>VLOOKUP('OPX_BN+1'!$A195,Tableau106[],5,FALSE)</f>
        <v>MABE</v>
      </c>
      <c r="G195" s="442" t="str">
        <f>VLOOKUP('OPX_BN+1'!$A195,Tableau106[],7,FALSE)</f>
        <v>GROUPE</v>
      </c>
      <c r="H195" s="442" t="str">
        <f>VLOOKUP('OPX_BN+1'!$A195,Tableau106[],6,FALSE)</f>
        <v>N</v>
      </c>
      <c r="I195" s="372" t="str">
        <f>VLOOKUP(Tableau17[[#This Row],[OPEX VARIABLES en €
BN 2024]],Tableau106[],9,FALSE)</f>
        <v>ArB</v>
      </c>
      <c r="J195" s="360">
        <f>VLOOKUP(Tableau17[[#This Row],[CODE PI]],Tableau16[[CODE PI]:[(mesures compensatoires du PC ou autres)]],5,FALSE)*(1+$B$1)</f>
        <v>-41000</v>
      </c>
      <c r="K195" s="333"/>
      <c r="L195" s="333"/>
      <c r="M195" s="334"/>
      <c r="N195" s="334"/>
      <c r="O195" s="334"/>
      <c r="P195" s="334"/>
      <c r="Q195" s="229">
        <f>-250*'OPX_BN+1'!$E195</f>
        <v>-1250</v>
      </c>
      <c r="R195" s="274">
        <f>SUM('OPX_BN+1'!$K195:$Q195)</f>
        <v>-1250</v>
      </c>
      <c r="S195" s="444">
        <f>VLOOKUP(Tableau17[[#This Row],[CODE PI]],Tableau16[[CODE PI]:[(mesures compensatoires du PC ou autres)]],14,FALSE)*(1+$B$1)</f>
        <v>0</v>
      </c>
      <c r="T195" s="364"/>
      <c r="U195" s="363"/>
      <c r="V195" s="364"/>
      <c r="W195" s="364"/>
      <c r="X195" s="364"/>
      <c r="Y195" s="364"/>
      <c r="Z195" s="264">
        <f>-250*Tableau17[[#This Row],[MW]]</f>
        <v>-1250</v>
      </c>
      <c r="AA195" s="445"/>
      <c r="AB195" s="446">
        <f>SUM('OPX_BN+1'!$T195:$AA195)</f>
        <v>-1250</v>
      </c>
      <c r="AC195" s="431"/>
      <c r="AD195" s="431">
        <f t="shared" si="7"/>
        <v>-5047.0999999999995</v>
      </c>
      <c r="AE195" s="432"/>
      <c r="AF195" s="432"/>
      <c r="AG195" s="432"/>
      <c r="AH195" s="432"/>
      <c r="AI195" s="432"/>
      <c r="AJ195" s="447">
        <f>SUM('OPX_BN+1'!$AC195:$AI195)</f>
        <v>-5047.0999999999995</v>
      </c>
      <c r="AK195" s="448"/>
      <c r="AL195" s="449">
        <f>SUM('OPX_BN+1'!$J195,'OPX_BN+1'!$AB195,'OPX_BN+1'!$S195,'OPX_BN+1'!$AJ195,'OPX_BN+1'!$R195,'OPX_BN+1'!$AK195)</f>
        <v>-48547.1</v>
      </c>
      <c r="AM195" s="450"/>
    </row>
    <row r="196" spans="1:40" ht="15.75" thickBot="1">
      <c r="A196" s="325" t="s">
        <v>638</v>
      </c>
      <c r="B196" s="442" t="str">
        <f>VLOOKUP('OPX_BN+1'!$A196,Tableau106[],3,FALSE)</f>
        <v>A251</v>
      </c>
      <c r="C196" s="442" t="str">
        <f>VLOOKUP('OPX_BN+1'!$A196,Tableau106[],2,FALSE)</f>
        <v>FRD4S01E</v>
      </c>
      <c r="D196" s="442" t="str">
        <f>VLOOKUP('OPX_BN+1'!$A196,Tableau106[],8,FALSE)</f>
        <v>SOLAIRE DOM</v>
      </c>
      <c r="E196" s="443">
        <f>VLOOKUP('OPX_BN+1'!$A196,Tableau106[],4,FALSE)</f>
        <v>4.49</v>
      </c>
      <c r="F196" s="442" t="str">
        <f>VLOOKUP('OPX_BN+1'!$A196,Tableau106[],5,FALSE)</f>
        <v>RDGA</v>
      </c>
      <c r="G196" s="442" t="str">
        <f>VLOOKUP('OPX_BN+1'!$A196,Tableau106[],7,FALSE)</f>
        <v>GROUPE</v>
      </c>
      <c r="H196" s="442" t="str">
        <f>VLOOKUP('OPX_BN+1'!$A196,Tableau106[],6,FALSE)</f>
        <v>DOM</v>
      </c>
      <c r="I196" s="372" t="str">
        <f>VLOOKUP(Tableau17[[#This Row],[OPEX VARIABLES en €
BN 2024]],Tableau106[],9,FALSE)</f>
        <v>BeK</v>
      </c>
      <c r="J196" s="360">
        <f>VLOOKUP(Tableau17[[#This Row],[CODE PI]],Tableau16[[CODE PI]:[(mesures compensatoires du PC ou autres)]],5,FALSE)*(1+$B$1)</f>
        <v>0</v>
      </c>
      <c r="K196" s="333"/>
      <c r="L196" s="333"/>
      <c r="M196" s="334"/>
      <c r="N196" s="334"/>
      <c r="O196" s="334"/>
      <c r="P196" s="334"/>
      <c r="Q196" s="229">
        <f>-250*'OPX_BN+1'!$E196</f>
        <v>-1122.5</v>
      </c>
      <c r="R196" s="274">
        <f>SUM('OPX_BN+1'!$K196:$Q196)</f>
        <v>-1122.5</v>
      </c>
      <c r="S196" s="444">
        <f>VLOOKUP(Tableau17[[#This Row],[CODE PI]],Tableau16[[CODE PI]:[(mesures compensatoires du PC ou autres)]],14,FALSE)*(1+$B$1)</f>
        <v>0</v>
      </c>
      <c r="T196" s="364"/>
      <c r="U196" s="363"/>
      <c r="V196" s="364"/>
      <c r="W196" s="364"/>
      <c r="X196" s="364"/>
      <c r="Y196" s="364"/>
      <c r="Z196" s="264">
        <f>-250*Tableau17[[#This Row],[MW]]</f>
        <v>-1122.5</v>
      </c>
      <c r="AA196" s="445"/>
      <c r="AB196" s="446">
        <f>SUM('OPX_BN+1'!$T196:$AA196)</f>
        <v>-1122.5</v>
      </c>
      <c r="AC196" s="431"/>
      <c r="AD196" s="431">
        <f t="shared" si="7"/>
        <v>-5047.0999999999995</v>
      </c>
      <c r="AE196" s="432"/>
      <c r="AF196" s="432"/>
      <c r="AG196" s="432"/>
      <c r="AH196" s="432"/>
      <c r="AI196" s="432"/>
      <c r="AJ196" s="447">
        <f>SUM('OPX_BN+1'!$AC196:$AI196)</f>
        <v>-5047.0999999999995</v>
      </c>
      <c r="AK196" s="448"/>
      <c r="AL196" s="449">
        <f>SUM('OPX_BN+1'!$J196,'OPX_BN+1'!$AB196,'OPX_BN+1'!$S196,'OPX_BN+1'!$AJ196,'OPX_BN+1'!$R196,'OPX_BN+1'!$AK196)</f>
        <v>-7292.0999999999995</v>
      </c>
      <c r="AM196" s="450"/>
    </row>
    <row r="197" spans="1:40" ht="15.75" thickBot="1">
      <c r="A197" s="325" t="s">
        <v>642</v>
      </c>
      <c r="B197" s="442" t="str">
        <f>VLOOKUP('OPX_BN+1'!$A197,Tableau106[],3,FALSE)</f>
        <v>A235</v>
      </c>
      <c r="C197" s="442" t="str">
        <f>VLOOKUP('OPX_BN+1'!$A197,Tableau106[],2,FALSE)</f>
        <v>FR87S02E</v>
      </c>
      <c r="D197" s="442" t="str">
        <f>VLOOKUP('OPX_BN+1'!$A197,Tableau106[],8,FALSE)</f>
        <v>SOLAIRE</v>
      </c>
      <c r="E197" s="443">
        <f>VLOOKUP('OPX_BN+1'!$A197,Tableau106[],4,FALSE)</f>
        <v>3.6</v>
      </c>
      <c r="F197" s="442" t="str">
        <f>VLOOKUP('OPX_BN+1'!$A197,Tableau106[],5,FALSE)</f>
        <v>SOLE</v>
      </c>
      <c r="G197" s="442" t="str">
        <f>VLOOKUP('OPX_BN+1'!$A197,Tableau106[],7,FALSE)</f>
        <v>GROUPE</v>
      </c>
      <c r="H197" s="442" t="str">
        <f>VLOOKUP('OPX_BN+1'!$A197,Tableau106[],6,FALSE)</f>
        <v>N</v>
      </c>
      <c r="I197" s="372" t="str">
        <f>VLOOKUP(Tableau17[[#This Row],[OPEX VARIABLES en €
BN 2024]],Tableau106[],9,FALSE)</f>
        <v>ArB</v>
      </c>
      <c r="J197" s="360">
        <f>VLOOKUP(Tableau17[[#This Row],[CODE PI]],Tableau16[[CODE PI]:[(mesures compensatoires du PC ou autres)]],5,FALSE)*(1+$B$1)</f>
        <v>-32800</v>
      </c>
      <c r="K197" s="333"/>
      <c r="L197" s="333"/>
      <c r="M197" s="334"/>
      <c r="N197" s="334"/>
      <c r="O197" s="334"/>
      <c r="P197" s="334"/>
      <c r="Q197" s="229">
        <f>-250*'OPX_BN+1'!$E197</f>
        <v>-900</v>
      </c>
      <c r="R197" s="274">
        <f>SUM('OPX_BN+1'!$K197:$Q197)</f>
        <v>-900</v>
      </c>
      <c r="S197" s="444">
        <f>VLOOKUP(Tableau17[[#This Row],[CODE PI]],Tableau16[[CODE PI]:[(mesures compensatoires du PC ou autres)]],14,FALSE)*(1+$B$1)</f>
        <v>0</v>
      </c>
      <c r="T197" s="364"/>
      <c r="U197" s="363"/>
      <c r="V197" s="364"/>
      <c r="W197" s="364"/>
      <c r="X197" s="364"/>
      <c r="Y197" s="364"/>
      <c r="Z197" s="264">
        <f>-250*Tableau17[[#This Row],[MW]]</f>
        <v>-900</v>
      </c>
      <c r="AA197" s="445"/>
      <c r="AB197" s="446">
        <f>SUM('OPX_BN+1'!$T197:$AA197)</f>
        <v>-900</v>
      </c>
      <c r="AC197" s="431"/>
      <c r="AD197" s="431">
        <f t="shared" si="7"/>
        <v>-5047.0999999999995</v>
      </c>
      <c r="AE197" s="432"/>
      <c r="AF197" s="432"/>
      <c r="AG197" s="432"/>
      <c r="AH197" s="432"/>
      <c r="AI197" s="432"/>
      <c r="AJ197" s="447">
        <f>SUM('OPX_BN+1'!$AC197:$AI197)</f>
        <v>-5047.0999999999995</v>
      </c>
      <c r="AK197" s="448"/>
      <c r="AL197" s="449">
        <f>SUM('OPX_BN+1'!$J197,'OPX_BN+1'!$AB197,'OPX_BN+1'!$S197,'OPX_BN+1'!$AJ197,'OPX_BN+1'!$R197,'OPX_BN+1'!$AK197)</f>
        <v>-39647.1</v>
      </c>
      <c r="AM197" s="450"/>
    </row>
    <row r="198" spans="1:40" ht="15">
      <c r="A198" s="325" t="s">
        <v>643</v>
      </c>
      <c r="B198" s="442" t="str">
        <f>VLOOKUP('OPX_BN+1'!$A198,Tableau106[],3,FALSE)</f>
        <v>A310</v>
      </c>
      <c r="C198" s="442" t="str">
        <f>VLOOKUP('OPX_BN+1'!$A198,Tableau106[],2,FALSE)</f>
        <v>FR45S04E</v>
      </c>
      <c r="D198" s="442" t="str">
        <f>VLOOKUP('OPX_BN+1'!$A198,Tableau106[],8,FALSE)</f>
        <v>SOLAIRE</v>
      </c>
      <c r="E198" s="443">
        <f>VLOOKUP('OPX_BN+1'!$A198,Tableau106[],4,FALSE)</f>
        <v>5</v>
      </c>
      <c r="F198" s="442" t="str">
        <f>VLOOKUP('OPX_BN+1'!$A198,Tableau106[],5,FALSE)</f>
        <v>VACH</v>
      </c>
      <c r="G198" s="442" t="str">
        <f>VLOOKUP('OPX_BN+1'!$A198,Tableau106[],7,FALSE)</f>
        <v>GROUPE</v>
      </c>
      <c r="H198" s="442" t="str">
        <f>VLOOKUP('OPX_BN+1'!$A198,Tableau106[],6,FALSE)</f>
        <v>N</v>
      </c>
      <c r="I198" s="372" t="str">
        <f>VLOOKUP(Tableau17[[#This Row],[OPEX VARIABLES en €
BN 2024]],Tableau106[],9,FALSE)</f>
        <v>LoG</v>
      </c>
      <c r="J198" s="360">
        <f>VLOOKUP(Tableau17[[#This Row],[CODE PI]],Tableau16[[CODE PI]:[(mesures compensatoires du PC ou autres)]],5,FALSE)*(1+$B$1)</f>
        <v>-7174.9999999999991</v>
      </c>
      <c r="K198" s="333"/>
      <c r="L198" s="333"/>
      <c r="M198" s="334"/>
      <c r="N198" s="334"/>
      <c r="O198" s="334"/>
      <c r="P198" s="334"/>
      <c r="Q198" s="229">
        <f>-250*'OPX_BN+1'!$E198</f>
        <v>-1250</v>
      </c>
      <c r="R198" s="274">
        <f>SUM('OPX_BN+1'!$K198:$Q198)</f>
        <v>-1250</v>
      </c>
      <c r="S198" s="444">
        <f>VLOOKUP(Tableau17[[#This Row],[CODE PI]],Tableau16[[CODE PI]:[(mesures compensatoires du PC ou autres)]],14,FALSE)*(1+$B$1)</f>
        <v>0</v>
      </c>
      <c r="T198" s="364"/>
      <c r="U198" s="363"/>
      <c r="V198" s="364"/>
      <c r="W198" s="364"/>
      <c r="X198" s="364"/>
      <c r="Y198" s="364"/>
      <c r="Z198" s="264">
        <f>-250*Tableau17[[#This Row],[MW]]</f>
        <v>-1250</v>
      </c>
      <c r="AA198" s="445"/>
      <c r="AB198" s="446">
        <f>SUM('OPX_BN+1'!$T198:$AA198)</f>
        <v>-1250</v>
      </c>
      <c r="AC198" s="431"/>
      <c r="AD198" s="431">
        <f t="shared" si="7"/>
        <v>-5047.0999999999995</v>
      </c>
      <c r="AE198" s="432"/>
      <c r="AF198" s="432"/>
      <c r="AG198" s="432"/>
      <c r="AH198" s="432"/>
      <c r="AI198" s="432"/>
      <c r="AJ198" s="447">
        <f>SUM('OPX_BN+1'!$AC198:$AI198)</f>
        <v>-5047.0999999999995</v>
      </c>
      <c r="AK198" s="448"/>
      <c r="AL198" s="449">
        <f>SUM('OPX_BN+1'!$J198,'OPX_BN+1'!$AB198,'OPX_BN+1'!$S198,'OPX_BN+1'!$AJ198,'OPX_BN+1'!$R198,'OPX_BN+1'!$AK198)</f>
        <v>-14722.099999999999</v>
      </c>
      <c r="AM198" s="450"/>
    </row>
    <row r="199" spans="1:40" ht="15.75" thickBot="1">
      <c r="A199" s="325" t="s">
        <v>1484</v>
      </c>
      <c r="B199" s="330" t="str">
        <f>VLOOKUP('OPX_BN+1'!$A199,Tableau106[],3,FALSE)</f>
        <v>A282</v>
      </c>
      <c r="C199" s="330" t="str">
        <f>VLOOKUP('OPX_BN+1'!$A199,Tableau106[],2,FALSE)</f>
        <v>FR66K02E</v>
      </c>
      <c r="D199" s="330" t="str">
        <f>VLOOKUP('OPX_BN+1'!$A199,Tableau106[],8,FALSE)</f>
        <v>BATTERIE</v>
      </c>
      <c r="E199" s="331">
        <f>VLOOKUP('OPX_BN+1'!$A199,Tableau106[],4,FALSE)</f>
        <v>20.6</v>
      </c>
      <c r="F199" s="330" t="str">
        <f>VLOOKUP('OPX_BN+1'!$A199,Tableau106[],5,FALSE)</f>
        <v>SECB</v>
      </c>
      <c r="G199" s="330" t="str">
        <f>VLOOKUP('OPX_BN+1'!$A199,Tableau106[],7,FALSE)</f>
        <v>GROUPE</v>
      </c>
      <c r="H199" s="330" t="str">
        <f>VLOOKUP('OPX_BN+1'!$A199,Tableau106[],6,FALSE)</f>
        <v>S</v>
      </c>
      <c r="I199" s="481" t="str">
        <f>VLOOKUP(Tableau17[[#This Row],[OPEX VARIABLES en €
BN 2024]],Tableau106[],9,FALSE)</f>
        <v>PiM</v>
      </c>
      <c r="J199" s="360">
        <v>-116000</v>
      </c>
      <c r="K199" s="228"/>
      <c r="L199" s="228"/>
      <c r="M199" s="229"/>
      <c r="N199" s="229"/>
      <c r="O199" s="229"/>
      <c r="P199" s="229"/>
      <c r="Q199" s="472"/>
      <c r="R199" s="274">
        <f>SUM('OPX_BN+1'!$K199:$Q199)</f>
        <v>0</v>
      </c>
      <c r="S199" s="388">
        <v>-72000</v>
      </c>
      <c r="T199" s="438"/>
      <c r="U199" s="389"/>
      <c r="V199" s="438">
        <v>-2000</v>
      </c>
      <c r="W199" s="364">
        <v>-1000</v>
      </c>
      <c r="X199" s="438"/>
      <c r="Y199" s="438"/>
      <c r="Z199" s="340">
        <v>-49000</v>
      </c>
      <c r="AA199" s="434"/>
      <c r="AB199" s="391">
        <f>SUM('OPX_BN+1'!$T199:$AA199)</f>
        <v>-52000</v>
      </c>
      <c r="AC199" s="439"/>
      <c r="AD199" s="426"/>
      <c r="AE199" s="417"/>
      <c r="AF199" s="417"/>
      <c r="AG199" s="417"/>
      <c r="AH199" s="417"/>
      <c r="AI199" s="417"/>
      <c r="AJ199" s="371">
        <f>SUM('OPX_BN+1'!$AC199:$AI199)</f>
        <v>0</v>
      </c>
      <c r="AK199" s="429"/>
      <c r="AL199" s="276">
        <f>SUM('OPX_BN+1'!$J199,'OPX_BN+1'!$AB199,'OPX_BN+1'!$S199,'OPX_BN+1'!$AJ199,'OPX_BN+1'!$R199,'OPX_BN+1'!$AK199)</f>
        <v>-240000</v>
      </c>
      <c r="AM199" s="430"/>
    </row>
    <row r="200" spans="1:40" ht="35.25" customHeight="1" thickTop="1">
      <c r="A200" s="255">
        <f>SUBTOTAL(103,Tableau17[OPEX VARIABLES en €
BN 2024])</f>
        <v>194</v>
      </c>
      <c r="B200" s="235"/>
      <c r="C200" s="236"/>
      <c r="D200" s="236"/>
      <c r="E200" s="235"/>
      <c r="F200" s="236"/>
      <c r="G200" s="236"/>
      <c r="H200" s="235"/>
      <c r="I200" s="246"/>
      <c r="J200" s="248">
        <f>SUBTOTAL(109,Tableau17[Contrat Groupe EDF Re : (WTG + PDL)])</f>
        <v>-27980327.135180753</v>
      </c>
      <c r="K200" s="419">
        <f>SUBTOTAL(109,Tableau17[Tâches réalisées par EDF RS en sus du contrat  + DI])</f>
        <v>-6714855</v>
      </c>
      <c r="L200" s="342"/>
      <c r="M200" s="238"/>
      <c r="N200" s="238"/>
      <c r="O200" s="238"/>
      <c r="P200" s="238"/>
      <c r="Q200" s="307">
        <f>SUM(Tableau17[Prestations diverses  &amp; accompagnements interne (1,6 k€ par jour d''acc)])</f>
        <v>-621683</v>
      </c>
      <c r="R200" s="308">
        <f>SUBTOTAL(109,Tableau17[TOTAL CORRECTIF 0&amp;M GROUPE])</f>
        <v>-8252846.5</v>
      </c>
      <c r="S200" s="237">
        <f>SUBTOTAL(109,Tableau17[Contrats (WTG + PDL) hors EDF RS])</f>
        <v>-28658324.783860002</v>
      </c>
      <c r="T200" s="239"/>
      <c r="U200" s="239"/>
      <c r="V200" s="239"/>
      <c r="W200" s="239"/>
      <c r="X200" s="239"/>
      <c r="Y200" s="239"/>
      <c r="Z200" s="239"/>
      <c r="AA200" s="239"/>
      <c r="AB200" s="309">
        <f>SUBTOTAL(109,Tableau17[TOTAL CORRECTIF O&amp;M HORS GROUPE])</f>
        <v>-3474227.7880591783</v>
      </c>
      <c r="AC200" s="240"/>
      <c r="AD200" s="240">
        <f>SUBTOTAL(109,AD6:AD199)</f>
        <v>-288712.60000000009</v>
      </c>
      <c r="AE200" s="240"/>
      <c r="AF200" s="240"/>
      <c r="AG200" s="240"/>
      <c r="AH200" s="240"/>
      <c r="AI200" s="240"/>
      <c r="AJ200" s="313">
        <f>SUBTOTAL(109,Tableau17[TOTAL ENVIRO])</f>
        <v>-3692128.7500000033</v>
      </c>
      <c r="AK200" s="241"/>
      <c r="AL200" s="315">
        <f>SUBTOTAL(109,Tableau17[GRAND TOTAL])</f>
        <v>-72060854.957099929</v>
      </c>
      <c r="AM200" s="357">
        <f>SUBTOTAL(109,Tableau17[CAPEX])</f>
        <v>-522680</v>
      </c>
      <c r="AN200" s="6">
        <f>SUBTOTAL(103,Tableau17[commentaires])</f>
        <v>2</v>
      </c>
    </row>
    <row r="201" spans="1:40" ht="15.75">
      <c r="Q201" s="6"/>
      <c r="AN201" s="121"/>
    </row>
    <row r="202" spans="1:40">
      <c r="Q202" s="6"/>
    </row>
    <row r="203" spans="1:40">
      <c r="Q203" s="6"/>
    </row>
    <row r="204" spans="1:40">
      <c r="Q204" s="6"/>
    </row>
    <row r="205" spans="1:40">
      <c r="Q205" s="6"/>
    </row>
    <row r="206" spans="1:40">
      <c r="Q206" s="6"/>
    </row>
    <row r="207" spans="1:40">
      <c r="Q207" s="6"/>
    </row>
    <row r="208" spans="1:40">
      <c r="Q208" s="6"/>
    </row>
    <row r="209" spans="17:17">
      <c r="Q209" s="6"/>
    </row>
    <row r="210" spans="17:17">
      <c r="Q210" s="6"/>
    </row>
    <row r="211" spans="17:17">
      <c r="Q211" s="6"/>
    </row>
    <row r="212" spans="17:17">
      <c r="Q212" s="6"/>
    </row>
    <row r="213" spans="17:17">
      <c r="Q213" s="6"/>
    </row>
    <row r="214" spans="17:17">
      <c r="Q214" s="6"/>
    </row>
    <row r="215" spans="17:17">
      <c r="Q215" s="6"/>
    </row>
    <row r="216" spans="17:17">
      <c r="Q216" s="6"/>
    </row>
    <row r="217" spans="17:17">
      <c r="Q217" s="6"/>
    </row>
    <row r="218" spans="17:17">
      <c r="Q218" s="6"/>
    </row>
    <row r="219" spans="17:17">
      <c r="Q219" s="6"/>
    </row>
    <row r="220" spans="17:17">
      <c r="Q220" s="6"/>
    </row>
    <row r="221" spans="17:17">
      <c r="Q221" s="6"/>
    </row>
    <row r="222" spans="17:17">
      <c r="Q222" s="6"/>
    </row>
    <row r="223" spans="17:17">
      <c r="Q223" s="6"/>
    </row>
    <row r="224" spans="17:17">
      <c r="Q224" s="6"/>
    </row>
    <row r="225" spans="17:17">
      <c r="Q225" s="6"/>
    </row>
    <row r="226" spans="17:17">
      <c r="Q226" s="6"/>
    </row>
    <row r="227" spans="17:17">
      <c r="Q227" s="6"/>
    </row>
    <row r="228" spans="17:17">
      <c r="Q228" s="6"/>
    </row>
    <row r="229" spans="17:17">
      <c r="Q229" s="6"/>
    </row>
    <row r="230" spans="17:17">
      <c r="Q230" s="6"/>
    </row>
    <row r="231" spans="17:17">
      <c r="Q231" s="6"/>
    </row>
    <row r="232" spans="17:17">
      <c r="Q232" s="6"/>
    </row>
    <row r="233" spans="17:17">
      <c r="Q233" s="6"/>
    </row>
    <row r="234" spans="17:17">
      <c r="Q234" s="6"/>
    </row>
    <row r="235" spans="17:17">
      <c r="Q235" s="6"/>
    </row>
    <row r="236" spans="17:17">
      <c r="Q236" s="6"/>
    </row>
    <row r="237" spans="17:17">
      <c r="Q237" s="6"/>
    </row>
    <row r="238" spans="17:17">
      <c r="Q238" s="6"/>
    </row>
    <row r="239" spans="17:17">
      <c r="Q239" s="6"/>
    </row>
    <row r="240" spans="17:17">
      <c r="Q240" s="6"/>
    </row>
    <row r="241" spans="17:17">
      <c r="Q241" s="6"/>
    </row>
    <row r="242" spans="17:17">
      <c r="Q242" s="6"/>
    </row>
    <row r="243" spans="17:17">
      <c r="Q243" s="6"/>
    </row>
    <row r="244" spans="17:17">
      <c r="Q244" s="6"/>
    </row>
    <row r="245" spans="17:17">
      <c r="Q245" s="6"/>
    </row>
    <row r="246" spans="17:17">
      <c r="Q246" s="6"/>
    </row>
    <row r="247" spans="17:17">
      <c r="Q247" s="6"/>
    </row>
    <row r="248" spans="17:17">
      <c r="Q248" s="6"/>
    </row>
    <row r="249" spans="17:17">
      <c r="Q249" s="6"/>
    </row>
    <row r="250" spans="17:17">
      <c r="Q250" s="6"/>
    </row>
    <row r="251" spans="17:17">
      <c r="Q251" s="6"/>
    </row>
    <row r="252" spans="17:17">
      <c r="Q252" s="6"/>
    </row>
    <row r="253" spans="17:17">
      <c r="Q253" s="6"/>
    </row>
    <row r="254" spans="17:17">
      <c r="Q254" s="6"/>
    </row>
    <row r="255" spans="17:17">
      <c r="Q255" s="6"/>
    </row>
    <row r="256" spans="17:17">
      <c r="Q256" s="6"/>
    </row>
    <row r="257" spans="17:17">
      <c r="Q257" s="6"/>
    </row>
    <row r="258" spans="17:17">
      <c r="Q258" s="6"/>
    </row>
    <row r="259" spans="17:17">
      <c r="Q259" s="6"/>
    </row>
    <row r="260" spans="17:17">
      <c r="Q260" s="6"/>
    </row>
    <row r="261" spans="17:17">
      <c r="Q261" s="6"/>
    </row>
    <row r="262" spans="17:17">
      <c r="Q262" s="6"/>
    </row>
    <row r="263" spans="17:17">
      <c r="Q263" s="6"/>
    </row>
    <row r="264" spans="17:17">
      <c r="Q264" s="6"/>
    </row>
    <row r="265" spans="17:17">
      <c r="Q265" s="6"/>
    </row>
    <row r="266" spans="17:17">
      <c r="Q266" s="6"/>
    </row>
    <row r="267" spans="17:17">
      <c r="Q267" s="6"/>
    </row>
    <row r="268" spans="17:17">
      <c r="Q268" s="6"/>
    </row>
    <row r="269" spans="17:17">
      <c r="Q269" s="6"/>
    </row>
    <row r="270" spans="17:17">
      <c r="Q270" s="6"/>
    </row>
    <row r="271" spans="17:17">
      <c r="Q271" s="6"/>
    </row>
    <row r="272" spans="17:17">
      <c r="Q272" s="6"/>
    </row>
    <row r="273" spans="17:17">
      <c r="Q273" s="6"/>
    </row>
    <row r="274" spans="17:17">
      <c r="Q274" s="6"/>
    </row>
    <row r="275" spans="17:17">
      <c r="Q275" s="6"/>
    </row>
    <row r="276" spans="17:17">
      <c r="Q276" s="6"/>
    </row>
    <row r="277" spans="17:17">
      <c r="Q277" s="6"/>
    </row>
    <row r="278" spans="17:17">
      <c r="Q278" s="6"/>
    </row>
    <row r="279" spans="17:17">
      <c r="Q279" s="6"/>
    </row>
    <row r="280" spans="17:17">
      <c r="Q280" s="6"/>
    </row>
    <row r="281" spans="17:17">
      <c r="Q281" s="6"/>
    </row>
    <row r="282" spans="17:17">
      <c r="Q282" s="6"/>
    </row>
    <row r="283" spans="17:17">
      <c r="Q283" s="6"/>
    </row>
    <row r="284" spans="17:17">
      <c r="Q284" s="6"/>
    </row>
    <row r="285" spans="17:17">
      <c r="Q285" s="6"/>
    </row>
    <row r="286" spans="17:17">
      <c r="Q286" s="6"/>
    </row>
    <row r="287" spans="17:17">
      <c r="Q287" s="6"/>
    </row>
    <row r="288" spans="17:17">
      <c r="Q288" s="6"/>
    </row>
    <row r="289" spans="17:17">
      <c r="Q289" s="6"/>
    </row>
    <row r="290" spans="17:17">
      <c r="Q290" s="6"/>
    </row>
    <row r="291" spans="17:17">
      <c r="Q291" s="6"/>
    </row>
    <row r="292" spans="17:17">
      <c r="Q292" s="6"/>
    </row>
    <row r="293" spans="17:17">
      <c r="Q293" s="6"/>
    </row>
    <row r="294" spans="17:17">
      <c r="Q294" s="6"/>
    </row>
    <row r="295" spans="17:17">
      <c r="Q295" s="6"/>
    </row>
    <row r="296" spans="17:17">
      <c r="Q296" s="6"/>
    </row>
    <row r="297" spans="17:17">
      <c r="Q297" s="6"/>
    </row>
    <row r="298" spans="17:17">
      <c r="Q298" s="6"/>
    </row>
    <row r="299" spans="17:17">
      <c r="Q299" s="6"/>
    </row>
    <row r="300" spans="17:17">
      <c r="Q300" s="6"/>
    </row>
    <row r="301" spans="17:17">
      <c r="Q301" s="6"/>
    </row>
    <row r="302" spans="17:17">
      <c r="Q302" s="6"/>
    </row>
    <row r="303" spans="17:17">
      <c r="Q303" s="6"/>
    </row>
    <row r="304" spans="17:17">
      <c r="Q304" s="6"/>
    </row>
    <row r="305" spans="17:17">
      <c r="Q305" s="6"/>
    </row>
    <row r="306" spans="17:17">
      <c r="Q306" s="6"/>
    </row>
    <row r="307" spans="17:17">
      <c r="Q307" s="6"/>
    </row>
    <row r="308" spans="17:17">
      <c r="Q308" s="6"/>
    </row>
    <row r="309" spans="17:17">
      <c r="Q309" s="6"/>
    </row>
    <row r="310" spans="17:17">
      <c r="Q310" s="6"/>
    </row>
    <row r="311" spans="17:17">
      <c r="Q311" s="6"/>
    </row>
    <row r="312" spans="17:17">
      <c r="Q312" s="6"/>
    </row>
    <row r="313" spans="17:17">
      <c r="Q313" s="6"/>
    </row>
    <row r="314" spans="17:17">
      <c r="Q314" s="6"/>
    </row>
    <row r="315" spans="17:17">
      <c r="Q315" s="6"/>
    </row>
    <row r="316" spans="17:17">
      <c r="Q316" s="6"/>
    </row>
  </sheetData>
  <mergeCells count="4">
    <mergeCell ref="J1:R1"/>
    <mergeCell ref="S1:AB1"/>
    <mergeCell ref="AE1:AJ1"/>
    <mergeCell ref="AC1:AD1"/>
  </mergeCells>
  <phoneticPr fontId="7" type="noConversion"/>
  <conditionalFormatting sqref="J74:J80 J132:J153 S135:Y138 R7:R14 AL9:AM14 J11:J40 AI15:AM15 U98:X98 S140:Y140 S139 U139 S141 U141:V141 Y139 X141:Y141 AB139:AC139 AB141:AC141 AL16:AM198 J112:J129 AE15:AG15 AE115:AK115 AE117:AK117 AE119:AK119 S115:Y125 AE122:AK122 AE139:AK139 AE141:AK141 AE147:AK147 S142:Y153 AE153:AK153 L11:P18 L112:P112 L133:P136 L74:P76 AA15:AC15 AA153:AC153 AA147:AC147 AA148:AK152 AA122:AC122 AA123:AK125 AA119:AC119 AA120:AK121 AA117:AC117 AA118:AK118 AA115:AC115 AA116:AK116 AA142:AK146 AA140:AK140 AA135:AK138 R16:R154 R15:Y15 R177 L20:P24 L19:O19 L26:P33 L25:O25 L35:P39 L34:O34 L40:O40 L79:P80 L77:O78 L114:P125 L113:O113 L127:P129 L126:O126 L138:P153 L137:O137 Q196:Q198">
    <cfRule type="cellIs" dxfId="193" priority="109" operator="greaterThan">
      <formula>0</formula>
    </cfRule>
  </conditionalFormatting>
  <conditionalFormatting sqref="S7:Y9 S10 U10 AD10:AK10 S11:U13 AJ23:AK23 S34:AK36 J41 S41:U41 Y41:AK41 AI55:AK55 S56:AK56 S57:AA57 AC57:AK57 S60:V60 X60:AK60 S64 U64 W64:AK64 S69 Y69 AB69:AK69 N70:P73 S77:V77 X77:Y77 AC81:AK81 S92:S93 U92:U93 W92:Y93 S94:Y97 S98 Y98 AB98:AK98 AI107:AK107 AF108:AK108 J81:J111 S111:U111 W111:Y111 AD111:AK111 AF112:AK112 S112:Y114 AF114:AH114 AJ114:AK114 S126:U126 W126:Y126 J130:J131 S132:U132 W132:Y132 S133:Y133 S134 AB134:AK134 S154:U154 S156:Y158 S159 Y159 AB159:AK161 L160:N160 P160 J156:J161 W160:Y161 L161:P161 J177 S193:S198 AB193:AK198 S14:Y14 S32:S33 U33:Y33 S40:AK40 S37 S127 AB37:AC37 AB127:AK127 U127:Y127 U37:Y37 AE16:AK16 AD15:AD16 S29:AK31 AB32:AK33 S38:AC39 AD37:AK39 S42:AK53 AE54:AK54 AE55:AG55 S54:AD55 S58:AK59 S61:AK63 S65:AK68 S70:AK76 S99:Y110 AD115 AD117 AD119 AD122 S128:Y131 AD139 AD141 AD147 AD153 AE156:AK158 AD155:AD158 AD164 AD166:AD168 AD170:AD172 AD175:AD176 AD178 AD182:AD184 AD187 J6:J10 J43:J73 L41:N41 L6:P10 L177:O177 L130:O130 L110:P111 L109:O109 L92:O94 L82:P91 L81:O81 L70:L73 L64:N64 L57:O57 L49:O49 W10:Y13 AA10:AB10 AA9:AK9 AA7:AM8 S16:Y28 AA24:AK28 AA16:AC16 AA11:AK14 AA23:AH23 AA17:AK22 Z7:Z28 S78:Y91 AA109:AK110 AA107:AG107 AA99:AK106 AA156:AC158 AA128:AK133 AA126:AK126 AA114:AD114 AA113:AK113 AA112:AD112 AA111:AB111 AA108:AD108 AA82:AK97 AA81 AA77:AK80 Z77:Z198 P19 P25 P34 L42:O42 P40:P42 L43:P48 L50:P56 L58:P63 P64 L65:P69 P77:P78 P92:P93 L95:P108 P113 P126 L131:P132 P137 P154 P173:P174 P179:P180 P188 R6:AM6 Q68:Q70 Q111 Q142:Q143 L156:P159">
    <cfRule type="cellIs" dxfId="192" priority="123" operator="greaterThan">
      <formula>0</formula>
    </cfRule>
  </conditionalFormatting>
  <conditionalFormatting sqref="M70:M73">
    <cfRule type="cellIs" dxfId="191" priority="95" operator="greaterThan">
      <formula>0</formula>
    </cfRule>
  </conditionalFormatting>
  <conditionalFormatting sqref="O160">
    <cfRule type="cellIs" dxfId="190" priority="115" operator="greaterThan">
      <formula>0</formula>
    </cfRule>
  </conditionalFormatting>
  <conditionalFormatting sqref="P49">
    <cfRule type="cellIs" dxfId="189" priority="92" operator="greaterThan">
      <formula>0</formula>
    </cfRule>
  </conditionalFormatting>
  <conditionalFormatting sqref="P57">
    <cfRule type="cellIs" dxfId="188" priority="71" operator="greaterThan">
      <formula>0</formula>
    </cfRule>
  </conditionalFormatting>
  <conditionalFormatting sqref="P81">
    <cfRule type="cellIs" dxfId="187" priority="70" operator="greaterThan">
      <formula>0</formula>
    </cfRule>
  </conditionalFormatting>
  <conditionalFormatting sqref="P94">
    <cfRule type="cellIs" dxfId="186" priority="91" operator="greaterThan">
      <formula>0</formula>
    </cfRule>
  </conditionalFormatting>
  <conditionalFormatting sqref="P109">
    <cfRule type="cellIs" dxfId="185" priority="90" operator="greaterThan">
      <formula>0</formula>
    </cfRule>
  </conditionalFormatting>
  <conditionalFormatting sqref="P130">
    <cfRule type="cellIs" dxfId="184" priority="89" operator="greaterThan">
      <formula>0</formula>
    </cfRule>
  </conditionalFormatting>
  <conditionalFormatting sqref="P177">
    <cfRule type="cellIs" dxfId="183" priority="93" operator="greaterThan">
      <formula>0</formula>
    </cfRule>
  </conditionalFormatting>
  <conditionalFormatting sqref="P190">
    <cfRule type="cellIs" dxfId="182" priority="69" operator="greaterThan">
      <formula>0</formula>
    </cfRule>
  </conditionalFormatting>
  <conditionalFormatting sqref="J42 J154:J155 R155:U155 R156:R176 U160:U161 S162:Y163 J162:J176 AI176:AK176 AH179:AK179 AH190:AK190 J178:J198 S165:Y166 S164 U164:V164 S182:S183 S188:Y192 S187 U187:V187 X164:Y164 S167:V167 X167 U182:V183 X182:Y183 AB187:AC187 AB182:AC183 AB165:AK165 X187:Y187 W154:Y155 AE155:AK155 AB164:AC164 AE164:AK164 AB166:AC167 AE166:AK168 AE170:AK172 AE175:AK175 AE176:AG176 S168:Y181 AE178:AK178 AE182:AK184 AE187:AK187 S184:Y186 AD186:AK186 L190:O190 L178:P178 L154:O155 AA186:AB186 AA184:AC184 AA178:AC178 AA175:AC176 AA170:AC172 AA173:AK174 AA168:AC168 AA155:AC155 AA169:AK169 AA188:AK189 AA185:AK185 AA191:AK192 AA190:AD190 AA180:AK181 AA179:AD179 AA177:AK177 AA162:AK163 AA154:AK154 R178:R198 L175:P176 L173:O174 L179:O180 L189:P189 L188:O188 L162:P172 L181:P187 L191:P198">
    <cfRule type="cellIs" dxfId="181" priority="110" operator="greaterThan">
      <formula>0</formula>
    </cfRule>
  </conditionalFormatting>
  <conditionalFormatting sqref="T10">
    <cfRule type="cellIs" dxfId="180" priority="122" operator="greaterThan">
      <formula>0</formula>
    </cfRule>
  </conditionalFormatting>
  <conditionalFormatting sqref="T160:T161">
    <cfRule type="cellIs" dxfId="179" priority="77" operator="greaterThan">
      <formula>0</formula>
    </cfRule>
  </conditionalFormatting>
  <conditionalFormatting sqref="T69:X69 Z69:AA69">
    <cfRule type="cellIs" dxfId="178" priority="102" operator="greaterThan">
      <formula>0</formula>
    </cfRule>
  </conditionalFormatting>
  <conditionalFormatting sqref="AA98">
    <cfRule type="cellIs" dxfId="177" priority="101" operator="greaterThan">
      <formula>0</formula>
    </cfRule>
  </conditionalFormatting>
  <conditionalFormatting sqref="T159:X159 AA159">
    <cfRule type="cellIs" dxfId="176" priority="100" operator="greaterThan">
      <formula>0</formula>
    </cfRule>
  </conditionalFormatting>
  <conditionalFormatting sqref="T32:AA32">
    <cfRule type="cellIs" dxfId="175" priority="98" operator="greaterThan">
      <formula>0</formula>
    </cfRule>
  </conditionalFormatting>
  <conditionalFormatting sqref="T134:Y134 AA134">
    <cfRule type="cellIs" dxfId="174" priority="97" operator="greaterThan">
      <formula>0</formula>
    </cfRule>
  </conditionalFormatting>
  <conditionalFormatting sqref="T193:Y198 AA193:AA198">
    <cfRule type="cellIs" dxfId="173" priority="99" operator="greaterThan">
      <formula>0</formula>
    </cfRule>
  </conditionalFormatting>
  <conditionalFormatting sqref="V10:V13">
    <cfRule type="cellIs" dxfId="172" priority="121" operator="greaterThan">
      <formula>0</formula>
    </cfRule>
  </conditionalFormatting>
  <conditionalFormatting sqref="V111">
    <cfRule type="cellIs" dxfId="171" priority="120" operator="greaterThan">
      <formula>0</formula>
    </cfRule>
  </conditionalFormatting>
  <conditionalFormatting sqref="V126">
    <cfRule type="cellIs" dxfId="170" priority="106" operator="greaterThan">
      <formula>0</formula>
    </cfRule>
  </conditionalFormatting>
  <conditionalFormatting sqref="V132">
    <cfRule type="cellIs" dxfId="169" priority="105" operator="greaterThan">
      <formula>0</formula>
    </cfRule>
  </conditionalFormatting>
  <conditionalFormatting sqref="V160:V161">
    <cfRule type="cellIs" dxfId="168" priority="118" operator="greaterThan">
      <formula>0</formula>
    </cfRule>
  </conditionalFormatting>
  <conditionalFormatting sqref="W60">
    <cfRule type="cellIs" dxfId="167" priority="108" operator="greaterThan">
      <formula>0</formula>
    </cfRule>
  </conditionalFormatting>
  <conditionalFormatting sqref="W77">
    <cfRule type="cellIs" dxfId="166" priority="107" operator="greaterThan">
      <formula>0</formula>
    </cfRule>
  </conditionalFormatting>
  <conditionalFormatting sqref="AA160:AA161">
    <cfRule type="cellIs" dxfId="165" priority="67" operator="greaterThan">
      <formula>0</formula>
    </cfRule>
  </conditionalFormatting>
  <conditionalFormatting sqref="AB57 AB81">
    <cfRule type="cellIs" dxfId="164" priority="68" operator="greaterThan">
      <formula>0</formula>
    </cfRule>
  </conditionalFormatting>
  <conditionalFormatting sqref="AC10">
    <cfRule type="cellIs" dxfId="163" priority="112" operator="greaterThan">
      <formula>0</formula>
    </cfRule>
  </conditionalFormatting>
  <conditionalFormatting sqref="AC111">
    <cfRule type="cellIs" dxfId="162" priority="111" operator="greaterThan">
      <formula>0</formula>
    </cfRule>
  </conditionalFormatting>
  <conditionalFormatting sqref="AE108">
    <cfRule type="cellIs" dxfId="161" priority="76" operator="greaterThan">
      <formula>0</formula>
    </cfRule>
  </conditionalFormatting>
  <conditionalFormatting sqref="AE112">
    <cfRule type="cellIs" dxfId="160" priority="74" operator="greaterThan">
      <formula>0</formula>
    </cfRule>
  </conditionalFormatting>
  <conditionalFormatting sqref="AE114">
    <cfRule type="cellIs" dxfId="159" priority="65" operator="greaterThan">
      <formula>0</formula>
    </cfRule>
  </conditionalFormatting>
  <conditionalFormatting sqref="AE179:AG179">
    <cfRule type="cellIs" dxfId="158" priority="75" operator="greaterThan">
      <formula>0</formula>
    </cfRule>
  </conditionalFormatting>
  <conditionalFormatting sqref="AE190:AG190">
    <cfRule type="cellIs" dxfId="157" priority="63" operator="greaterThan">
      <formula>0</formula>
    </cfRule>
  </conditionalFormatting>
  <conditionalFormatting sqref="AH15">
    <cfRule type="cellIs" dxfId="156" priority="96" operator="greaterThan">
      <formula>0</formula>
    </cfRule>
  </conditionalFormatting>
  <conditionalFormatting sqref="AH55">
    <cfRule type="cellIs" dxfId="155" priority="94" operator="greaterThan">
      <formula>0</formula>
    </cfRule>
  </conditionalFormatting>
  <conditionalFormatting sqref="AH107">
    <cfRule type="cellIs" dxfId="154" priority="78" operator="greaterThan">
      <formula>0</formula>
    </cfRule>
  </conditionalFormatting>
  <conditionalFormatting sqref="AH176">
    <cfRule type="cellIs" dxfId="153" priority="64" operator="greaterThan">
      <formula>0</formula>
    </cfRule>
  </conditionalFormatting>
  <conditionalFormatting sqref="AI23">
    <cfRule type="cellIs" dxfId="152" priority="72" operator="greaterThan">
      <formula>0</formula>
    </cfRule>
  </conditionalFormatting>
  <conditionalFormatting sqref="AI114">
    <cfRule type="cellIs" dxfId="151" priority="66" operator="greaterThan">
      <formula>0</formula>
    </cfRule>
  </conditionalFormatting>
  <conditionalFormatting sqref="T33">
    <cfRule type="cellIs" dxfId="150" priority="62" operator="greaterThan">
      <formula>0</formula>
    </cfRule>
  </conditionalFormatting>
  <conditionalFormatting sqref="T37">
    <cfRule type="cellIs" dxfId="149" priority="61" operator="greaterThan">
      <formula>0</formula>
    </cfRule>
  </conditionalFormatting>
  <conditionalFormatting sqref="T127">
    <cfRule type="cellIs" dxfId="148" priority="60" operator="greaterThan">
      <formula>0</formula>
    </cfRule>
  </conditionalFormatting>
  <conditionalFormatting sqref="T139">
    <cfRule type="cellIs" dxfId="147" priority="59" operator="greaterThan">
      <formula>0</formula>
    </cfRule>
  </conditionalFormatting>
  <conditionalFormatting sqref="T141">
    <cfRule type="cellIs" dxfId="146" priority="58" operator="greaterThan">
      <formula>0</formula>
    </cfRule>
  </conditionalFormatting>
  <conditionalFormatting sqref="T164">
    <cfRule type="cellIs" dxfId="145" priority="57" operator="greaterThan">
      <formula>0</formula>
    </cfRule>
  </conditionalFormatting>
  <conditionalFormatting sqref="T182:T183">
    <cfRule type="cellIs" dxfId="144" priority="56" operator="greaterThan">
      <formula>0</formula>
    </cfRule>
  </conditionalFormatting>
  <conditionalFormatting sqref="T187">
    <cfRule type="cellIs" dxfId="143" priority="55" operator="greaterThan">
      <formula>0</formula>
    </cfRule>
  </conditionalFormatting>
  <conditionalFormatting sqref="V139">
    <cfRule type="cellIs" dxfId="142" priority="54" operator="greaterThan">
      <formula>0</formula>
    </cfRule>
  </conditionalFormatting>
  <conditionalFormatting sqref="W139">
    <cfRule type="cellIs" dxfId="141" priority="53" operator="greaterThan">
      <formula>0</formula>
    </cfRule>
  </conditionalFormatting>
  <conditionalFormatting sqref="X139">
    <cfRule type="cellIs" dxfId="140" priority="47" operator="greaterThan">
      <formula>0</formula>
    </cfRule>
  </conditionalFormatting>
  <conditionalFormatting sqref="Y167">
    <cfRule type="cellIs" dxfId="139" priority="46" operator="greaterThan">
      <formula>0</formula>
    </cfRule>
  </conditionalFormatting>
  <conditionalFormatting sqref="Z33">
    <cfRule type="cellIs" dxfId="138" priority="44" operator="greaterThan">
      <formula>0</formula>
    </cfRule>
  </conditionalFormatting>
  <conditionalFormatting sqref="Z37">
    <cfRule type="cellIs" dxfId="137" priority="38" operator="greaterThan">
      <formula>0</formula>
    </cfRule>
  </conditionalFormatting>
  <conditionalFormatting sqref="AA33">
    <cfRule type="cellIs" dxfId="136" priority="31" operator="greaterThan">
      <formula>0</formula>
    </cfRule>
  </conditionalFormatting>
  <conditionalFormatting sqref="AA37">
    <cfRule type="cellIs" dxfId="135" priority="30" operator="greaterThan">
      <formula>0</formula>
    </cfRule>
  </conditionalFormatting>
  <conditionalFormatting sqref="AA127">
    <cfRule type="cellIs" dxfId="134" priority="29" operator="greaterThan">
      <formula>0</formula>
    </cfRule>
  </conditionalFormatting>
  <conditionalFormatting sqref="AA139">
    <cfRule type="cellIs" dxfId="133" priority="28" operator="greaterThan">
      <formula>0</formula>
    </cfRule>
  </conditionalFormatting>
  <conditionalFormatting sqref="AA141">
    <cfRule type="cellIs" dxfId="132" priority="27" operator="greaterThan">
      <formula>0</formula>
    </cfRule>
  </conditionalFormatting>
  <conditionalFormatting sqref="AA167">
    <cfRule type="cellIs" dxfId="131" priority="26" operator="greaterThan">
      <formula>0</formula>
    </cfRule>
  </conditionalFormatting>
  <conditionalFormatting sqref="AA182">
    <cfRule type="cellIs" dxfId="130" priority="25" operator="greaterThan">
      <formula>0</formula>
    </cfRule>
  </conditionalFormatting>
  <conditionalFormatting sqref="AA164">
    <cfRule type="cellIs" dxfId="129" priority="23" operator="greaterThan">
      <formula>0</formula>
    </cfRule>
  </conditionalFormatting>
  <conditionalFormatting sqref="AA165">
    <cfRule type="cellIs" dxfId="128" priority="22" operator="greaterThan">
      <formula>0</formula>
    </cfRule>
  </conditionalFormatting>
  <conditionalFormatting sqref="AA166">
    <cfRule type="cellIs" dxfId="127" priority="21" operator="greaterThan">
      <formula>0</formula>
    </cfRule>
  </conditionalFormatting>
  <conditionalFormatting sqref="AA183">
    <cfRule type="cellIs" dxfId="126" priority="20" operator="greaterThan">
      <formula>0</formula>
    </cfRule>
  </conditionalFormatting>
  <conditionalFormatting sqref="AA187">
    <cfRule type="cellIs" dxfId="125" priority="19" operator="greaterThan">
      <formula>0</formula>
    </cfRule>
  </conditionalFormatting>
  <conditionalFormatting sqref="W141">
    <cfRule type="cellIs" dxfId="124" priority="16" operator="greaterThan">
      <formula>0</formula>
    </cfRule>
  </conditionalFormatting>
  <conditionalFormatting sqref="W187">
    <cfRule type="cellIs" dxfId="123" priority="15" operator="greaterThan">
      <formula>0</formula>
    </cfRule>
  </conditionalFormatting>
  <conditionalFormatting sqref="W164">
    <cfRule type="cellIs" dxfId="122" priority="14" operator="greaterThan">
      <formula>0</formula>
    </cfRule>
  </conditionalFormatting>
  <conditionalFormatting sqref="W183">
    <cfRule type="cellIs" dxfId="121" priority="13" operator="greaterThan">
      <formula>0</formula>
    </cfRule>
  </conditionalFormatting>
  <conditionalFormatting sqref="W167">
    <cfRule type="cellIs" dxfId="120" priority="12" operator="greaterThan">
      <formula>0</formula>
    </cfRule>
  </conditionalFormatting>
  <conditionalFormatting sqref="W182">
    <cfRule type="cellIs" dxfId="119" priority="11" operator="greaterThan">
      <formula>0</formula>
    </cfRule>
  </conditionalFormatting>
  <conditionalFormatting sqref="AC186">
    <cfRule type="cellIs" dxfId="118" priority="10" operator="greaterThan">
      <formula>0</formula>
    </cfRule>
  </conditionalFormatting>
  <conditionalFormatting sqref="K6:K199">
    <cfRule type="cellIs" dxfId="117" priority="9" operator="greaterThan">
      <formula>0</formula>
    </cfRule>
  </conditionalFormatting>
  <conditionalFormatting sqref="Q183:Q186 Q166:Q181 Q112:Q114 Q116:Q128 Q109 Q95 Q97:Q107 Q66:Q67 Q62:Q63 Q28:Q31 Q11:Q26">
    <cfRule type="cellIs" dxfId="116" priority="7" operator="greaterThan">
      <formula>0</formula>
    </cfRule>
  </conditionalFormatting>
  <conditionalFormatting sqref="Q187:Q194 Q182 Q161:Q165 Q152 Q147:Q148 Q131:Q135 Q129 Q115 Q108 Q93:Q94 Q96 Q71:Q91 Q64:Q65 Q47:Q61 Q41:Q45 Q32:Q39 Q27 Q6:Q10">
    <cfRule type="cellIs" dxfId="115" priority="8" operator="greaterThan">
      <formula>0</formula>
    </cfRule>
  </conditionalFormatting>
  <conditionalFormatting sqref="Q195 Q40">
    <cfRule type="cellIs" dxfId="114" priority="6" operator="greaterThan">
      <formula>0</formula>
    </cfRule>
  </conditionalFormatting>
  <conditionalFormatting sqref="Q46">
    <cfRule type="cellIs" dxfId="113" priority="5" operator="greaterThan">
      <formula>0</formula>
    </cfRule>
  </conditionalFormatting>
  <conditionalFormatting sqref="Q92">
    <cfRule type="cellIs" dxfId="112" priority="4" operator="greaterThan">
      <formula>0</formula>
    </cfRule>
  </conditionalFormatting>
  <conditionalFormatting sqref="Q110">
    <cfRule type="cellIs" dxfId="111" priority="3" operator="greaterThan">
      <formula>0</formula>
    </cfRule>
  </conditionalFormatting>
  <conditionalFormatting sqref="Q153:Q160 Q149:Q151 Q146 Q144 Q136:Q141">
    <cfRule type="cellIs" dxfId="110" priority="2" operator="greaterThan">
      <formula>0</formula>
    </cfRule>
  </conditionalFormatting>
  <conditionalFormatting sqref="Q145">
    <cfRule type="cellIs" dxfId="109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D3:H4" calculatedColum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'Pour listes'!$C$2:$C$17</xm:f>
          </x14:formula1>
          <xm:sqref>L13</xm:sqref>
        </x14:dataValidation>
        <x14:dataValidation type="list" allowBlank="1" showInputMessage="1" showErrorMessage="1" error="Utiliser la liste déroulante._x000a_Merci." xr:uid="{00000000-0002-0000-0900-000001000000}">
          <x14:formula1>
            <xm:f>DATA!$A$3:$A$242</xm:f>
          </x14:formula1>
          <xm:sqref>A6:A199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3"/>
  <dimension ref="A2:L44"/>
  <sheetViews>
    <sheetView workbookViewId="0">
      <selection activeCell="U19" sqref="U19"/>
    </sheetView>
  </sheetViews>
  <sheetFormatPr baseColWidth="10" defaultColWidth="12" defaultRowHeight="12" outlineLevelRow="1"/>
  <cols>
    <col min="1" max="1" width="35.5" customWidth="1"/>
    <col min="2" max="2" width="28.6640625" bestFit="1" customWidth="1"/>
    <col min="3" max="4" width="23.1640625" customWidth="1"/>
    <col min="5" max="6" width="24.5" customWidth="1"/>
    <col min="7" max="7" width="19" customWidth="1"/>
  </cols>
  <sheetData>
    <row r="2" spans="1:12">
      <c r="A2" s="528" t="s">
        <v>882</v>
      </c>
      <c r="B2" s="529"/>
      <c r="C2" s="529"/>
      <c r="D2" s="529"/>
      <c r="E2" s="529"/>
      <c r="F2" s="529"/>
      <c r="G2" s="530"/>
    </row>
    <row r="3" spans="1:12">
      <c r="A3" s="365"/>
      <c r="B3" s="366"/>
      <c r="C3" s="5" t="s">
        <v>883</v>
      </c>
      <c r="D3" s="5" t="s">
        <v>884</v>
      </c>
      <c r="E3" s="5" t="s">
        <v>885</v>
      </c>
      <c r="F3" s="5"/>
      <c r="G3" s="368" t="s">
        <v>886</v>
      </c>
    </row>
    <row r="4" spans="1:12" ht="36">
      <c r="A4" s="36"/>
      <c r="C4" s="123" t="s">
        <v>887</v>
      </c>
      <c r="D4" s="367" t="s">
        <v>888</v>
      </c>
      <c r="E4" s="123" t="s">
        <v>889</v>
      </c>
      <c r="F4" s="370" t="s">
        <v>890</v>
      </c>
      <c r="G4" s="37"/>
    </row>
    <row r="5" spans="1:12">
      <c r="G5" s="37"/>
      <c r="K5" s="33"/>
      <c r="L5" t="s">
        <v>891</v>
      </c>
    </row>
    <row r="6" spans="1:12">
      <c r="A6" s="38" t="s">
        <v>892</v>
      </c>
      <c r="C6" s="6"/>
      <c r="D6" s="46"/>
      <c r="E6" s="6"/>
      <c r="F6" s="6"/>
      <c r="G6" s="37" t="s">
        <v>893</v>
      </c>
      <c r="K6" s="34"/>
      <c r="L6" t="s">
        <v>894</v>
      </c>
    </row>
    <row r="7" spans="1:12">
      <c r="A7" s="36"/>
      <c r="G7" s="37"/>
      <c r="K7" s="35"/>
      <c r="L7" t="s">
        <v>895</v>
      </c>
    </row>
    <row r="8" spans="1:12">
      <c r="A8" s="38" t="s">
        <v>688</v>
      </c>
      <c r="G8" s="37" t="s">
        <v>896</v>
      </c>
    </row>
    <row r="9" spans="1:12" outlineLevel="1">
      <c r="A9" s="36">
        <v>1</v>
      </c>
      <c r="B9" s="35" t="s">
        <v>897</v>
      </c>
      <c r="G9" s="37" t="s">
        <v>898</v>
      </c>
    </row>
    <row r="10" spans="1:12" outlineLevel="1">
      <c r="A10" s="36">
        <v>2</v>
      </c>
      <c r="B10" s="35" t="s">
        <v>899</v>
      </c>
      <c r="G10" s="37" t="s">
        <v>898</v>
      </c>
    </row>
    <row r="11" spans="1:12" outlineLevel="1">
      <c r="A11" s="36">
        <v>3</v>
      </c>
      <c r="B11" s="35" t="s">
        <v>900</v>
      </c>
      <c r="C11" s="5" t="s">
        <v>901</v>
      </c>
      <c r="D11" s="5" t="s">
        <v>902</v>
      </c>
      <c r="E11" s="5" t="s">
        <v>903</v>
      </c>
      <c r="F11" s="369">
        <v>0</v>
      </c>
      <c r="G11" s="37" t="s">
        <v>898</v>
      </c>
    </row>
    <row r="12" spans="1:12" outlineLevel="1">
      <c r="A12" s="36">
        <v>4</v>
      </c>
      <c r="B12" s="35" t="s">
        <v>904</v>
      </c>
      <c r="G12" s="37" t="s">
        <v>898</v>
      </c>
    </row>
    <row r="13" spans="1:12" outlineLevel="1">
      <c r="A13" s="36">
        <v>5</v>
      </c>
      <c r="B13" s="35" t="s">
        <v>905</v>
      </c>
      <c r="G13" s="37" t="s">
        <v>898</v>
      </c>
    </row>
    <row r="14" spans="1:12" outlineLevel="1">
      <c r="A14" s="36">
        <v>6</v>
      </c>
      <c r="B14" s="35" t="s">
        <v>906</v>
      </c>
      <c r="G14" s="37" t="s">
        <v>898</v>
      </c>
    </row>
    <row r="15" spans="1:12" outlineLevel="1">
      <c r="A15" s="36">
        <v>7</v>
      </c>
      <c r="B15" s="35" t="s">
        <v>907</v>
      </c>
      <c r="G15" s="37" t="s">
        <v>898</v>
      </c>
    </row>
    <row r="16" spans="1:12">
      <c r="A16" s="36"/>
      <c r="G16" s="37"/>
    </row>
    <row r="17" spans="1:7">
      <c r="A17" s="38" t="s">
        <v>892</v>
      </c>
      <c r="G17" s="37" t="s">
        <v>893</v>
      </c>
    </row>
    <row r="18" spans="1:7">
      <c r="A18" s="36"/>
      <c r="G18" s="37"/>
    </row>
    <row r="19" spans="1:7">
      <c r="A19" s="38" t="s">
        <v>690</v>
      </c>
      <c r="G19" s="37" t="s">
        <v>908</v>
      </c>
    </row>
    <row r="20" spans="1:7" outlineLevel="1">
      <c r="A20" s="43" t="s">
        <v>909</v>
      </c>
      <c r="B20" s="35" t="s">
        <v>897</v>
      </c>
      <c r="G20" s="37" t="s">
        <v>898</v>
      </c>
    </row>
    <row r="21" spans="1:7" outlineLevel="1">
      <c r="A21" s="43" t="s">
        <v>910</v>
      </c>
      <c r="B21" s="35" t="s">
        <v>899</v>
      </c>
      <c r="G21" s="37" t="s">
        <v>898</v>
      </c>
    </row>
    <row r="22" spans="1:7" outlineLevel="1">
      <c r="A22" s="43" t="s">
        <v>911</v>
      </c>
      <c r="B22" s="35" t="s">
        <v>912</v>
      </c>
      <c r="G22" s="37" t="s">
        <v>898</v>
      </c>
    </row>
    <row r="23" spans="1:7" outlineLevel="1">
      <c r="A23" s="43" t="s">
        <v>913</v>
      </c>
      <c r="B23" s="35" t="s">
        <v>904</v>
      </c>
      <c r="G23" s="37" t="s">
        <v>898</v>
      </c>
    </row>
    <row r="24" spans="1:7" outlineLevel="1">
      <c r="A24" s="43" t="s">
        <v>914</v>
      </c>
      <c r="B24" s="35" t="s">
        <v>915</v>
      </c>
      <c r="G24" s="37" t="s">
        <v>898</v>
      </c>
    </row>
    <row r="25" spans="1:7" outlineLevel="1">
      <c r="A25" s="43" t="s">
        <v>916</v>
      </c>
      <c r="B25" s="35" t="s">
        <v>906</v>
      </c>
      <c r="G25" s="37" t="s">
        <v>898</v>
      </c>
    </row>
    <row r="26" spans="1:7" outlineLevel="1">
      <c r="A26" s="43" t="s">
        <v>917</v>
      </c>
      <c r="B26" s="35" t="s">
        <v>907</v>
      </c>
      <c r="G26" s="37" t="s">
        <v>898</v>
      </c>
    </row>
    <row r="27" spans="1:7" outlineLevel="1">
      <c r="A27" s="43" t="s">
        <v>918</v>
      </c>
      <c r="B27" s="35" t="s">
        <v>919</v>
      </c>
      <c r="G27" s="37" t="s">
        <v>898</v>
      </c>
    </row>
    <row r="28" spans="1:7">
      <c r="A28" s="36"/>
      <c r="G28" s="37"/>
    </row>
    <row r="29" spans="1:7">
      <c r="A29" s="39" t="s">
        <v>691</v>
      </c>
      <c r="G29" s="37" t="s">
        <v>920</v>
      </c>
    </row>
    <row r="30" spans="1:7" outlineLevel="1">
      <c r="A30" s="43" t="s">
        <v>921</v>
      </c>
      <c r="B30" s="35" t="s">
        <v>922</v>
      </c>
      <c r="G30" s="37" t="s">
        <v>898</v>
      </c>
    </row>
    <row r="31" spans="1:7" outlineLevel="1">
      <c r="A31" s="43" t="s">
        <v>923</v>
      </c>
      <c r="B31" s="35" t="s">
        <v>924</v>
      </c>
      <c r="G31" s="37" t="s">
        <v>898</v>
      </c>
    </row>
    <row r="32" spans="1:7" outlineLevel="1">
      <c r="A32" s="43" t="s">
        <v>925</v>
      </c>
      <c r="B32" s="35" t="s">
        <v>926</v>
      </c>
      <c r="G32" s="37" t="s">
        <v>898</v>
      </c>
    </row>
    <row r="33" spans="1:7" outlineLevel="1">
      <c r="A33" s="43" t="s">
        <v>927</v>
      </c>
      <c r="B33" s="35" t="s">
        <v>928</v>
      </c>
      <c r="G33" s="37" t="s">
        <v>898</v>
      </c>
    </row>
    <row r="34" spans="1:7" outlineLevel="1">
      <c r="A34" s="43" t="s">
        <v>929</v>
      </c>
      <c r="B34" s="35" t="s">
        <v>930</v>
      </c>
      <c r="G34" s="37" t="s">
        <v>898</v>
      </c>
    </row>
    <row r="35" spans="1:7" outlineLevel="1">
      <c r="A35" s="43" t="s">
        <v>931</v>
      </c>
      <c r="B35" s="35" t="s">
        <v>932</v>
      </c>
      <c r="G35" s="37" t="s">
        <v>898</v>
      </c>
    </row>
    <row r="36" spans="1:7" outlineLevel="1">
      <c r="A36" s="43" t="s">
        <v>933</v>
      </c>
      <c r="B36" s="35" t="s">
        <v>934</v>
      </c>
      <c r="G36" s="37" t="s">
        <v>898</v>
      </c>
    </row>
    <row r="37" spans="1:7">
      <c r="A37" s="36"/>
      <c r="G37" s="37"/>
    </row>
    <row r="38" spans="1:7">
      <c r="A38" s="40"/>
      <c r="B38" s="41"/>
      <c r="C38" s="41"/>
      <c r="D38" s="41"/>
      <c r="E38" s="41"/>
      <c r="F38" s="41"/>
      <c r="G38" s="42"/>
    </row>
    <row r="40" spans="1:7">
      <c r="A40" t="s">
        <v>935</v>
      </c>
    </row>
    <row r="41" spans="1:7">
      <c r="B41" t="s">
        <v>936</v>
      </c>
      <c r="C41" t="s">
        <v>937</v>
      </c>
      <c r="D41" t="s">
        <v>938</v>
      </c>
    </row>
    <row r="42" spans="1:7">
      <c r="A42" t="s">
        <v>939</v>
      </c>
      <c r="B42">
        <v>4500000</v>
      </c>
      <c r="C42" t="s">
        <v>940</v>
      </c>
      <c r="D42" t="s">
        <v>941</v>
      </c>
    </row>
    <row r="43" spans="1:7">
      <c r="B43">
        <v>4500001</v>
      </c>
      <c r="C43" t="s">
        <v>942</v>
      </c>
      <c r="D43" t="s">
        <v>943</v>
      </c>
    </row>
    <row r="44" spans="1:7">
      <c r="B44">
        <v>450002</v>
      </c>
      <c r="C44" t="s">
        <v>944</v>
      </c>
      <c r="D44" t="s">
        <v>941</v>
      </c>
    </row>
  </sheetData>
  <mergeCells count="1">
    <mergeCell ref="A2:G2"/>
  </mergeCells>
  <phoneticPr fontId="7" type="noConversion"/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4"/>
  <dimension ref="A2:S44"/>
  <sheetViews>
    <sheetView workbookViewId="0">
      <selection activeCell="U19" sqref="U19"/>
    </sheetView>
  </sheetViews>
  <sheetFormatPr baseColWidth="10" defaultColWidth="12" defaultRowHeight="12" outlineLevelRow="1"/>
  <cols>
    <col min="1" max="1" width="35.5" customWidth="1"/>
    <col min="2" max="2" width="28.6640625" bestFit="1" customWidth="1"/>
    <col min="3" max="4" width="23.1640625" customWidth="1"/>
    <col min="5" max="6" width="24.5" customWidth="1"/>
    <col min="7" max="7" width="19" customWidth="1"/>
  </cols>
  <sheetData>
    <row r="2" spans="1:19">
      <c r="A2" s="528" t="s">
        <v>882</v>
      </c>
      <c r="B2" s="529"/>
      <c r="C2" s="529"/>
      <c r="D2" s="529"/>
      <c r="E2" s="529"/>
      <c r="F2" s="529"/>
      <c r="G2" s="530"/>
    </row>
    <row r="3" spans="1:19">
      <c r="A3" s="365"/>
      <c r="B3" s="366"/>
      <c r="C3" s="5" t="s">
        <v>883</v>
      </c>
      <c r="D3" s="5" t="s">
        <v>884</v>
      </c>
      <c r="E3" s="5" t="s">
        <v>885</v>
      </c>
      <c r="F3" s="5"/>
      <c r="G3" s="368" t="s">
        <v>886</v>
      </c>
    </row>
    <row r="4" spans="1:19" ht="36">
      <c r="A4" s="36"/>
      <c r="C4" s="123" t="s">
        <v>887</v>
      </c>
      <c r="D4" s="367" t="s">
        <v>888</v>
      </c>
      <c r="E4" s="123" t="s">
        <v>889</v>
      </c>
      <c r="F4" s="370" t="s">
        <v>890</v>
      </c>
      <c r="G4" s="37"/>
    </row>
    <row r="5" spans="1:19">
      <c r="G5" s="37"/>
      <c r="K5" s="33"/>
      <c r="L5" t="s">
        <v>891</v>
      </c>
    </row>
    <row r="6" spans="1:19">
      <c r="A6" s="38" t="s">
        <v>892</v>
      </c>
      <c r="C6" s="6"/>
      <c r="D6" s="46"/>
      <c r="E6" s="6"/>
      <c r="F6" s="6"/>
      <c r="G6" s="37" t="s">
        <v>893</v>
      </c>
      <c r="K6" s="34"/>
      <c r="L6" t="s">
        <v>894</v>
      </c>
    </row>
    <row r="7" spans="1:19">
      <c r="A7" s="36"/>
      <c r="G7" s="37"/>
      <c r="K7" s="35"/>
      <c r="L7" t="s">
        <v>895</v>
      </c>
    </row>
    <row r="8" spans="1:19">
      <c r="A8" s="38" t="s">
        <v>688</v>
      </c>
      <c r="G8" s="37" t="s">
        <v>896</v>
      </c>
    </row>
    <row r="9" spans="1:19" outlineLevel="1">
      <c r="A9" s="36">
        <v>1</v>
      </c>
      <c r="B9" s="35" t="s">
        <v>897</v>
      </c>
      <c r="G9" s="37" t="s">
        <v>898</v>
      </c>
    </row>
    <row r="10" spans="1:19" outlineLevel="1">
      <c r="A10" s="36">
        <v>2</v>
      </c>
      <c r="B10" s="35" t="s">
        <v>899</v>
      </c>
      <c r="G10" s="37" t="s">
        <v>898</v>
      </c>
    </row>
    <row r="11" spans="1:19" outlineLevel="1">
      <c r="A11" s="36">
        <v>3</v>
      </c>
      <c r="B11" s="35" t="s">
        <v>900</v>
      </c>
      <c r="C11" s="5" t="s">
        <v>901</v>
      </c>
      <c r="D11" s="5" t="s">
        <v>902</v>
      </c>
      <c r="E11" s="5" t="s">
        <v>903</v>
      </c>
      <c r="F11" s="369">
        <v>0</v>
      </c>
      <c r="G11" s="37" t="s">
        <v>898</v>
      </c>
    </row>
    <row r="12" spans="1:19" outlineLevel="1">
      <c r="A12" s="36">
        <v>4</v>
      </c>
      <c r="B12" s="35" t="s">
        <v>904</v>
      </c>
      <c r="G12" s="37" t="s">
        <v>898</v>
      </c>
    </row>
    <row r="13" spans="1:19" outlineLevel="1">
      <c r="A13" s="36">
        <v>5</v>
      </c>
      <c r="B13" s="35" t="s">
        <v>905</v>
      </c>
      <c r="G13" s="37" t="s">
        <v>898</v>
      </c>
    </row>
    <row r="14" spans="1:19" outlineLevel="1">
      <c r="A14" s="36">
        <v>6</v>
      </c>
      <c r="B14" s="35" t="s">
        <v>906</v>
      </c>
      <c r="G14" s="37" t="s">
        <v>898</v>
      </c>
    </row>
    <row r="15" spans="1:19" outlineLevel="1">
      <c r="A15" s="36">
        <v>7</v>
      </c>
      <c r="B15" s="35" t="s">
        <v>907</v>
      </c>
      <c r="G15" s="37" t="s">
        <v>898</v>
      </c>
    </row>
    <row r="16" spans="1:19">
      <c r="A16" s="36"/>
      <c r="G16" s="37"/>
    </row>
    <row r="17" spans="1:7">
      <c r="A17" s="38" t="s">
        <v>892</v>
      </c>
      <c r="G17" s="37" t="s">
        <v>893</v>
      </c>
    </row>
    <row r="18" spans="1:7">
      <c r="A18" s="36"/>
      <c r="G18" s="37"/>
    </row>
    <row r="19" spans="1:7">
      <c r="A19" s="38" t="s">
        <v>690</v>
      </c>
      <c r="G19" s="37" t="s">
        <v>908</v>
      </c>
    </row>
    <row r="20" spans="1:7" outlineLevel="1">
      <c r="A20" s="43" t="s">
        <v>909</v>
      </c>
      <c r="B20" s="35" t="s">
        <v>897</v>
      </c>
      <c r="G20" s="37" t="s">
        <v>898</v>
      </c>
    </row>
    <row r="21" spans="1:7" outlineLevel="1">
      <c r="A21" s="43" t="s">
        <v>910</v>
      </c>
      <c r="B21" s="35" t="s">
        <v>899</v>
      </c>
      <c r="G21" s="37" t="s">
        <v>898</v>
      </c>
    </row>
    <row r="22" spans="1:7" outlineLevel="1">
      <c r="A22" s="43" t="s">
        <v>911</v>
      </c>
      <c r="B22" s="35" t="s">
        <v>912</v>
      </c>
      <c r="G22" s="37" t="s">
        <v>898</v>
      </c>
    </row>
    <row r="23" spans="1:7" outlineLevel="1">
      <c r="A23" s="43" t="s">
        <v>913</v>
      </c>
      <c r="B23" s="35" t="s">
        <v>904</v>
      </c>
      <c r="G23" s="37" t="s">
        <v>898</v>
      </c>
    </row>
    <row r="24" spans="1:7" outlineLevel="1">
      <c r="A24" s="43" t="s">
        <v>914</v>
      </c>
      <c r="B24" s="35" t="s">
        <v>915</v>
      </c>
      <c r="G24" s="37" t="s">
        <v>898</v>
      </c>
    </row>
    <row r="25" spans="1:7" outlineLevel="1">
      <c r="A25" s="43" t="s">
        <v>916</v>
      </c>
      <c r="B25" s="35" t="s">
        <v>906</v>
      </c>
      <c r="G25" s="37" t="s">
        <v>898</v>
      </c>
    </row>
    <row r="26" spans="1:7" outlineLevel="1">
      <c r="A26" s="43" t="s">
        <v>917</v>
      </c>
      <c r="B26" s="35" t="s">
        <v>907</v>
      </c>
      <c r="G26" s="37" t="s">
        <v>898</v>
      </c>
    </row>
    <row r="27" spans="1:7" outlineLevel="1">
      <c r="A27" s="43" t="s">
        <v>918</v>
      </c>
      <c r="B27" s="35" t="s">
        <v>919</v>
      </c>
      <c r="G27" s="37" t="s">
        <v>898</v>
      </c>
    </row>
    <row r="28" spans="1:7">
      <c r="A28" s="36"/>
      <c r="G28" s="37"/>
    </row>
    <row r="29" spans="1:7">
      <c r="A29" s="39" t="s">
        <v>691</v>
      </c>
      <c r="G29" s="37" t="s">
        <v>920</v>
      </c>
    </row>
    <row r="30" spans="1:7" outlineLevel="1">
      <c r="A30" s="43" t="s">
        <v>921</v>
      </c>
      <c r="B30" s="35" t="s">
        <v>922</v>
      </c>
      <c r="G30" s="37" t="s">
        <v>898</v>
      </c>
    </row>
    <row r="31" spans="1:7" outlineLevel="1">
      <c r="A31" s="43" t="s">
        <v>923</v>
      </c>
      <c r="B31" s="35" t="s">
        <v>924</v>
      </c>
      <c r="G31" s="37" t="s">
        <v>898</v>
      </c>
    </row>
    <row r="32" spans="1:7" outlineLevel="1">
      <c r="A32" s="43" t="s">
        <v>925</v>
      </c>
      <c r="B32" s="35" t="s">
        <v>926</v>
      </c>
      <c r="G32" s="37" t="s">
        <v>898</v>
      </c>
    </row>
    <row r="33" spans="1:7" outlineLevel="1">
      <c r="A33" s="43" t="s">
        <v>927</v>
      </c>
      <c r="B33" s="35" t="s">
        <v>928</v>
      </c>
      <c r="G33" s="37" t="s">
        <v>898</v>
      </c>
    </row>
    <row r="34" spans="1:7" outlineLevel="1">
      <c r="A34" s="43" t="s">
        <v>929</v>
      </c>
      <c r="B34" s="35" t="s">
        <v>930</v>
      </c>
      <c r="G34" s="37" t="s">
        <v>898</v>
      </c>
    </row>
    <row r="35" spans="1:7" outlineLevel="1">
      <c r="A35" s="43" t="s">
        <v>931</v>
      </c>
      <c r="B35" s="35" t="s">
        <v>932</v>
      </c>
      <c r="G35" s="37" t="s">
        <v>898</v>
      </c>
    </row>
    <row r="36" spans="1:7" outlineLevel="1">
      <c r="A36" s="43" t="s">
        <v>933</v>
      </c>
      <c r="B36" s="35" t="s">
        <v>934</v>
      </c>
      <c r="G36" s="37" t="s">
        <v>898</v>
      </c>
    </row>
    <row r="37" spans="1:7">
      <c r="A37" s="36"/>
      <c r="G37" s="37"/>
    </row>
    <row r="38" spans="1:7">
      <c r="A38" s="40"/>
      <c r="B38" s="41"/>
      <c r="C38" s="41"/>
      <c r="D38" s="41"/>
      <c r="E38" s="41"/>
      <c r="F38" s="41"/>
      <c r="G38" s="42"/>
    </row>
    <row r="40" spans="1:7">
      <c r="A40" t="s">
        <v>935</v>
      </c>
    </row>
    <row r="41" spans="1:7">
      <c r="B41" t="s">
        <v>936</v>
      </c>
      <c r="C41" t="s">
        <v>937</v>
      </c>
      <c r="D41" t="s">
        <v>938</v>
      </c>
    </row>
    <row r="42" spans="1:7">
      <c r="A42" t="s">
        <v>939</v>
      </c>
      <c r="B42">
        <v>4500000</v>
      </c>
      <c r="C42" t="s">
        <v>940</v>
      </c>
      <c r="D42" t="s">
        <v>941</v>
      </c>
    </row>
    <row r="43" spans="1:7">
      <c r="B43">
        <v>4500001</v>
      </c>
      <c r="C43" t="s">
        <v>942</v>
      </c>
      <c r="D43" t="s">
        <v>943</v>
      </c>
    </row>
    <row r="44" spans="1:7">
      <c r="B44">
        <v>450002</v>
      </c>
      <c r="C44" t="s">
        <v>944</v>
      </c>
      <c r="D44" t="s">
        <v>941</v>
      </c>
    </row>
  </sheetData>
  <mergeCells count="1">
    <mergeCell ref="A2:G2"/>
  </mergeCells>
  <phoneticPr fontId="7" type="noConversion"/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/>
  <dimension ref="A1:D27"/>
  <sheetViews>
    <sheetView workbookViewId="0">
      <selection activeCell="A7" sqref="A7"/>
    </sheetView>
  </sheetViews>
  <sheetFormatPr baseColWidth="10" defaultColWidth="12" defaultRowHeight="12"/>
  <cols>
    <col min="1" max="1" width="18.1640625" bestFit="1" customWidth="1"/>
    <col min="2" max="2" width="117.5" bestFit="1" customWidth="1"/>
    <col min="3" max="3" width="32" bestFit="1" customWidth="1"/>
    <col min="4" max="4" width="117.5" bestFit="1" customWidth="1"/>
  </cols>
  <sheetData>
    <row r="1" spans="1:4" ht="24">
      <c r="C1" s="44" t="s">
        <v>945</v>
      </c>
      <c r="D1" s="27" t="s">
        <v>946</v>
      </c>
    </row>
    <row r="2" spans="1:4">
      <c r="A2" t="s">
        <v>947</v>
      </c>
      <c r="B2" t="s">
        <v>844</v>
      </c>
      <c r="C2" t="s">
        <v>948</v>
      </c>
      <c r="D2" t="s">
        <v>852</v>
      </c>
    </row>
    <row r="3" spans="1:4">
      <c r="A3" t="s">
        <v>949</v>
      </c>
      <c r="B3" t="s">
        <v>950</v>
      </c>
      <c r="C3" t="s">
        <v>951</v>
      </c>
      <c r="D3" s="46" t="s">
        <v>950</v>
      </c>
    </row>
    <row r="4" spans="1:4">
      <c r="A4" t="s">
        <v>952</v>
      </c>
      <c r="B4" t="s">
        <v>846</v>
      </c>
      <c r="C4" t="s">
        <v>953</v>
      </c>
      <c r="D4" t="s">
        <v>846</v>
      </c>
    </row>
    <row r="5" spans="1:4">
      <c r="A5" t="s">
        <v>954</v>
      </c>
      <c r="B5" t="s">
        <v>955</v>
      </c>
      <c r="C5" t="s">
        <v>956</v>
      </c>
      <c r="D5" t="s">
        <v>855</v>
      </c>
    </row>
    <row r="6" spans="1:4">
      <c r="A6" t="s">
        <v>957</v>
      </c>
      <c r="B6" t="s">
        <v>848</v>
      </c>
      <c r="C6" t="s">
        <v>958</v>
      </c>
      <c r="D6" t="s">
        <v>848</v>
      </c>
    </row>
    <row r="7" spans="1:4">
      <c r="A7" t="s">
        <v>959</v>
      </c>
      <c r="B7" t="s">
        <v>849</v>
      </c>
      <c r="C7" t="s">
        <v>960</v>
      </c>
      <c r="D7" t="s">
        <v>849</v>
      </c>
    </row>
    <row r="8" spans="1:4">
      <c r="A8" t="s">
        <v>961</v>
      </c>
      <c r="B8" t="s">
        <v>850</v>
      </c>
      <c r="C8" t="s">
        <v>962</v>
      </c>
      <c r="D8" t="s">
        <v>858</v>
      </c>
    </row>
    <row r="9" spans="1:4">
      <c r="C9" t="s">
        <v>963</v>
      </c>
      <c r="D9" t="s">
        <v>859</v>
      </c>
    </row>
    <row r="10" spans="1:4">
      <c r="C10" t="s">
        <v>964</v>
      </c>
      <c r="D10" t="s">
        <v>860</v>
      </c>
    </row>
    <row r="11" spans="1:4">
      <c r="C11" t="s">
        <v>965</v>
      </c>
      <c r="D11" t="s">
        <v>861</v>
      </c>
    </row>
    <row r="12" spans="1:4">
      <c r="C12" t="s">
        <v>966</v>
      </c>
      <c r="D12" t="s">
        <v>862</v>
      </c>
    </row>
    <row r="13" spans="1:4">
      <c r="C13" t="s">
        <v>967</v>
      </c>
      <c r="D13" t="s">
        <v>863</v>
      </c>
    </row>
    <row r="14" spans="1:4">
      <c r="C14" t="s">
        <v>968</v>
      </c>
      <c r="D14" t="s">
        <v>864</v>
      </c>
    </row>
    <row r="15" spans="1:4">
      <c r="C15" t="s">
        <v>969</v>
      </c>
      <c r="D15" t="s">
        <v>865</v>
      </c>
    </row>
    <row r="16" spans="1:4">
      <c r="C16" t="s">
        <v>970</v>
      </c>
      <c r="D16" t="s">
        <v>866</v>
      </c>
    </row>
    <row r="23" spans="2:4" ht="12.75" thickBot="1"/>
    <row r="24" spans="2:4" ht="13.5" thickBot="1">
      <c r="B24" s="32" t="s">
        <v>971</v>
      </c>
      <c r="C24" s="28" t="s">
        <v>948</v>
      </c>
      <c r="D24" s="30" t="str">
        <f>IF(C24="","Correspodance Code Article",VLOOKUP(C24,'Pour listes'!C2:D16,2,FALSE))</f>
        <v>Tâches réalisées en sus du contrat</v>
      </c>
    </row>
    <row r="25" spans="2:4" ht="13.5" thickBot="1">
      <c r="B25" s="32" t="s">
        <v>972</v>
      </c>
      <c r="C25" s="29" t="s">
        <v>947</v>
      </c>
      <c r="D25" s="31" t="str">
        <f>IF(C25="","Correspondance Code Article",VLOOKUP(C25,'Pour listes'!A2:B8,2,FALSE))</f>
        <v>Tâches réalisées par EDF RS en sus du contrat  + DI</v>
      </c>
    </row>
    <row r="27" spans="2:4">
      <c r="B27" t="s">
        <v>973</v>
      </c>
    </row>
  </sheetData>
  <dataValidations count="2">
    <dataValidation type="list" allowBlank="1" showInputMessage="1" showErrorMessage="1" sqref="C25" xr:uid="{00000000-0002-0000-0C00-000000000000}">
      <formula1>$A$2:$A$8</formula1>
    </dataValidation>
    <dataValidation type="list" allowBlank="1" showInputMessage="1" showErrorMessage="1" sqref="C24" xr:uid="{00000000-0002-0000-0C00-000001000000}">
      <formula1>$C$2:$C$17</formula1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5"/>
  <dimension ref="U1:U42"/>
  <sheetViews>
    <sheetView zoomScale="85" zoomScaleNormal="85" workbookViewId="0">
      <selection activeCell="U19" sqref="U19"/>
    </sheetView>
  </sheetViews>
  <sheetFormatPr baseColWidth="10" defaultColWidth="12" defaultRowHeight="12"/>
  <cols>
    <col min="21" max="21" width="60" bestFit="1" customWidth="1"/>
  </cols>
  <sheetData>
    <row r="1" spans="21:21">
      <c r="U1" t="s">
        <v>974</v>
      </c>
    </row>
    <row r="3" spans="21:21" ht="15">
      <c r="U3" s="24" t="s">
        <v>975</v>
      </c>
    </row>
    <row r="4" spans="21:21" ht="15">
      <c r="U4" s="25" t="s">
        <v>976</v>
      </c>
    </row>
    <row r="5" spans="21:21" ht="15">
      <c r="U5" s="26" t="s">
        <v>977</v>
      </c>
    </row>
    <row r="6" spans="21:21" ht="15">
      <c r="U6" s="25" t="s">
        <v>978</v>
      </c>
    </row>
    <row r="7" spans="21:21" ht="15">
      <c r="U7" s="26" t="s">
        <v>979</v>
      </c>
    </row>
    <row r="8" spans="21:21" ht="15">
      <c r="U8" s="25" t="s">
        <v>980</v>
      </c>
    </row>
    <row r="9" spans="21:21" ht="15">
      <c r="U9" s="26" t="s">
        <v>981</v>
      </c>
    </row>
    <row r="10" spans="21:21" ht="15">
      <c r="U10" s="25" t="s">
        <v>982</v>
      </c>
    </row>
    <row r="11" spans="21:21" ht="15">
      <c r="U11" s="26" t="s">
        <v>983</v>
      </c>
    </row>
    <row r="12" spans="21:21" ht="15">
      <c r="U12" s="25" t="s">
        <v>984</v>
      </c>
    </row>
    <row r="13" spans="21:21" ht="15">
      <c r="U13" s="26" t="s">
        <v>985</v>
      </c>
    </row>
    <row r="14" spans="21:21" ht="15">
      <c r="U14" s="25" t="s">
        <v>986</v>
      </c>
    </row>
    <row r="15" spans="21:21" ht="15">
      <c r="U15" s="26" t="s">
        <v>987</v>
      </c>
    </row>
    <row r="16" spans="21:21" ht="15">
      <c r="U16" s="25" t="s">
        <v>988</v>
      </c>
    </row>
    <row r="17" spans="21:21" ht="15">
      <c r="U17" s="26" t="s">
        <v>989</v>
      </c>
    </row>
    <row r="18" spans="21:21" ht="15">
      <c r="U18" s="25" t="s">
        <v>990</v>
      </c>
    </row>
    <row r="19" spans="21:21" ht="15">
      <c r="U19" s="45" t="s">
        <v>991</v>
      </c>
    </row>
    <row r="20" spans="21:21" ht="15">
      <c r="U20" s="25" t="s">
        <v>992</v>
      </c>
    </row>
    <row r="21" spans="21:21" ht="15">
      <c r="U21" s="45" t="s">
        <v>993</v>
      </c>
    </row>
    <row r="22" spans="21:21" ht="15">
      <c r="U22" s="25" t="s">
        <v>994</v>
      </c>
    </row>
    <row r="23" spans="21:21" ht="15">
      <c r="U23" s="26" t="s">
        <v>995</v>
      </c>
    </row>
    <row r="24" spans="21:21" ht="15">
      <c r="U24" s="25" t="s">
        <v>996</v>
      </c>
    </row>
    <row r="25" spans="21:21" ht="15">
      <c r="U25" s="26" t="s">
        <v>997</v>
      </c>
    </row>
    <row r="26" spans="21:21" ht="15">
      <c r="U26" s="25" t="s">
        <v>998</v>
      </c>
    </row>
    <row r="27" spans="21:21" ht="15">
      <c r="U27" s="26" t="s">
        <v>999</v>
      </c>
    </row>
    <row r="28" spans="21:21" ht="15">
      <c r="U28" s="25" t="s">
        <v>1000</v>
      </c>
    </row>
    <row r="29" spans="21:21" ht="15">
      <c r="U29" s="26" t="s">
        <v>1001</v>
      </c>
    </row>
    <row r="30" spans="21:21" ht="15">
      <c r="U30" s="25" t="s">
        <v>1002</v>
      </c>
    </row>
    <row r="31" spans="21:21" ht="15">
      <c r="U31" s="26" t="s">
        <v>1003</v>
      </c>
    </row>
    <row r="32" spans="21:21" ht="15">
      <c r="U32" s="25" t="s">
        <v>1004</v>
      </c>
    </row>
    <row r="33" spans="21:21" ht="15">
      <c r="U33" s="26" t="s">
        <v>1005</v>
      </c>
    </row>
    <row r="34" spans="21:21" ht="15">
      <c r="U34" s="25" t="s">
        <v>1006</v>
      </c>
    </row>
    <row r="35" spans="21:21" ht="15">
      <c r="U35" s="26" t="s">
        <v>1007</v>
      </c>
    </row>
    <row r="36" spans="21:21" ht="15">
      <c r="U36" s="25" t="s">
        <v>1008</v>
      </c>
    </row>
    <row r="37" spans="21:21" ht="15">
      <c r="U37" s="26" t="s">
        <v>1009</v>
      </c>
    </row>
    <row r="38" spans="21:21" ht="15">
      <c r="U38" s="25" t="s">
        <v>1010</v>
      </c>
    </row>
    <row r="39" spans="21:21" ht="15">
      <c r="U39" s="26" t="s">
        <v>1011</v>
      </c>
    </row>
    <row r="40" spans="21:21" ht="15">
      <c r="U40" s="25" t="s">
        <v>1012</v>
      </c>
    </row>
    <row r="41" spans="21:21" ht="15">
      <c r="U41" s="26" t="s">
        <v>1013</v>
      </c>
    </row>
    <row r="42" spans="21:21" ht="15">
      <c r="U42" s="25" t="s">
        <v>1014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>
    <tabColor rgb="FFFFFF00"/>
  </sheetPr>
  <dimension ref="A1:V243"/>
  <sheetViews>
    <sheetView showGridLines="0" workbookViewId="0">
      <pane ySplit="2" topLeftCell="A202" activePane="bottomLeft" state="frozen"/>
      <selection pane="bottomLeft" activeCell="C221" sqref="C221"/>
    </sheetView>
  </sheetViews>
  <sheetFormatPr baseColWidth="10" defaultColWidth="12" defaultRowHeight="12"/>
  <cols>
    <col min="1" max="1" width="30.1640625" bestFit="1" customWidth="1"/>
    <col min="2" max="2" width="17.5" bestFit="1" customWidth="1"/>
    <col min="9" max="9" width="19.1640625" bestFit="1" customWidth="1"/>
    <col min="20" max="20" width="15.6640625" customWidth="1"/>
    <col min="21" max="21" width="22" bestFit="1" customWidth="1"/>
  </cols>
  <sheetData>
    <row r="1" spans="1:22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</row>
    <row r="2" spans="1:22" ht="24">
      <c r="A2" s="112" t="s">
        <v>411</v>
      </c>
      <c r="B2" s="111" t="s">
        <v>629</v>
      </c>
      <c r="C2" s="111" t="s">
        <v>628</v>
      </c>
      <c r="D2" s="22" t="s">
        <v>630</v>
      </c>
      <c r="E2" s="22" t="s">
        <v>631</v>
      </c>
      <c r="F2" s="22" t="s">
        <v>632</v>
      </c>
      <c r="G2" s="455" t="s">
        <v>417</v>
      </c>
      <c r="H2" s="112" t="s">
        <v>1015</v>
      </c>
      <c r="I2" s="22" t="s">
        <v>1016</v>
      </c>
      <c r="T2" s="283" t="s">
        <v>1017</v>
      </c>
      <c r="U2" s="283" t="s">
        <v>1018</v>
      </c>
      <c r="V2" s="283" t="s">
        <v>1019</v>
      </c>
    </row>
    <row r="3" spans="1:22">
      <c r="A3" s="453" t="s">
        <v>575</v>
      </c>
      <c r="B3" s="452" t="s">
        <v>1020</v>
      </c>
      <c r="C3" s="452" t="s">
        <v>1021</v>
      </c>
      <c r="D3" s="451">
        <v>10</v>
      </c>
      <c r="E3" s="454" t="s">
        <v>22</v>
      </c>
      <c r="F3" s="454" t="s">
        <v>871</v>
      </c>
      <c r="G3" s="454" t="s">
        <v>840</v>
      </c>
      <c r="H3" s="452" t="s">
        <v>1022</v>
      </c>
      <c r="I3" s="5" t="s">
        <v>1023</v>
      </c>
      <c r="T3" s="281" t="s">
        <v>28</v>
      </c>
      <c r="U3" s="281" t="s">
        <v>1024</v>
      </c>
      <c r="V3" s="285" t="s">
        <v>1025</v>
      </c>
    </row>
    <row r="4" spans="1:22">
      <c r="A4" s="453" t="s">
        <v>435</v>
      </c>
      <c r="B4" s="452" t="s">
        <v>1026</v>
      </c>
      <c r="C4" s="452" t="s">
        <v>1027</v>
      </c>
      <c r="D4" s="451">
        <v>16</v>
      </c>
      <c r="E4" s="454" t="s">
        <v>24</v>
      </c>
      <c r="F4" s="454" t="s">
        <v>871</v>
      </c>
      <c r="G4" s="454" t="s">
        <v>840</v>
      </c>
      <c r="H4" s="452" t="s">
        <v>1022</v>
      </c>
      <c r="I4" s="5" t="s">
        <v>1028</v>
      </c>
      <c r="T4" s="282" t="s">
        <v>26</v>
      </c>
      <c r="U4" s="282" t="s">
        <v>1029</v>
      </c>
      <c r="V4" s="285" t="s">
        <v>1030</v>
      </c>
    </row>
    <row r="5" spans="1:22">
      <c r="A5" s="453" t="s">
        <v>448</v>
      </c>
      <c r="B5" s="452" t="s">
        <v>1031</v>
      </c>
      <c r="C5" s="452" t="s">
        <v>1032</v>
      </c>
      <c r="D5" s="451">
        <v>52</v>
      </c>
      <c r="E5" s="454" t="s">
        <v>91</v>
      </c>
      <c r="F5" s="454" t="s">
        <v>1033</v>
      </c>
      <c r="G5" s="454" t="s">
        <v>840</v>
      </c>
      <c r="H5" s="452" t="s">
        <v>1022</v>
      </c>
      <c r="I5" s="5" t="s">
        <v>1034</v>
      </c>
      <c r="T5" s="281" t="s">
        <v>30</v>
      </c>
      <c r="U5" s="281" t="s">
        <v>1035</v>
      </c>
      <c r="V5" s="285" t="s">
        <v>1036</v>
      </c>
    </row>
    <row r="6" spans="1:22">
      <c r="A6" s="453" t="s">
        <v>1037</v>
      </c>
      <c r="B6" s="452"/>
      <c r="C6" s="452"/>
      <c r="D6" s="451">
        <v>40.700000000000003</v>
      </c>
      <c r="E6" s="454"/>
      <c r="F6" s="454" t="s">
        <v>1033</v>
      </c>
      <c r="G6" s="454" t="s">
        <v>840</v>
      </c>
      <c r="H6" s="452" t="s">
        <v>1038</v>
      </c>
      <c r="I6" s="5"/>
      <c r="T6" s="282" t="s">
        <v>32</v>
      </c>
      <c r="U6" s="282" t="s">
        <v>1039</v>
      </c>
      <c r="V6" s="285" t="s">
        <v>1040</v>
      </c>
    </row>
    <row r="7" spans="1:22">
      <c r="A7" s="453" t="s">
        <v>504</v>
      </c>
      <c r="B7" s="452" t="s">
        <v>1041</v>
      </c>
      <c r="C7" s="452" t="s">
        <v>1042</v>
      </c>
      <c r="D7" s="451">
        <v>16.95</v>
      </c>
      <c r="E7" s="454" t="s">
        <v>26</v>
      </c>
      <c r="F7" s="454" t="s">
        <v>1033</v>
      </c>
      <c r="G7" s="454" t="s">
        <v>840</v>
      </c>
      <c r="H7" s="452" t="s">
        <v>1022</v>
      </c>
      <c r="I7" s="5" t="s">
        <v>1030</v>
      </c>
      <c r="T7" s="281" t="s">
        <v>34</v>
      </c>
      <c r="U7" s="281" t="s">
        <v>1043</v>
      </c>
      <c r="V7" s="285" t="s">
        <v>1044</v>
      </c>
    </row>
    <row r="8" spans="1:22">
      <c r="A8" s="453" t="s">
        <v>530</v>
      </c>
      <c r="B8" s="452" t="s">
        <v>1045</v>
      </c>
      <c r="C8" s="452" t="s">
        <v>1046</v>
      </c>
      <c r="D8" s="451">
        <v>12</v>
      </c>
      <c r="E8" s="454" t="s">
        <v>28</v>
      </c>
      <c r="F8" s="454" t="s">
        <v>871</v>
      </c>
      <c r="G8" s="454" t="s">
        <v>1047</v>
      </c>
      <c r="H8" s="452" t="s">
        <v>1022</v>
      </c>
      <c r="I8" s="5" t="s">
        <v>1025</v>
      </c>
      <c r="T8" s="282" t="s">
        <v>36</v>
      </c>
      <c r="U8" s="282" t="s">
        <v>1048</v>
      </c>
      <c r="V8" s="285" t="s">
        <v>1049</v>
      </c>
    </row>
    <row r="9" spans="1:22">
      <c r="A9" s="453" t="s">
        <v>440</v>
      </c>
      <c r="B9" s="452" t="s">
        <v>1050</v>
      </c>
      <c r="C9" s="452" t="s">
        <v>1051</v>
      </c>
      <c r="D9" s="451">
        <v>9.6999999999999993</v>
      </c>
      <c r="E9" s="454" t="s">
        <v>30</v>
      </c>
      <c r="F9" s="454" t="s">
        <v>871</v>
      </c>
      <c r="G9" s="454" t="s">
        <v>840</v>
      </c>
      <c r="H9" s="452" t="s">
        <v>1038</v>
      </c>
      <c r="I9" s="5" t="s">
        <v>1036</v>
      </c>
      <c r="T9" s="282" t="s">
        <v>38</v>
      </c>
      <c r="U9" s="282" t="s">
        <v>1035</v>
      </c>
      <c r="V9" s="285" t="s">
        <v>1036</v>
      </c>
    </row>
    <row r="10" spans="1:22">
      <c r="A10" s="453" t="s">
        <v>479</v>
      </c>
      <c r="B10" s="452" t="s">
        <v>1052</v>
      </c>
      <c r="C10" s="452" t="s">
        <v>1053</v>
      </c>
      <c r="D10" s="451">
        <v>12</v>
      </c>
      <c r="E10" s="454" t="s">
        <v>32</v>
      </c>
      <c r="F10" s="454" t="s">
        <v>1033</v>
      </c>
      <c r="G10" s="454" t="s">
        <v>1054</v>
      </c>
      <c r="H10" s="452" t="s">
        <v>1022</v>
      </c>
      <c r="I10" s="5" t="s">
        <v>1040</v>
      </c>
      <c r="T10" s="281" t="s">
        <v>105</v>
      </c>
      <c r="U10" s="281" t="s">
        <v>1055</v>
      </c>
      <c r="V10" s="281" t="s">
        <v>1023</v>
      </c>
    </row>
    <row r="11" spans="1:22">
      <c r="A11" s="453" t="s">
        <v>508</v>
      </c>
      <c r="B11" s="452" t="s">
        <v>1056</v>
      </c>
      <c r="C11" s="452" t="s">
        <v>1057</v>
      </c>
      <c r="D11" s="451">
        <v>12</v>
      </c>
      <c r="E11" s="454" t="s">
        <v>34</v>
      </c>
      <c r="F11" s="454" t="s">
        <v>1033</v>
      </c>
      <c r="G11" s="454" t="s">
        <v>1047</v>
      </c>
      <c r="H11" s="452" t="s">
        <v>1022</v>
      </c>
      <c r="I11" s="5" t="s">
        <v>1044</v>
      </c>
      <c r="T11" s="281" t="s">
        <v>386</v>
      </c>
      <c r="U11" s="281" t="s">
        <v>1055</v>
      </c>
      <c r="V11" s="281" t="s">
        <v>1023</v>
      </c>
    </row>
    <row r="12" spans="1:22">
      <c r="A12" s="453" t="s">
        <v>1058</v>
      </c>
      <c r="B12" s="452" t="s">
        <v>1059</v>
      </c>
      <c r="C12" s="452" t="s">
        <v>1060</v>
      </c>
      <c r="D12" s="451">
        <v>0.1</v>
      </c>
      <c r="E12" s="454" t="s">
        <v>1061</v>
      </c>
      <c r="F12" s="454" t="s">
        <v>871</v>
      </c>
      <c r="G12" s="454" t="s">
        <v>840</v>
      </c>
      <c r="H12" s="452" t="s">
        <v>1038</v>
      </c>
      <c r="I12" s="5" t="s">
        <v>1049</v>
      </c>
      <c r="T12" s="282" t="s">
        <v>22</v>
      </c>
      <c r="U12" s="282" t="s">
        <v>1055</v>
      </c>
      <c r="V12" s="281" t="s">
        <v>1023</v>
      </c>
    </row>
    <row r="13" spans="1:22">
      <c r="A13" s="453" t="s">
        <v>444</v>
      </c>
      <c r="B13" s="452" t="s">
        <v>1062</v>
      </c>
      <c r="C13" s="452" t="s">
        <v>1051</v>
      </c>
      <c r="D13" s="451">
        <v>5</v>
      </c>
      <c r="E13" s="454" t="s">
        <v>36</v>
      </c>
      <c r="F13" s="454" t="s">
        <v>871</v>
      </c>
      <c r="G13" s="454" t="s">
        <v>840</v>
      </c>
      <c r="H13" s="452" t="s">
        <v>1038</v>
      </c>
      <c r="I13" s="5" t="s">
        <v>1049</v>
      </c>
      <c r="T13" s="282" t="s">
        <v>40</v>
      </c>
      <c r="U13" s="282" t="s">
        <v>1063</v>
      </c>
      <c r="V13" s="281" t="s">
        <v>1034</v>
      </c>
    </row>
    <row r="14" spans="1:22">
      <c r="A14" s="453" t="s">
        <v>776</v>
      </c>
      <c r="B14" s="452" t="s">
        <v>1064</v>
      </c>
      <c r="C14" s="452" t="s">
        <v>1065</v>
      </c>
      <c r="D14" s="451">
        <v>4.0999999999999996</v>
      </c>
      <c r="E14" s="454" t="s">
        <v>1066</v>
      </c>
      <c r="F14" s="454" t="s">
        <v>871</v>
      </c>
      <c r="G14" s="454" t="s">
        <v>840</v>
      </c>
      <c r="H14" s="452" t="s">
        <v>1038</v>
      </c>
      <c r="I14" s="5" t="s">
        <v>1049</v>
      </c>
      <c r="T14" s="281" t="s">
        <v>48</v>
      </c>
      <c r="U14" s="281" t="s">
        <v>1067</v>
      </c>
      <c r="V14" s="281" t="s">
        <v>1068</v>
      </c>
    </row>
    <row r="15" spans="1:22">
      <c r="A15" s="453" t="s">
        <v>445</v>
      </c>
      <c r="B15" s="452" t="s">
        <v>1069</v>
      </c>
      <c r="C15" s="452" t="s">
        <v>1051</v>
      </c>
      <c r="D15" s="451">
        <v>4.2</v>
      </c>
      <c r="E15" s="454" t="s">
        <v>38</v>
      </c>
      <c r="F15" s="454" t="s">
        <v>871</v>
      </c>
      <c r="G15" s="454" t="s">
        <v>840</v>
      </c>
      <c r="H15" s="452" t="s">
        <v>1038</v>
      </c>
      <c r="I15" s="5" t="s">
        <v>1036</v>
      </c>
      <c r="T15" s="281" t="s">
        <v>46</v>
      </c>
      <c r="U15" s="281" t="s">
        <v>1029</v>
      </c>
      <c r="V15" s="281" t="s">
        <v>1030</v>
      </c>
    </row>
    <row r="16" spans="1:22">
      <c r="A16" s="453" t="s">
        <v>571</v>
      </c>
      <c r="B16" s="452" t="s">
        <v>1070</v>
      </c>
      <c r="C16" s="452" t="s">
        <v>1071</v>
      </c>
      <c r="D16" s="451">
        <v>14</v>
      </c>
      <c r="E16" s="452" t="s">
        <v>386</v>
      </c>
      <c r="F16" s="454" t="s">
        <v>871</v>
      </c>
      <c r="G16" s="454" t="s">
        <v>1047</v>
      </c>
      <c r="H16" s="452" t="s">
        <v>1022</v>
      </c>
      <c r="I16" s="5" t="s">
        <v>1023</v>
      </c>
      <c r="T16" s="281" t="s">
        <v>70</v>
      </c>
      <c r="U16" s="281" t="s">
        <v>1072</v>
      </c>
      <c r="V16" s="281" t="s">
        <v>1073</v>
      </c>
    </row>
    <row r="17" spans="1:22">
      <c r="A17" s="453" t="s">
        <v>1074</v>
      </c>
      <c r="B17" s="452"/>
      <c r="C17" s="452"/>
      <c r="D17" s="451">
        <v>28.8</v>
      </c>
      <c r="E17" s="454"/>
      <c r="F17" s="454" t="s">
        <v>1033</v>
      </c>
      <c r="G17" s="454" t="s">
        <v>840</v>
      </c>
      <c r="H17" s="452" t="s">
        <v>1022</v>
      </c>
      <c r="I17" s="5"/>
      <c r="T17" s="282" t="s">
        <v>44</v>
      </c>
      <c r="U17" s="282" t="s">
        <v>1048</v>
      </c>
      <c r="V17" s="281" t="s">
        <v>1049</v>
      </c>
    </row>
    <row r="18" spans="1:22">
      <c r="A18" s="453" t="s">
        <v>1075</v>
      </c>
      <c r="B18" s="452"/>
      <c r="C18" s="452"/>
      <c r="D18" s="451">
        <v>18</v>
      </c>
      <c r="E18" s="454"/>
      <c r="F18" s="454" t="s">
        <v>1033</v>
      </c>
      <c r="G18" s="454" t="s">
        <v>840</v>
      </c>
      <c r="H18" s="452" t="s">
        <v>1022</v>
      </c>
      <c r="I18" s="5"/>
      <c r="T18" s="282" t="s">
        <v>53</v>
      </c>
      <c r="U18" s="282" t="s">
        <v>1035</v>
      </c>
      <c r="V18" s="281" t="s">
        <v>1036</v>
      </c>
    </row>
    <row r="19" spans="1:22">
      <c r="A19" s="453" t="s">
        <v>494</v>
      </c>
      <c r="B19" s="452" t="s">
        <v>1076</v>
      </c>
      <c r="C19" s="452" t="s">
        <v>1077</v>
      </c>
      <c r="D19" s="451">
        <v>12</v>
      </c>
      <c r="E19" s="454" t="s">
        <v>40</v>
      </c>
      <c r="F19" s="454" t="s">
        <v>1033</v>
      </c>
      <c r="G19" s="454" t="s">
        <v>840</v>
      </c>
      <c r="H19" s="452" t="s">
        <v>1022</v>
      </c>
      <c r="I19" s="5" t="s">
        <v>1034</v>
      </c>
      <c r="T19" s="281" t="s">
        <v>51</v>
      </c>
      <c r="U19" s="281" t="s">
        <v>1039</v>
      </c>
      <c r="V19" s="281" t="s">
        <v>1040</v>
      </c>
    </row>
    <row r="20" spans="1:22">
      <c r="A20" s="453" t="s">
        <v>535</v>
      </c>
      <c r="B20" s="452" t="s">
        <v>1078</v>
      </c>
      <c r="C20" s="452" t="s">
        <v>1079</v>
      </c>
      <c r="D20" s="451">
        <v>15</v>
      </c>
      <c r="E20" s="454" t="s">
        <v>344</v>
      </c>
      <c r="F20" s="454" t="s">
        <v>1033</v>
      </c>
      <c r="G20" s="454" t="s">
        <v>1080</v>
      </c>
      <c r="H20" s="452" t="s">
        <v>1022</v>
      </c>
      <c r="I20" s="5" t="s">
        <v>1081</v>
      </c>
      <c r="T20" s="281" t="s">
        <v>55</v>
      </c>
      <c r="U20" s="281" t="s">
        <v>1082</v>
      </c>
      <c r="V20" s="281" t="s">
        <v>1083</v>
      </c>
    </row>
    <row r="21" spans="1:22">
      <c r="A21" s="453" t="s">
        <v>583</v>
      </c>
      <c r="B21" s="452" t="s">
        <v>1084</v>
      </c>
      <c r="C21" s="452" t="s">
        <v>1085</v>
      </c>
      <c r="D21" s="451">
        <v>12</v>
      </c>
      <c r="E21" s="454" t="s">
        <v>48</v>
      </c>
      <c r="F21" s="454" t="s">
        <v>871</v>
      </c>
      <c r="G21" s="454" t="s">
        <v>1047</v>
      </c>
      <c r="H21" s="452" t="s">
        <v>1022</v>
      </c>
      <c r="I21" s="5" t="s">
        <v>1068</v>
      </c>
      <c r="T21" s="282" t="s">
        <v>58</v>
      </c>
      <c r="U21" s="282" t="s">
        <v>1039</v>
      </c>
      <c r="V21" s="281" t="s">
        <v>1040</v>
      </c>
    </row>
    <row r="22" spans="1:22">
      <c r="A22" s="453" t="s">
        <v>525</v>
      </c>
      <c r="B22" s="452" t="s">
        <v>1086</v>
      </c>
      <c r="C22" s="452" t="s">
        <v>1087</v>
      </c>
      <c r="D22" s="451">
        <v>12</v>
      </c>
      <c r="E22" s="454" t="s">
        <v>1088</v>
      </c>
      <c r="F22" s="454" t="s">
        <v>1033</v>
      </c>
      <c r="G22" s="454" t="s">
        <v>1080</v>
      </c>
      <c r="H22" s="452" t="s">
        <v>1022</v>
      </c>
      <c r="I22" s="5" t="s">
        <v>1089</v>
      </c>
      <c r="T22" s="281" t="s">
        <v>42</v>
      </c>
      <c r="U22" s="281" t="s">
        <v>1090</v>
      </c>
      <c r="V22" s="281" t="s">
        <v>1089</v>
      </c>
    </row>
    <row r="23" spans="1:22">
      <c r="A23" s="453" t="s">
        <v>1091</v>
      </c>
      <c r="B23" s="452" t="s">
        <v>1092</v>
      </c>
      <c r="C23" s="452"/>
      <c r="D23" s="451">
        <v>24</v>
      </c>
      <c r="E23" s="452" t="s">
        <v>42</v>
      </c>
      <c r="F23" s="454" t="s">
        <v>1033</v>
      </c>
      <c r="G23" s="454" t="s">
        <v>1080</v>
      </c>
      <c r="H23" s="452" t="s">
        <v>1022</v>
      </c>
      <c r="I23" s="5" t="s">
        <v>1089</v>
      </c>
      <c r="T23" s="282" t="s">
        <v>289</v>
      </c>
      <c r="U23" s="282" t="s">
        <v>1043</v>
      </c>
      <c r="V23" s="281" t="s">
        <v>1044</v>
      </c>
    </row>
    <row r="24" spans="1:22">
      <c r="A24" s="453" t="s">
        <v>598</v>
      </c>
      <c r="B24" s="452" t="s">
        <v>1092</v>
      </c>
      <c r="C24" s="452" t="s">
        <v>1093</v>
      </c>
      <c r="D24" s="451">
        <v>12</v>
      </c>
      <c r="E24" s="452" t="s">
        <v>1094</v>
      </c>
      <c r="F24" s="454" t="s">
        <v>1033</v>
      </c>
      <c r="G24" s="454" t="s">
        <v>1080</v>
      </c>
      <c r="H24" s="452" t="s">
        <v>1022</v>
      </c>
      <c r="I24" s="5" t="s">
        <v>1089</v>
      </c>
      <c r="T24" s="282" t="s">
        <v>60</v>
      </c>
      <c r="U24" s="282" t="s">
        <v>1095</v>
      </c>
      <c r="V24" s="281" t="s">
        <v>1096</v>
      </c>
    </row>
    <row r="25" spans="1:22">
      <c r="A25" s="453" t="s">
        <v>489</v>
      </c>
      <c r="B25" s="452" t="s">
        <v>1097</v>
      </c>
      <c r="C25" s="452" t="s">
        <v>1098</v>
      </c>
      <c r="D25" s="451">
        <v>12</v>
      </c>
      <c r="E25" s="454" t="s">
        <v>289</v>
      </c>
      <c r="F25" s="454" t="s">
        <v>871</v>
      </c>
      <c r="G25" s="454" t="s">
        <v>840</v>
      </c>
      <c r="H25" s="452" t="s">
        <v>1022</v>
      </c>
      <c r="I25" s="5" t="s">
        <v>1044</v>
      </c>
      <c r="T25" s="281" t="s">
        <v>62</v>
      </c>
      <c r="U25" s="281" t="s">
        <v>1099</v>
      </c>
      <c r="V25" s="281" t="s">
        <v>1100</v>
      </c>
    </row>
    <row r="26" spans="1:22">
      <c r="A26" s="453" t="s">
        <v>454</v>
      </c>
      <c r="B26" s="452" t="s">
        <v>1101</v>
      </c>
      <c r="C26" s="452" t="s">
        <v>1102</v>
      </c>
      <c r="D26" s="451">
        <v>12.8</v>
      </c>
      <c r="E26" s="454" t="s">
        <v>70</v>
      </c>
      <c r="F26" s="454" t="s">
        <v>1033</v>
      </c>
      <c r="G26" s="454" t="s">
        <v>840</v>
      </c>
      <c r="H26" s="452" t="s">
        <v>1038</v>
      </c>
      <c r="I26" s="5" t="s">
        <v>1073</v>
      </c>
      <c r="T26" s="282" t="s">
        <v>66</v>
      </c>
      <c r="U26" s="282" t="s">
        <v>1103</v>
      </c>
      <c r="V26" s="281" t="s">
        <v>1104</v>
      </c>
    </row>
    <row r="27" spans="1:22">
      <c r="A27" s="453" t="s">
        <v>473</v>
      </c>
      <c r="B27" s="452" t="s">
        <v>1105</v>
      </c>
      <c r="C27" s="452" t="s">
        <v>1106</v>
      </c>
      <c r="D27" s="451">
        <v>20</v>
      </c>
      <c r="E27" s="454" t="s">
        <v>46</v>
      </c>
      <c r="F27" s="454" t="s">
        <v>1033</v>
      </c>
      <c r="G27" s="454" t="s">
        <v>840</v>
      </c>
      <c r="H27" s="452" t="s">
        <v>1022</v>
      </c>
      <c r="I27" s="5" t="s">
        <v>1030</v>
      </c>
      <c r="T27" s="281" t="s">
        <v>68</v>
      </c>
      <c r="U27" s="281" t="s">
        <v>1067</v>
      </c>
      <c r="V27" s="281" t="s">
        <v>1068</v>
      </c>
    </row>
    <row r="28" spans="1:22">
      <c r="A28" s="453" t="s">
        <v>457</v>
      </c>
      <c r="B28" s="452" t="s">
        <v>1107</v>
      </c>
      <c r="C28" s="452" t="s">
        <v>1108</v>
      </c>
      <c r="D28" s="451">
        <v>2.61</v>
      </c>
      <c r="E28" s="454" t="s">
        <v>44</v>
      </c>
      <c r="F28" s="454" t="s">
        <v>871</v>
      </c>
      <c r="G28" s="454" t="s">
        <v>840</v>
      </c>
      <c r="H28" s="452" t="s">
        <v>1038</v>
      </c>
      <c r="I28" s="5" t="s">
        <v>1049</v>
      </c>
      <c r="T28" s="281" t="s">
        <v>1109</v>
      </c>
      <c r="U28" s="281" t="s">
        <v>1110</v>
      </c>
      <c r="V28" s="281" t="s">
        <v>1111</v>
      </c>
    </row>
    <row r="29" spans="1:22">
      <c r="A29" s="453" t="s">
        <v>1112</v>
      </c>
      <c r="B29" s="452"/>
      <c r="C29" s="452"/>
      <c r="D29" s="451"/>
      <c r="E29" s="454"/>
      <c r="F29" s="454"/>
      <c r="G29" s="454"/>
      <c r="H29" s="452"/>
      <c r="I29" s="5"/>
      <c r="T29" s="282" t="s">
        <v>64</v>
      </c>
      <c r="U29" s="282" t="s">
        <v>1113</v>
      </c>
      <c r="V29" s="281" t="s">
        <v>1114</v>
      </c>
    </row>
    <row r="30" spans="1:22">
      <c r="A30" s="453" t="s">
        <v>1115</v>
      </c>
      <c r="B30" s="452"/>
      <c r="C30" s="452"/>
      <c r="D30" s="451"/>
      <c r="E30" s="454"/>
      <c r="F30" s="454"/>
      <c r="G30" s="454"/>
      <c r="H30" s="452"/>
      <c r="I30" s="5"/>
      <c r="T30" s="282" t="s">
        <v>136</v>
      </c>
      <c r="U30" s="282" t="s">
        <v>1116</v>
      </c>
      <c r="V30" s="281" t="s">
        <v>1081</v>
      </c>
    </row>
    <row r="31" spans="1:22">
      <c r="A31" s="453" t="s">
        <v>437</v>
      </c>
      <c r="B31" s="452" t="s">
        <v>1117</v>
      </c>
      <c r="C31" s="452" t="s">
        <v>1053</v>
      </c>
      <c r="D31" s="451">
        <v>10.5</v>
      </c>
      <c r="E31" s="454" t="s">
        <v>51</v>
      </c>
      <c r="F31" s="454" t="s">
        <v>1033</v>
      </c>
      <c r="G31" s="454" t="s">
        <v>1054</v>
      </c>
      <c r="H31" s="452" t="s">
        <v>1022</v>
      </c>
      <c r="I31" s="5" t="s">
        <v>1040</v>
      </c>
      <c r="T31" s="282" t="s">
        <v>82</v>
      </c>
      <c r="U31" s="282" t="s">
        <v>1099</v>
      </c>
      <c r="V31" s="281" t="s">
        <v>1100</v>
      </c>
    </row>
    <row r="32" spans="1:22">
      <c r="A32" s="453" t="s">
        <v>459</v>
      </c>
      <c r="B32" s="452" t="s">
        <v>1118</v>
      </c>
      <c r="C32" s="452" t="s">
        <v>1119</v>
      </c>
      <c r="D32" s="451">
        <v>10.15</v>
      </c>
      <c r="E32" s="454" t="s">
        <v>53</v>
      </c>
      <c r="F32" s="454" t="s">
        <v>871</v>
      </c>
      <c r="G32" s="454" t="s">
        <v>840</v>
      </c>
      <c r="H32" s="452" t="s">
        <v>1038</v>
      </c>
      <c r="I32" s="5" t="s">
        <v>1036</v>
      </c>
      <c r="T32" s="281" t="s">
        <v>91</v>
      </c>
      <c r="U32" s="281" t="s">
        <v>1063</v>
      </c>
      <c r="V32" s="281" t="s">
        <v>1034</v>
      </c>
    </row>
    <row r="33" spans="1:22">
      <c r="A33" s="453" t="s">
        <v>1120</v>
      </c>
      <c r="B33" s="452"/>
      <c r="C33" s="452"/>
      <c r="D33" s="451"/>
      <c r="E33" s="454"/>
      <c r="F33" s="454"/>
      <c r="G33" s="454"/>
      <c r="H33" s="452"/>
      <c r="I33" s="5"/>
      <c r="T33" s="282" t="s">
        <v>1121</v>
      </c>
      <c r="U33" s="282" t="s">
        <v>1082</v>
      </c>
      <c r="V33" s="281" t="s">
        <v>1083</v>
      </c>
    </row>
    <row r="34" spans="1:22">
      <c r="A34" s="453" t="s">
        <v>54</v>
      </c>
      <c r="B34" s="452" t="s">
        <v>1122</v>
      </c>
      <c r="C34" s="452" t="s">
        <v>1123</v>
      </c>
      <c r="D34" s="451">
        <v>15.5</v>
      </c>
      <c r="E34" s="454" t="s">
        <v>55</v>
      </c>
      <c r="F34" s="454" t="s">
        <v>1033</v>
      </c>
      <c r="G34" s="454" t="s">
        <v>840</v>
      </c>
      <c r="H34" s="452" t="s">
        <v>1038</v>
      </c>
      <c r="I34" s="5" t="s">
        <v>1083</v>
      </c>
      <c r="T34" s="282" t="s">
        <v>87</v>
      </c>
      <c r="U34" s="282" t="s">
        <v>1124</v>
      </c>
      <c r="V34" s="281" t="s">
        <v>1125</v>
      </c>
    </row>
    <row r="35" spans="1:22">
      <c r="A35" s="453" t="s">
        <v>510</v>
      </c>
      <c r="B35" s="452" t="s">
        <v>1126</v>
      </c>
      <c r="C35" s="452" t="s">
        <v>1127</v>
      </c>
      <c r="D35" s="451">
        <v>6</v>
      </c>
      <c r="E35" s="454" t="s">
        <v>58</v>
      </c>
      <c r="F35" s="454" t="s">
        <v>1033</v>
      </c>
      <c r="G35" s="454" t="s">
        <v>1054</v>
      </c>
      <c r="H35" s="452" t="s">
        <v>1022</v>
      </c>
      <c r="I35" s="5" t="s">
        <v>1040</v>
      </c>
      <c r="T35" s="282" t="s">
        <v>97</v>
      </c>
      <c r="U35" s="282" t="s">
        <v>1029</v>
      </c>
      <c r="V35" s="281" t="s">
        <v>1030</v>
      </c>
    </row>
    <row r="36" spans="1:22">
      <c r="A36" s="453" t="s">
        <v>558</v>
      </c>
      <c r="B36" s="452" t="s">
        <v>1128</v>
      </c>
      <c r="C36" s="452" t="s">
        <v>1127</v>
      </c>
      <c r="D36" s="451">
        <v>12</v>
      </c>
      <c r="E36" s="452" t="s">
        <v>173</v>
      </c>
      <c r="F36" s="454" t="s">
        <v>1033</v>
      </c>
      <c r="G36" s="454" t="s">
        <v>1054</v>
      </c>
      <c r="H36" s="452" t="s">
        <v>1022</v>
      </c>
      <c r="I36" s="5" t="s">
        <v>1089</v>
      </c>
      <c r="T36" s="281" t="s">
        <v>95</v>
      </c>
      <c r="U36" s="281" t="s">
        <v>1029</v>
      </c>
      <c r="V36" s="281" t="s">
        <v>1030</v>
      </c>
    </row>
    <row r="37" spans="1:22">
      <c r="A37" s="453" t="s">
        <v>1129</v>
      </c>
      <c r="B37" s="452" t="s">
        <v>1130</v>
      </c>
      <c r="C37" s="452"/>
      <c r="D37" s="451">
        <v>12</v>
      </c>
      <c r="E37" s="452" t="s">
        <v>332</v>
      </c>
      <c r="F37" s="454" t="s">
        <v>1033</v>
      </c>
      <c r="G37" s="454" t="s">
        <v>1131</v>
      </c>
      <c r="H37" s="452" t="s">
        <v>1022</v>
      </c>
      <c r="I37" s="5" t="s">
        <v>1025</v>
      </c>
      <c r="T37" s="282" t="s">
        <v>99</v>
      </c>
      <c r="U37" s="282" t="s">
        <v>1103</v>
      </c>
      <c r="V37" s="281" t="s">
        <v>1104</v>
      </c>
    </row>
    <row r="38" spans="1:22">
      <c r="A38" s="453" t="s">
        <v>1132</v>
      </c>
      <c r="B38" s="452" t="s">
        <v>1130</v>
      </c>
      <c r="C38" s="452"/>
      <c r="D38" s="451">
        <v>6</v>
      </c>
      <c r="E38" s="452" t="s">
        <v>334</v>
      </c>
      <c r="F38" s="454" t="s">
        <v>1033</v>
      </c>
      <c r="G38" s="454" t="s">
        <v>1131</v>
      </c>
      <c r="H38" s="452" t="s">
        <v>1022</v>
      </c>
      <c r="I38" s="5" t="s">
        <v>1025</v>
      </c>
      <c r="T38" s="281" t="s">
        <v>101</v>
      </c>
      <c r="U38" s="281" t="s">
        <v>1133</v>
      </c>
      <c r="V38" s="281" t="s">
        <v>1134</v>
      </c>
    </row>
    <row r="39" spans="1:22">
      <c r="A39" s="453" t="s">
        <v>563</v>
      </c>
      <c r="B39" s="452" t="s">
        <v>1135</v>
      </c>
      <c r="C39" s="452" t="s">
        <v>1136</v>
      </c>
      <c r="D39" s="451">
        <v>11.5</v>
      </c>
      <c r="E39" s="454" t="s">
        <v>60</v>
      </c>
      <c r="F39" s="454" t="s">
        <v>871</v>
      </c>
      <c r="G39" s="454" t="s">
        <v>840</v>
      </c>
      <c r="H39" s="452" t="s">
        <v>1022</v>
      </c>
      <c r="I39" s="5" t="s">
        <v>1096</v>
      </c>
      <c r="T39" s="282" t="s">
        <v>1137</v>
      </c>
      <c r="U39" s="282" t="s">
        <v>1082</v>
      </c>
      <c r="V39" s="281" t="s">
        <v>1083</v>
      </c>
    </row>
    <row r="40" spans="1:22">
      <c r="A40" s="453" t="s">
        <v>466</v>
      </c>
      <c r="B40" s="452" t="s">
        <v>1138</v>
      </c>
      <c r="C40" s="452" t="s">
        <v>1139</v>
      </c>
      <c r="D40" s="451">
        <v>0.68200000000000005</v>
      </c>
      <c r="E40" s="454" t="s">
        <v>62</v>
      </c>
      <c r="F40" s="454" t="s">
        <v>1140</v>
      </c>
      <c r="G40" s="454" t="s">
        <v>840</v>
      </c>
      <c r="H40" s="452" t="s">
        <v>1141</v>
      </c>
      <c r="I40" s="5" t="s">
        <v>1100</v>
      </c>
      <c r="T40" s="281" t="s">
        <v>103</v>
      </c>
      <c r="U40" s="281" t="s">
        <v>1142</v>
      </c>
      <c r="V40" s="281" t="s">
        <v>1143</v>
      </c>
    </row>
    <row r="41" spans="1:22">
      <c r="A41" s="453" t="s">
        <v>590</v>
      </c>
      <c r="B41" s="452" t="s">
        <v>1144</v>
      </c>
      <c r="C41" s="452" t="s">
        <v>1145</v>
      </c>
      <c r="D41" s="451">
        <v>12</v>
      </c>
      <c r="E41" s="452" t="s">
        <v>64</v>
      </c>
      <c r="F41" s="454" t="s">
        <v>1033</v>
      </c>
      <c r="G41" s="454" t="s">
        <v>840</v>
      </c>
      <c r="H41" s="452" t="s">
        <v>1022</v>
      </c>
      <c r="I41" s="5" t="s">
        <v>1114</v>
      </c>
      <c r="T41" s="281" t="s">
        <v>107</v>
      </c>
      <c r="U41" s="281" t="s">
        <v>1146</v>
      </c>
      <c r="V41" s="281" t="s">
        <v>1147</v>
      </c>
    </row>
    <row r="42" spans="1:22">
      <c r="A42" s="453" t="s">
        <v>485</v>
      </c>
      <c r="B42" s="452" t="s">
        <v>1148</v>
      </c>
      <c r="C42" s="452" t="s">
        <v>1149</v>
      </c>
      <c r="D42" s="451">
        <v>19.8</v>
      </c>
      <c r="E42" s="452" t="s">
        <v>66</v>
      </c>
      <c r="F42" s="454" t="s">
        <v>1033</v>
      </c>
      <c r="G42" s="454" t="s">
        <v>840</v>
      </c>
      <c r="H42" s="452" t="s">
        <v>1022</v>
      </c>
      <c r="I42" s="5" t="s">
        <v>1104</v>
      </c>
      <c r="T42" s="282" t="s">
        <v>191</v>
      </c>
      <c r="U42" s="282" t="s">
        <v>1124</v>
      </c>
      <c r="V42" s="281" t="s">
        <v>1125</v>
      </c>
    </row>
    <row r="43" spans="1:22">
      <c r="A43" s="453" t="s">
        <v>622</v>
      </c>
      <c r="B43" s="452" t="s">
        <v>1150</v>
      </c>
      <c r="C43" s="452" t="s">
        <v>1151</v>
      </c>
      <c r="D43" s="451">
        <v>11.5</v>
      </c>
      <c r="E43" s="454" t="s">
        <v>68</v>
      </c>
      <c r="F43" s="454" t="s">
        <v>871</v>
      </c>
      <c r="G43" s="454" t="s">
        <v>840</v>
      </c>
      <c r="H43" s="452" t="s">
        <v>1022</v>
      </c>
      <c r="I43" s="5" t="s">
        <v>1068</v>
      </c>
      <c r="T43" s="282" t="s">
        <v>1152</v>
      </c>
      <c r="U43" s="282" t="s">
        <v>1048</v>
      </c>
      <c r="V43" s="281" t="s">
        <v>1049</v>
      </c>
    </row>
    <row r="44" spans="1:22">
      <c r="A44" s="453" t="s">
        <v>471</v>
      </c>
      <c r="B44" s="452" t="s">
        <v>1153</v>
      </c>
      <c r="C44" s="452" t="s">
        <v>1154</v>
      </c>
      <c r="D44" s="451">
        <v>0.68200000000000005</v>
      </c>
      <c r="E44" s="454" t="s">
        <v>82</v>
      </c>
      <c r="F44" s="454" t="s">
        <v>1140</v>
      </c>
      <c r="G44" s="454" t="s">
        <v>840</v>
      </c>
      <c r="H44" s="452" t="s">
        <v>1141</v>
      </c>
      <c r="I44" s="5" t="s">
        <v>1100</v>
      </c>
      <c r="T44" s="282" t="s">
        <v>109</v>
      </c>
      <c r="U44" s="282" t="s">
        <v>1155</v>
      </c>
      <c r="V44" s="281" t="s">
        <v>1028</v>
      </c>
    </row>
    <row r="45" spans="1:22">
      <c r="A45" s="453" t="s">
        <v>83</v>
      </c>
      <c r="B45" s="452" t="s">
        <v>1156</v>
      </c>
      <c r="C45" s="452" t="s">
        <v>1157</v>
      </c>
      <c r="D45" s="451">
        <v>15.5</v>
      </c>
      <c r="E45" s="454" t="s">
        <v>84</v>
      </c>
      <c r="F45" s="454" t="s">
        <v>1033</v>
      </c>
      <c r="G45" s="454" t="s">
        <v>840</v>
      </c>
      <c r="H45" s="452" t="s">
        <v>1038</v>
      </c>
      <c r="I45" s="5" t="s">
        <v>1083</v>
      </c>
      <c r="T45" s="282" t="s">
        <v>93</v>
      </c>
      <c r="U45" s="282" t="s">
        <v>1158</v>
      </c>
      <c r="V45" s="281" t="s">
        <v>1159</v>
      </c>
    </row>
    <row r="46" spans="1:22">
      <c r="A46" s="453" t="s">
        <v>472</v>
      </c>
      <c r="B46" s="452" t="s">
        <v>1160</v>
      </c>
      <c r="C46" s="452" t="s">
        <v>1161</v>
      </c>
      <c r="D46" s="451">
        <v>4.4000000000000004</v>
      </c>
      <c r="E46" s="454" t="s">
        <v>1121</v>
      </c>
      <c r="F46" s="454" t="s">
        <v>1033</v>
      </c>
      <c r="G46" s="454" t="s">
        <v>840</v>
      </c>
      <c r="H46" s="452" t="s">
        <v>1038</v>
      </c>
      <c r="I46" s="5" t="s">
        <v>1083</v>
      </c>
      <c r="T46" s="281" t="s">
        <v>113</v>
      </c>
      <c r="U46" s="281" t="s">
        <v>1082</v>
      </c>
      <c r="V46" s="281" t="s">
        <v>1083</v>
      </c>
    </row>
    <row r="47" spans="1:22">
      <c r="A47" s="453" t="s">
        <v>538</v>
      </c>
      <c r="B47" s="452" t="s">
        <v>1162</v>
      </c>
      <c r="C47" s="452" t="s">
        <v>1163</v>
      </c>
      <c r="D47" s="451">
        <v>21.700000000000003</v>
      </c>
      <c r="E47" s="454" t="s">
        <v>89</v>
      </c>
      <c r="F47" s="454" t="s">
        <v>1033</v>
      </c>
      <c r="G47" s="454" t="s">
        <v>840</v>
      </c>
      <c r="H47" s="452" t="s">
        <v>1022</v>
      </c>
      <c r="I47" s="5" t="s">
        <v>1114</v>
      </c>
      <c r="T47" s="282" t="s">
        <v>115</v>
      </c>
      <c r="U47" s="282" t="s">
        <v>1082</v>
      </c>
      <c r="V47" s="281" t="s">
        <v>1083</v>
      </c>
    </row>
    <row r="48" spans="1:22">
      <c r="A48" s="453" t="s">
        <v>524</v>
      </c>
      <c r="B48" s="452" t="s">
        <v>1164</v>
      </c>
      <c r="C48" s="452" t="s">
        <v>1165</v>
      </c>
      <c r="D48" s="451">
        <v>72</v>
      </c>
      <c r="E48" s="454" t="s">
        <v>87</v>
      </c>
      <c r="F48" s="454" t="s">
        <v>1033</v>
      </c>
      <c r="G48" s="454" t="s">
        <v>840</v>
      </c>
      <c r="H48" s="452" t="s">
        <v>1022</v>
      </c>
      <c r="I48" s="5" t="s">
        <v>1125</v>
      </c>
      <c r="T48" s="281" t="s">
        <v>117</v>
      </c>
      <c r="U48" s="281" t="s">
        <v>1082</v>
      </c>
      <c r="V48" s="281" t="s">
        <v>1083</v>
      </c>
    </row>
    <row r="49" spans="1:22">
      <c r="A49" s="453" t="s">
        <v>1166</v>
      </c>
      <c r="B49" s="452"/>
      <c r="C49" s="452"/>
      <c r="D49" s="451"/>
      <c r="E49" s="454"/>
      <c r="F49" s="454"/>
      <c r="G49" s="454"/>
      <c r="H49" s="452"/>
      <c r="I49" s="5"/>
      <c r="T49" s="282" t="s">
        <v>119</v>
      </c>
      <c r="U49" s="282" t="s">
        <v>1103</v>
      </c>
      <c r="V49" s="281" t="s">
        <v>1104</v>
      </c>
    </row>
    <row r="50" spans="1:22">
      <c r="A50" s="453" t="s">
        <v>92</v>
      </c>
      <c r="B50" s="452" t="s">
        <v>1167</v>
      </c>
      <c r="C50" s="452" t="s">
        <v>1168</v>
      </c>
      <c r="D50" s="451">
        <v>18</v>
      </c>
      <c r="E50" s="454" t="s">
        <v>93</v>
      </c>
      <c r="F50" s="454" t="s">
        <v>1033</v>
      </c>
      <c r="G50" s="454" t="s">
        <v>1047</v>
      </c>
      <c r="H50" s="452" t="s">
        <v>1022</v>
      </c>
      <c r="I50" s="5" t="s">
        <v>1159</v>
      </c>
      <c r="T50" s="282" t="s">
        <v>84</v>
      </c>
      <c r="U50" s="282" t="s">
        <v>1082</v>
      </c>
      <c r="V50" s="281" t="s">
        <v>1083</v>
      </c>
    </row>
    <row r="51" spans="1:22">
      <c r="A51" s="453" t="s">
        <v>476</v>
      </c>
      <c r="B51" s="452" t="s">
        <v>1169</v>
      </c>
      <c r="C51" s="452" t="s">
        <v>1170</v>
      </c>
      <c r="D51" s="451">
        <v>5.5</v>
      </c>
      <c r="E51" s="454" t="s">
        <v>1171</v>
      </c>
      <c r="F51" s="454" t="s">
        <v>1033</v>
      </c>
      <c r="G51" s="454" t="s">
        <v>840</v>
      </c>
      <c r="H51" s="452" t="s">
        <v>1038</v>
      </c>
      <c r="I51" s="5" t="s">
        <v>1049</v>
      </c>
      <c r="T51" s="281" t="s">
        <v>123</v>
      </c>
      <c r="U51" s="281" t="s">
        <v>1172</v>
      </c>
      <c r="V51" s="281" t="s">
        <v>1173</v>
      </c>
    </row>
    <row r="52" spans="1:22">
      <c r="A52" s="453" t="s">
        <v>570</v>
      </c>
      <c r="B52" s="452" t="s">
        <v>1174</v>
      </c>
      <c r="C52" s="452" t="s">
        <v>1175</v>
      </c>
      <c r="D52" s="451">
        <v>10.02</v>
      </c>
      <c r="E52" s="454" t="s">
        <v>95</v>
      </c>
      <c r="F52" s="454" t="s">
        <v>1033</v>
      </c>
      <c r="G52" s="454" t="s">
        <v>840</v>
      </c>
      <c r="H52" s="452" t="s">
        <v>1022</v>
      </c>
      <c r="I52" s="5" t="s">
        <v>1030</v>
      </c>
      <c r="T52" s="281" t="s">
        <v>1176</v>
      </c>
      <c r="U52" s="281" t="s">
        <v>1067</v>
      </c>
      <c r="V52" s="281" t="s">
        <v>1068</v>
      </c>
    </row>
    <row r="53" spans="1:22">
      <c r="A53" s="453" t="s">
        <v>567</v>
      </c>
      <c r="B53" s="452" t="s">
        <v>1177</v>
      </c>
      <c r="C53" s="452" t="s">
        <v>1175</v>
      </c>
      <c r="D53" s="451">
        <v>4</v>
      </c>
      <c r="E53" s="454" t="s">
        <v>97</v>
      </c>
      <c r="F53" s="454" t="s">
        <v>1033</v>
      </c>
      <c r="G53" s="454" t="s">
        <v>840</v>
      </c>
      <c r="H53" s="452" t="s">
        <v>1022</v>
      </c>
      <c r="I53" s="5" t="s">
        <v>1030</v>
      </c>
      <c r="T53" s="281" t="s">
        <v>125</v>
      </c>
      <c r="U53" s="281" t="s">
        <v>1158</v>
      </c>
      <c r="V53" s="281" t="s">
        <v>1159</v>
      </c>
    </row>
    <row r="54" spans="1:22">
      <c r="A54" s="453" t="s">
        <v>552</v>
      </c>
      <c r="B54" s="452" t="s">
        <v>1178</v>
      </c>
      <c r="C54" s="452" t="s">
        <v>1179</v>
      </c>
      <c r="D54" s="451">
        <v>15</v>
      </c>
      <c r="E54" s="454" t="s">
        <v>99</v>
      </c>
      <c r="F54" s="454" t="s">
        <v>1033</v>
      </c>
      <c r="G54" s="454" t="s">
        <v>1047</v>
      </c>
      <c r="H54" s="452" t="s">
        <v>1022</v>
      </c>
      <c r="I54" s="5" t="s">
        <v>1104</v>
      </c>
      <c r="T54" s="281" t="s">
        <v>265</v>
      </c>
      <c r="U54" s="281" t="s">
        <v>1048</v>
      </c>
      <c r="V54" s="281" t="s">
        <v>1049</v>
      </c>
    </row>
    <row r="55" spans="1:22">
      <c r="A55" s="453" t="s">
        <v>468</v>
      </c>
      <c r="B55" s="452" t="s">
        <v>1180</v>
      </c>
      <c r="C55" s="452" t="s">
        <v>1021</v>
      </c>
      <c r="D55" s="451">
        <v>3.3</v>
      </c>
      <c r="E55" s="454" t="s">
        <v>101</v>
      </c>
      <c r="F55" s="454" t="s">
        <v>1033</v>
      </c>
      <c r="G55" s="454" t="s">
        <v>840</v>
      </c>
      <c r="H55" s="452" t="s">
        <v>1022</v>
      </c>
      <c r="I55" s="5" t="s">
        <v>1134</v>
      </c>
      <c r="T55" s="282" t="s">
        <v>350</v>
      </c>
      <c r="U55" s="282" t="s">
        <v>1067</v>
      </c>
      <c r="V55" s="281" t="s">
        <v>1068</v>
      </c>
    </row>
    <row r="56" spans="1:22">
      <c r="A56" s="453" t="s">
        <v>481</v>
      </c>
      <c r="B56" s="452" t="s">
        <v>1181</v>
      </c>
      <c r="C56" s="452" t="s">
        <v>1182</v>
      </c>
      <c r="D56" s="451">
        <v>5</v>
      </c>
      <c r="E56" s="454" t="s">
        <v>1137</v>
      </c>
      <c r="F56" s="454" t="s">
        <v>1033</v>
      </c>
      <c r="G56" s="454" t="s">
        <v>840</v>
      </c>
      <c r="H56" s="452" t="s">
        <v>1038</v>
      </c>
      <c r="I56" s="5" t="s">
        <v>1083</v>
      </c>
      <c r="T56" s="282" t="s">
        <v>127</v>
      </c>
      <c r="U56" s="282" t="s">
        <v>1133</v>
      </c>
      <c r="V56" s="281" t="s">
        <v>1134</v>
      </c>
    </row>
    <row r="57" spans="1:22">
      <c r="A57" s="453" t="s">
        <v>544</v>
      </c>
      <c r="B57" s="452" t="s">
        <v>1183</v>
      </c>
      <c r="C57" s="452" t="s">
        <v>1184</v>
      </c>
      <c r="D57" s="451">
        <v>9.1999999999999993</v>
      </c>
      <c r="E57" s="452" t="s">
        <v>103</v>
      </c>
      <c r="F57" s="454" t="s">
        <v>871</v>
      </c>
      <c r="G57" s="454" t="s">
        <v>1047</v>
      </c>
      <c r="H57" s="452" t="s">
        <v>1022</v>
      </c>
      <c r="I57" s="5" t="s">
        <v>1143</v>
      </c>
      <c r="T57" s="282" t="s">
        <v>129</v>
      </c>
      <c r="U57" s="282" t="s">
        <v>1035</v>
      </c>
      <c r="V57" s="281" t="s">
        <v>1036</v>
      </c>
    </row>
    <row r="58" spans="1:22">
      <c r="A58" s="453" t="s">
        <v>580</v>
      </c>
      <c r="B58" s="454" t="s">
        <v>1185</v>
      </c>
      <c r="C58" s="452" t="s">
        <v>1186</v>
      </c>
      <c r="D58" s="451">
        <v>12</v>
      </c>
      <c r="E58" s="454" t="s">
        <v>105</v>
      </c>
      <c r="F58" s="454" t="s">
        <v>871</v>
      </c>
      <c r="G58" s="454" t="s">
        <v>840</v>
      </c>
      <c r="H58" s="452" t="s">
        <v>1022</v>
      </c>
      <c r="I58" s="5" t="s">
        <v>1023</v>
      </c>
      <c r="T58" s="282" t="s">
        <v>132</v>
      </c>
      <c r="U58" s="282" t="s">
        <v>1124</v>
      </c>
      <c r="V58" s="281" t="s">
        <v>1125</v>
      </c>
    </row>
    <row r="59" spans="1:22">
      <c r="A59" s="453" t="s">
        <v>106</v>
      </c>
      <c r="B59" s="452" t="s">
        <v>1187</v>
      </c>
      <c r="C59" s="452" t="s">
        <v>1188</v>
      </c>
      <c r="D59" s="451">
        <v>6</v>
      </c>
      <c r="E59" s="454" t="s">
        <v>107</v>
      </c>
      <c r="F59" s="454" t="s">
        <v>871</v>
      </c>
      <c r="G59" s="454" t="s">
        <v>1047</v>
      </c>
      <c r="H59" s="452" t="s">
        <v>1022</v>
      </c>
      <c r="I59" s="5" t="s">
        <v>1147</v>
      </c>
      <c r="T59" s="281" t="s">
        <v>134</v>
      </c>
      <c r="U59" s="281" t="s">
        <v>1142</v>
      </c>
      <c r="V59" s="281" t="s">
        <v>1143</v>
      </c>
    </row>
    <row r="60" spans="1:22">
      <c r="A60" s="453" t="s">
        <v>1189</v>
      </c>
      <c r="B60" s="452"/>
      <c r="C60" s="452"/>
      <c r="D60" s="451"/>
      <c r="E60" s="454"/>
      <c r="F60" s="454"/>
      <c r="G60" s="454"/>
      <c r="H60" s="452"/>
      <c r="I60" s="5"/>
      <c r="T60" s="281" t="s">
        <v>138</v>
      </c>
      <c r="U60" s="281" t="s">
        <v>1103</v>
      </c>
      <c r="V60" s="281" t="s">
        <v>1104</v>
      </c>
    </row>
    <row r="61" spans="1:22">
      <c r="A61" s="453" t="s">
        <v>443</v>
      </c>
      <c r="B61" s="452" t="s">
        <v>1190</v>
      </c>
      <c r="C61" s="452" t="s">
        <v>1191</v>
      </c>
      <c r="D61" s="451">
        <v>12</v>
      </c>
      <c r="E61" s="454" t="s">
        <v>169</v>
      </c>
      <c r="F61" s="454" t="s">
        <v>1033</v>
      </c>
      <c r="G61" s="454" t="s">
        <v>840</v>
      </c>
      <c r="H61" s="452" t="s">
        <v>1022</v>
      </c>
      <c r="I61" s="5" t="s">
        <v>1030</v>
      </c>
      <c r="T61" s="281" t="s">
        <v>140</v>
      </c>
      <c r="U61" s="281" t="s">
        <v>1048</v>
      </c>
      <c r="V61" s="281" t="s">
        <v>1049</v>
      </c>
    </row>
    <row r="62" spans="1:22">
      <c r="A62" s="453" t="s">
        <v>1192</v>
      </c>
      <c r="B62" s="452"/>
      <c r="C62" s="452"/>
      <c r="D62" s="451"/>
      <c r="E62" s="454"/>
      <c r="F62" s="454"/>
      <c r="G62" s="454"/>
      <c r="H62" s="452"/>
      <c r="I62" s="5"/>
      <c r="T62" s="282" t="s">
        <v>1193</v>
      </c>
      <c r="U62" s="282" t="s">
        <v>1067</v>
      </c>
      <c r="V62" s="281" t="s">
        <v>1068</v>
      </c>
    </row>
    <row r="63" spans="1:22">
      <c r="A63" s="453" t="s">
        <v>620</v>
      </c>
      <c r="B63" s="452" t="s">
        <v>1194</v>
      </c>
      <c r="C63" s="452" t="s">
        <v>1053</v>
      </c>
      <c r="D63" s="451">
        <v>12</v>
      </c>
      <c r="E63" s="454" t="s">
        <v>109</v>
      </c>
      <c r="F63" s="454" t="s">
        <v>1033</v>
      </c>
      <c r="G63" s="454" t="s">
        <v>1054</v>
      </c>
      <c r="H63" s="452" t="s">
        <v>1022</v>
      </c>
      <c r="I63" s="5" t="s">
        <v>1028</v>
      </c>
      <c r="T63" s="281" t="s">
        <v>144</v>
      </c>
      <c r="U63" s="281" t="s">
        <v>1095</v>
      </c>
      <c r="V63" s="281" t="s">
        <v>1096</v>
      </c>
    </row>
    <row r="64" spans="1:22">
      <c r="A64" s="453" t="s">
        <v>486</v>
      </c>
      <c r="B64" s="452" t="s">
        <v>1195</v>
      </c>
      <c r="C64" s="452" t="s">
        <v>1170</v>
      </c>
      <c r="D64" s="451">
        <v>10.8</v>
      </c>
      <c r="E64" s="454" t="s">
        <v>1196</v>
      </c>
      <c r="F64" s="454" t="s">
        <v>871</v>
      </c>
      <c r="G64" s="454" t="s">
        <v>840</v>
      </c>
      <c r="H64" s="452" t="s">
        <v>1038</v>
      </c>
      <c r="I64" s="5" t="s">
        <v>1073</v>
      </c>
      <c r="T64" s="282" t="s">
        <v>146</v>
      </c>
      <c r="U64" s="282" t="s">
        <v>1035</v>
      </c>
      <c r="V64" s="281" t="s">
        <v>1036</v>
      </c>
    </row>
    <row r="65" spans="1:22">
      <c r="A65" s="453" t="s">
        <v>487</v>
      </c>
      <c r="B65" s="452" t="s">
        <v>1197</v>
      </c>
      <c r="C65" s="452" t="s">
        <v>1198</v>
      </c>
      <c r="D65" s="451">
        <v>36</v>
      </c>
      <c r="E65" s="452" t="s">
        <v>1199</v>
      </c>
      <c r="F65" s="454" t="s">
        <v>1033</v>
      </c>
      <c r="G65" s="454" t="s">
        <v>840</v>
      </c>
      <c r="H65" s="452" t="s">
        <v>1038</v>
      </c>
      <c r="I65" s="5" t="s">
        <v>1083</v>
      </c>
      <c r="T65" s="281" t="s">
        <v>148</v>
      </c>
      <c r="U65" s="281" t="s">
        <v>1035</v>
      </c>
      <c r="V65" s="281" t="s">
        <v>1036</v>
      </c>
    </row>
    <row r="66" spans="1:22">
      <c r="A66" s="453" t="s">
        <v>118</v>
      </c>
      <c r="B66" s="452" t="s">
        <v>1200</v>
      </c>
      <c r="C66" s="452" t="s">
        <v>1201</v>
      </c>
      <c r="D66" s="451">
        <v>19.8</v>
      </c>
      <c r="E66" s="454" t="s">
        <v>119</v>
      </c>
      <c r="F66" s="454" t="s">
        <v>1033</v>
      </c>
      <c r="G66" s="454" t="s">
        <v>1047</v>
      </c>
      <c r="H66" s="452" t="s">
        <v>1022</v>
      </c>
      <c r="I66" s="5" t="s">
        <v>1104</v>
      </c>
      <c r="T66" s="282" t="s">
        <v>150</v>
      </c>
      <c r="U66" s="282" t="s">
        <v>1035</v>
      </c>
      <c r="V66" s="281" t="s">
        <v>1036</v>
      </c>
    </row>
    <row r="67" spans="1:22">
      <c r="A67" s="453" t="s">
        <v>636</v>
      </c>
      <c r="B67" s="452" t="s">
        <v>1202</v>
      </c>
      <c r="C67" s="452" t="s">
        <v>1203</v>
      </c>
      <c r="D67" s="451">
        <v>2.2000000000000002</v>
      </c>
      <c r="E67" s="454" t="s">
        <v>636</v>
      </c>
      <c r="F67" s="454" t="s">
        <v>871</v>
      </c>
      <c r="G67" s="454" t="s">
        <v>840</v>
      </c>
      <c r="H67" s="452" t="s">
        <v>1038</v>
      </c>
      <c r="I67" s="5" t="e">
        <v>#N/A</v>
      </c>
      <c r="T67" s="281" t="s">
        <v>152</v>
      </c>
      <c r="U67" s="281" t="s">
        <v>1035</v>
      </c>
      <c r="V67" s="281" t="s">
        <v>1036</v>
      </c>
    </row>
    <row r="68" spans="1:22">
      <c r="A68" s="453" t="s">
        <v>541</v>
      </c>
      <c r="B68" s="452" t="s">
        <v>1204</v>
      </c>
      <c r="C68" s="452" t="s">
        <v>1205</v>
      </c>
      <c r="D68" s="451">
        <v>96</v>
      </c>
      <c r="E68" s="454" t="s">
        <v>121</v>
      </c>
      <c r="F68" s="454" t="s">
        <v>871</v>
      </c>
      <c r="G68" s="454" t="s">
        <v>840</v>
      </c>
      <c r="H68" s="452" t="s">
        <v>1022</v>
      </c>
      <c r="I68" s="5" t="s">
        <v>1206</v>
      </c>
      <c r="T68" s="282" t="s">
        <v>156</v>
      </c>
      <c r="U68" s="282" t="s">
        <v>1039</v>
      </c>
      <c r="V68" s="281" t="s">
        <v>1040</v>
      </c>
    </row>
    <row r="69" spans="1:22">
      <c r="A69" s="453" t="s">
        <v>491</v>
      </c>
      <c r="B69" s="452" t="s">
        <v>1207</v>
      </c>
      <c r="C69" s="452" t="s">
        <v>1208</v>
      </c>
      <c r="D69" s="451">
        <v>3.1</v>
      </c>
      <c r="E69" s="454" t="s">
        <v>1209</v>
      </c>
      <c r="F69" s="454" t="s">
        <v>1033</v>
      </c>
      <c r="G69" s="454" t="s">
        <v>840</v>
      </c>
      <c r="H69" s="452" t="s">
        <v>1038</v>
      </c>
      <c r="I69" s="5" t="s">
        <v>1083</v>
      </c>
      <c r="T69" s="281" t="s">
        <v>158</v>
      </c>
      <c r="U69" s="281" t="s">
        <v>1039</v>
      </c>
      <c r="V69" s="281" t="s">
        <v>1040</v>
      </c>
    </row>
    <row r="70" spans="1:22">
      <c r="A70" s="456" t="s">
        <v>506</v>
      </c>
      <c r="B70" s="452" t="s">
        <v>1210</v>
      </c>
      <c r="C70" s="452" t="s">
        <v>1053</v>
      </c>
      <c r="D70" s="451">
        <v>11.5</v>
      </c>
      <c r="E70" s="454" t="s">
        <v>123</v>
      </c>
      <c r="F70" s="454" t="s">
        <v>1033</v>
      </c>
      <c r="G70" s="454" t="s">
        <v>1054</v>
      </c>
      <c r="H70" s="452" t="s">
        <v>1022</v>
      </c>
      <c r="I70" s="5" t="s">
        <v>1173</v>
      </c>
      <c r="T70" s="281" t="s">
        <v>162</v>
      </c>
      <c r="U70" s="281" t="s">
        <v>1048</v>
      </c>
      <c r="V70" s="281" t="s">
        <v>1049</v>
      </c>
    </row>
    <row r="71" spans="1:22">
      <c r="A71" s="453" t="s">
        <v>526</v>
      </c>
      <c r="B71" s="452" t="s">
        <v>1211</v>
      </c>
      <c r="C71" s="452" t="s">
        <v>1212</v>
      </c>
      <c r="D71" s="451">
        <v>17</v>
      </c>
      <c r="E71" s="454" t="s">
        <v>125</v>
      </c>
      <c r="F71" s="454" t="s">
        <v>1033</v>
      </c>
      <c r="G71" s="454" t="s">
        <v>1047</v>
      </c>
      <c r="H71" s="452" t="s">
        <v>1022</v>
      </c>
      <c r="I71" s="5" t="s">
        <v>1159</v>
      </c>
      <c r="T71" s="281" t="s">
        <v>89</v>
      </c>
      <c r="U71" s="281" t="s">
        <v>1113</v>
      </c>
      <c r="V71" s="281" t="s">
        <v>1114</v>
      </c>
    </row>
    <row r="72" spans="1:22">
      <c r="A72" s="453" t="s">
        <v>493</v>
      </c>
      <c r="B72" s="452" t="s">
        <v>1213</v>
      </c>
      <c r="C72" s="452" t="s">
        <v>1051</v>
      </c>
      <c r="D72" s="451">
        <v>10.4</v>
      </c>
      <c r="E72" s="454" t="s">
        <v>265</v>
      </c>
      <c r="F72" s="454" t="s">
        <v>871</v>
      </c>
      <c r="G72" s="454" t="s">
        <v>840</v>
      </c>
      <c r="H72" s="452" t="s">
        <v>1038</v>
      </c>
      <c r="I72" s="5" t="s">
        <v>1049</v>
      </c>
      <c r="T72" s="282" t="s">
        <v>163</v>
      </c>
      <c r="U72" s="282" t="s">
        <v>1172</v>
      </c>
      <c r="V72" s="281" t="s">
        <v>1173</v>
      </c>
    </row>
    <row r="73" spans="1:22">
      <c r="A73" s="453" t="s">
        <v>1214</v>
      </c>
      <c r="B73" s="452"/>
      <c r="C73" s="452"/>
      <c r="D73" s="451"/>
      <c r="E73" s="454"/>
      <c r="F73" s="454"/>
      <c r="G73" s="454"/>
      <c r="H73" s="452"/>
      <c r="I73" s="5"/>
      <c r="T73" s="282" t="s">
        <v>165</v>
      </c>
      <c r="U73" s="282" t="s">
        <v>1158</v>
      </c>
      <c r="V73" s="281" t="s">
        <v>1159</v>
      </c>
    </row>
    <row r="74" spans="1:22">
      <c r="A74" s="453" t="s">
        <v>616</v>
      </c>
      <c r="B74" s="452" t="s">
        <v>1215</v>
      </c>
      <c r="C74" s="452" t="s">
        <v>1216</v>
      </c>
      <c r="D74" s="451">
        <v>4.5</v>
      </c>
      <c r="E74" s="454" t="s">
        <v>127</v>
      </c>
      <c r="F74" s="454" t="s">
        <v>1033</v>
      </c>
      <c r="G74" s="454" t="s">
        <v>840</v>
      </c>
      <c r="H74" s="452" t="s">
        <v>1022</v>
      </c>
      <c r="I74" s="5" t="s">
        <v>1134</v>
      </c>
      <c r="T74" s="282" t="s">
        <v>175</v>
      </c>
      <c r="U74" s="282" t="s">
        <v>1116</v>
      </c>
      <c r="V74" s="281" t="s">
        <v>1081</v>
      </c>
    </row>
    <row r="75" spans="1:22">
      <c r="A75" s="453" t="s">
        <v>131</v>
      </c>
      <c r="B75" s="452" t="s">
        <v>1217</v>
      </c>
      <c r="C75" s="452" t="s">
        <v>1161</v>
      </c>
      <c r="D75" s="451">
        <v>5</v>
      </c>
      <c r="E75" s="454" t="s">
        <v>129</v>
      </c>
      <c r="F75" s="454" t="s">
        <v>871</v>
      </c>
      <c r="G75" s="454" t="s">
        <v>840</v>
      </c>
      <c r="H75" s="452" t="s">
        <v>1038</v>
      </c>
      <c r="I75" s="5" t="s">
        <v>1036</v>
      </c>
      <c r="T75" s="281" t="s">
        <v>167</v>
      </c>
      <c r="U75" s="281" t="s">
        <v>1103</v>
      </c>
      <c r="V75" s="281" t="s">
        <v>1104</v>
      </c>
    </row>
    <row r="76" spans="1:22">
      <c r="A76" s="453" t="s">
        <v>586</v>
      </c>
      <c r="B76" s="452" t="s">
        <v>1218</v>
      </c>
      <c r="C76" s="452" t="s">
        <v>1219</v>
      </c>
      <c r="D76" s="451">
        <v>11.5</v>
      </c>
      <c r="E76" s="454" t="s">
        <v>132</v>
      </c>
      <c r="F76" s="454" t="s">
        <v>1033</v>
      </c>
      <c r="G76" s="454" t="s">
        <v>840</v>
      </c>
      <c r="H76" s="452" t="s">
        <v>1022</v>
      </c>
      <c r="I76" s="5" t="s">
        <v>1125</v>
      </c>
      <c r="T76" s="282" t="s">
        <v>177</v>
      </c>
      <c r="U76" s="282" t="s">
        <v>1220</v>
      </c>
      <c r="V76" s="281" t="s">
        <v>1221</v>
      </c>
    </row>
    <row r="77" spans="1:22">
      <c r="A77" s="453" t="s">
        <v>484</v>
      </c>
      <c r="B77" s="452" t="s">
        <v>1222</v>
      </c>
      <c r="C77" s="452" t="s">
        <v>1223</v>
      </c>
      <c r="D77" s="451">
        <v>11.7</v>
      </c>
      <c r="E77" s="454" t="s">
        <v>134</v>
      </c>
      <c r="F77" s="454" t="s">
        <v>871</v>
      </c>
      <c r="G77" s="454" t="s">
        <v>1054</v>
      </c>
      <c r="H77" s="452" t="s">
        <v>1022</v>
      </c>
      <c r="I77" s="5" t="s">
        <v>1143</v>
      </c>
      <c r="T77" s="282" t="s">
        <v>1224</v>
      </c>
      <c r="U77" s="282" t="s">
        <v>1110</v>
      </c>
      <c r="V77" s="281" t="s">
        <v>1111</v>
      </c>
    </row>
    <row r="78" spans="1:22">
      <c r="A78" s="453" t="s">
        <v>496</v>
      </c>
      <c r="B78" s="452" t="s">
        <v>1225</v>
      </c>
      <c r="C78" s="452" t="s">
        <v>1226</v>
      </c>
      <c r="D78" s="451">
        <v>10</v>
      </c>
      <c r="E78" s="454" t="s">
        <v>136</v>
      </c>
      <c r="F78" s="454" t="s">
        <v>1033</v>
      </c>
      <c r="G78" s="454" t="s">
        <v>1047</v>
      </c>
      <c r="H78" s="452" t="s">
        <v>1022</v>
      </c>
      <c r="I78" s="5" t="s">
        <v>1081</v>
      </c>
      <c r="T78" s="282" t="s">
        <v>169</v>
      </c>
      <c r="U78" s="282" t="s">
        <v>1029</v>
      </c>
      <c r="V78" s="281" t="s">
        <v>1030</v>
      </c>
    </row>
    <row r="79" spans="1:22">
      <c r="A79" s="453" t="s">
        <v>507</v>
      </c>
      <c r="B79" s="452" t="s">
        <v>1227</v>
      </c>
      <c r="C79" s="452" t="s">
        <v>1228</v>
      </c>
      <c r="D79" s="451">
        <v>13.2</v>
      </c>
      <c r="E79" s="454" t="s">
        <v>138</v>
      </c>
      <c r="F79" s="454" t="s">
        <v>1033</v>
      </c>
      <c r="G79" s="454" t="s">
        <v>840</v>
      </c>
      <c r="H79" s="452" t="s">
        <v>1022</v>
      </c>
      <c r="I79" s="5" t="s">
        <v>1104</v>
      </c>
      <c r="T79" s="281" t="s">
        <v>259</v>
      </c>
      <c r="U79" s="281" t="s">
        <v>1229</v>
      </c>
      <c r="V79" s="281" t="s">
        <v>1206</v>
      </c>
    </row>
    <row r="80" spans="1:22">
      <c r="A80" s="453" t="s">
        <v>498</v>
      </c>
      <c r="B80" s="452" t="s">
        <v>1230</v>
      </c>
      <c r="C80" s="452" t="s">
        <v>1231</v>
      </c>
      <c r="D80" s="451">
        <v>11.9</v>
      </c>
      <c r="E80" s="454" t="s">
        <v>140</v>
      </c>
      <c r="F80" s="454" t="s">
        <v>871</v>
      </c>
      <c r="G80" s="454" t="s">
        <v>840</v>
      </c>
      <c r="H80" s="452" t="s">
        <v>1038</v>
      </c>
      <c r="I80" s="5" t="s">
        <v>1049</v>
      </c>
      <c r="T80" s="281" t="s">
        <v>171</v>
      </c>
      <c r="U80" s="281" t="s">
        <v>1043</v>
      </c>
      <c r="V80" s="281" t="s">
        <v>1044</v>
      </c>
    </row>
    <row r="81" spans="1:22">
      <c r="A81" s="453" t="s">
        <v>515</v>
      </c>
      <c r="B81" s="452" t="s">
        <v>1232</v>
      </c>
      <c r="C81" s="452" t="s">
        <v>1233</v>
      </c>
      <c r="D81" s="451">
        <v>10</v>
      </c>
      <c r="E81" s="452" t="s">
        <v>144</v>
      </c>
      <c r="F81" s="454" t="s">
        <v>871</v>
      </c>
      <c r="G81" s="454" t="s">
        <v>840</v>
      </c>
      <c r="H81" s="452" t="s">
        <v>1022</v>
      </c>
      <c r="I81" s="5" t="s">
        <v>1096</v>
      </c>
      <c r="T81" s="282" t="s">
        <v>217</v>
      </c>
      <c r="U81" s="282" t="s">
        <v>1043</v>
      </c>
      <c r="V81" s="281" t="s">
        <v>1044</v>
      </c>
    </row>
    <row r="82" spans="1:22">
      <c r="A82" s="453" t="s">
        <v>500</v>
      </c>
      <c r="B82" s="452" t="s">
        <v>1234</v>
      </c>
      <c r="C82" s="452" t="s">
        <v>1235</v>
      </c>
      <c r="D82" s="451">
        <v>11.9</v>
      </c>
      <c r="E82" s="454" t="s">
        <v>146</v>
      </c>
      <c r="F82" s="454" t="s">
        <v>871</v>
      </c>
      <c r="G82" s="454" t="s">
        <v>840</v>
      </c>
      <c r="H82" s="452" t="s">
        <v>1038</v>
      </c>
      <c r="I82" s="5" t="s">
        <v>1036</v>
      </c>
      <c r="T82" s="281" t="s">
        <v>322</v>
      </c>
      <c r="U82" s="281" t="s">
        <v>1048</v>
      </c>
      <c r="V82" s="281" t="s">
        <v>1049</v>
      </c>
    </row>
    <row r="83" spans="1:22">
      <c r="A83" s="453" t="s">
        <v>501</v>
      </c>
      <c r="B83" s="452" t="s">
        <v>1236</v>
      </c>
      <c r="C83" s="452" t="s">
        <v>1237</v>
      </c>
      <c r="D83" s="451">
        <v>11.89</v>
      </c>
      <c r="E83" s="454" t="s">
        <v>148</v>
      </c>
      <c r="F83" s="454" t="s">
        <v>871</v>
      </c>
      <c r="G83" s="454" t="s">
        <v>840</v>
      </c>
      <c r="H83" s="452" t="s">
        <v>1038</v>
      </c>
      <c r="I83" s="5" t="s">
        <v>1036</v>
      </c>
      <c r="T83" s="281" t="s">
        <v>185</v>
      </c>
      <c r="U83" s="281" t="s">
        <v>1172</v>
      </c>
      <c r="V83" s="281" t="s">
        <v>1173</v>
      </c>
    </row>
    <row r="84" spans="1:22">
      <c r="A84" s="453" t="s">
        <v>502</v>
      </c>
      <c r="B84" s="452" t="s">
        <v>1238</v>
      </c>
      <c r="C84" s="452" t="s">
        <v>1239</v>
      </c>
      <c r="D84" s="451">
        <v>2.89</v>
      </c>
      <c r="E84" s="452" t="s">
        <v>150</v>
      </c>
      <c r="F84" s="454" t="s">
        <v>871</v>
      </c>
      <c r="G84" s="454" t="s">
        <v>840</v>
      </c>
      <c r="H84" s="452" t="s">
        <v>1038</v>
      </c>
      <c r="I84" s="5" t="s">
        <v>1036</v>
      </c>
      <c r="T84" s="282" t="s">
        <v>245</v>
      </c>
      <c r="U84" s="282" t="s">
        <v>1055</v>
      </c>
      <c r="V84" s="281" t="s">
        <v>1023</v>
      </c>
    </row>
    <row r="85" spans="1:22">
      <c r="A85" s="453" t="s">
        <v>503</v>
      </c>
      <c r="B85" s="452" t="s">
        <v>1240</v>
      </c>
      <c r="C85" s="452" t="s">
        <v>1241</v>
      </c>
      <c r="D85" s="451">
        <v>1.998</v>
      </c>
      <c r="E85" s="454" t="s">
        <v>152</v>
      </c>
      <c r="F85" s="454" t="s">
        <v>871</v>
      </c>
      <c r="G85" s="454" t="s">
        <v>840</v>
      </c>
      <c r="H85" s="452" t="s">
        <v>1038</v>
      </c>
      <c r="I85" s="5" t="s">
        <v>1036</v>
      </c>
      <c r="T85" s="282" t="s">
        <v>1242</v>
      </c>
      <c r="U85" s="282" t="s">
        <v>1048</v>
      </c>
      <c r="V85" s="281" t="s">
        <v>1049</v>
      </c>
    </row>
    <row r="86" spans="1:22">
      <c r="A86" s="453" t="s">
        <v>155</v>
      </c>
      <c r="B86" s="452" t="s">
        <v>1243</v>
      </c>
      <c r="C86" s="452" t="s">
        <v>1244</v>
      </c>
      <c r="D86" s="451">
        <v>18.399999999999999</v>
      </c>
      <c r="E86" s="454" t="s">
        <v>154</v>
      </c>
      <c r="F86" s="454" t="s">
        <v>1033</v>
      </c>
      <c r="G86" s="454" t="s">
        <v>1047</v>
      </c>
      <c r="H86" s="452" t="s">
        <v>1022</v>
      </c>
      <c r="I86" s="5" t="s">
        <v>1040</v>
      </c>
      <c r="T86" s="282" t="s">
        <v>173</v>
      </c>
      <c r="U86" s="282" t="s">
        <v>1090</v>
      </c>
      <c r="V86" s="281" t="s">
        <v>1089</v>
      </c>
    </row>
    <row r="87" spans="1:22">
      <c r="A87" s="453" t="s">
        <v>1245</v>
      </c>
      <c r="B87" s="452"/>
      <c r="C87" s="452"/>
      <c r="D87" s="451"/>
      <c r="E87" s="454"/>
      <c r="F87" s="454"/>
      <c r="G87" s="454"/>
      <c r="H87" s="452"/>
      <c r="I87" s="5"/>
      <c r="T87" s="281" t="s">
        <v>183</v>
      </c>
      <c r="U87" s="281" t="s">
        <v>1090</v>
      </c>
      <c r="V87" s="281" t="s">
        <v>1089</v>
      </c>
    </row>
    <row r="88" spans="1:22">
      <c r="A88" s="453" t="s">
        <v>505</v>
      </c>
      <c r="B88" s="452" t="s">
        <v>1246</v>
      </c>
      <c r="C88" s="452" t="s">
        <v>1247</v>
      </c>
      <c r="D88" s="451">
        <v>14.7</v>
      </c>
      <c r="E88" s="454" t="s">
        <v>162</v>
      </c>
      <c r="F88" s="454" t="s">
        <v>871</v>
      </c>
      <c r="G88" s="454" t="s">
        <v>840</v>
      </c>
      <c r="H88" s="452" t="s">
        <v>1038</v>
      </c>
      <c r="I88" s="5" t="s">
        <v>1049</v>
      </c>
      <c r="T88" s="281" t="s">
        <v>193</v>
      </c>
      <c r="U88" s="281" t="s">
        <v>1124</v>
      </c>
      <c r="V88" s="281" t="s">
        <v>1125</v>
      </c>
    </row>
    <row r="89" spans="1:22">
      <c r="A89" s="453" t="s">
        <v>565</v>
      </c>
      <c r="B89" s="452" t="s">
        <v>1248</v>
      </c>
      <c r="C89" s="452" t="s">
        <v>1127</v>
      </c>
      <c r="D89" s="451">
        <v>12</v>
      </c>
      <c r="E89" s="454" t="s">
        <v>163</v>
      </c>
      <c r="F89" s="454" t="s">
        <v>1033</v>
      </c>
      <c r="G89" s="454" t="s">
        <v>1054</v>
      </c>
      <c r="H89" s="452" t="s">
        <v>1022</v>
      </c>
      <c r="I89" s="5" t="s">
        <v>1173</v>
      </c>
      <c r="T89" s="281" t="s">
        <v>201</v>
      </c>
      <c r="U89" s="281" t="s">
        <v>1116</v>
      </c>
      <c r="V89" s="281" t="s">
        <v>1081</v>
      </c>
    </row>
    <row r="90" spans="1:22">
      <c r="A90" s="453" t="s">
        <v>467</v>
      </c>
      <c r="B90" s="452" t="s">
        <v>1249</v>
      </c>
      <c r="C90" s="452" t="s">
        <v>1250</v>
      </c>
      <c r="D90" s="451">
        <v>17.7</v>
      </c>
      <c r="E90" s="454" t="s">
        <v>165</v>
      </c>
      <c r="F90" s="454" t="s">
        <v>1033</v>
      </c>
      <c r="G90" s="454" t="s">
        <v>840</v>
      </c>
      <c r="H90" s="452" t="s">
        <v>1022</v>
      </c>
      <c r="I90" s="5" t="s">
        <v>1159</v>
      </c>
      <c r="T90" s="281" t="s">
        <v>189</v>
      </c>
      <c r="U90" s="281" t="s">
        <v>1220</v>
      </c>
      <c r="V90" s="281" t="s">
        <v>1221</v>
      </c>
    </row>
    <row r="91" spans="1:22">
      <c r="A91" s="453" t="s">
        <v>1251</v>
      </c>
      <c r="B91" s="452" t="s">
        <v>1252</v>
      </c>
      <c r="C91" s="452"/>
      <c r="D91" s="451">
        <v>30</v>
      </c>
      <c r="E91" s="454"/>
      <c r="F91" s="454" t="s">
        <v>1033</v>
      </c>
      <c r="G91" s="454" t="s">
        <v>840</v>
      </c>
      <c r="H91" s="452" t="s">
        <v>1038</v>
      </c>
      <c r="I91" s="5" t="s">
        <v>1073</v>
      </c>
      <c r="T91" s="282" t="s">
        <v>199</v>
      </c>
      <c r="U91" s="282" t="s">
        <v>1113</v>
      </c>
      <c r="V91" s="281" t="s">
        <v>1114</v>
      </c>
    </row>
    <row r="92" spans="1:22">
      <c r="A92" s="453" t="s">
        <v>1253</v>
      </c>
      <c r="B92" s="452" t="s">
        <v>1254</v>
      </c>
      <c r="C92" s="452" t="s">
        <v>1255</v>
      </c>
      <c r="D92" s="451"/>
      <c r="E92" s="454" t="s">
        <v>1256</v>
      </c>
      <c r="F92" s="454"/>
      <c r="G92" s="454" t="s">
        <v>840</v>
      </c>
      <c r="H92" s="452" t="s">
        <v>1022</v>
      </c>
      <c r="I92" s="5" t="e">
        <v>#N/A</v>
      </c>
      <c r="T92" s="282" t="s">
        <v>205</v>
      </c>
      <c r="U92" s="282" t="s">
        <v>1095</v>
      </c>
      <c r="V92" s="281" t="s">
        <v>1096</v>
      </c>
    </row>
    <row r="93" spans="1:22">
      <c r="A93" t="s">
        <v>1257</v>
      </c>
      <c r="B93" s="452"/>
      <c r="C93" s="452"/>
      <c r="D93" s="451"/>
      <c r="E93" s="454"/>
      <c r="F93" s="454"/>
      <c r="G93" s="454"/>
      <c r="H93" s="452"/>
      <c r="I93" s="5"/>
      <c r="T93" s="282" t="s">
        <v>203</v>
      </c>
      <c r="U93" s="282" t="s">
        <v>1155</v>
      </c>
      <c r="V93" s="281" t="s">
        <v>1258</v>
      </c>
    </row>
    <row r="94" spans="1:22">
      <c r="A94" s="453" t="s">
        <v>547</v>
      </c>
      <c r="B94" s="452" t="s">
        <v>1259</v>
      </c>
      <c r="C94" s="452" t="s">
        <v>1260</v>
      </c>
      <c r="D94" s="451">
        <v>21</v>
      </c>
      <c r="E94" s="454" t="s">
        <v>175</v>
      </c>
      <c r="F94" s="454" t="s">
        <v>1033</v>
      </c>
      <c r="G94" s="454" t="s">
        <v>1047</v>
      </c>
      <c r="H94" s="452" t="s">
        <v>1022</v>
      </c>
      <c r="I94" s="5" t="s">
        <v>1081</v>
      </c>
      <c r="T94" s="281" t="s">
        <v>207</v>
      </c>
      <c r="U94" s="281" t="s">
        <v>1095</v>
      </c>
      <c r="V94" s="281" t="s">
        <v>1096</v>
      </c>
    </row>
    <row r="95" spans="1:22">
      <c r="A95" s="453" t="s">
        <v>477</v>
      </c>
      <c r="B95" s="452" t="s">
        <v>1261</v>
      </c>
      <c r="C95" s="452" t="s">
        <v>1262</v>
      </c>
      <c r="D95" s="451">
        <v>6</v>
      </c>
      <c r="E95" s="454" t="s">
        <v>167</v>
      </c>
      <c r="F95" s="454" t="s">
        <v>1033</v>
      </c>
      <c r="G95" s="454" t="s">
        <v>840</v>
      </c>
      <c r="H95" s="452" t="s">
        <v>1022</v>
      </c>
      <c r="I95" s="5" t="s">
        <v>1104</v>
      </c>
      <c r="T95" s="281" t="s">
        <v>72</v>
      </c>
      <c r="U95" s="281" t="s">
        <v>1082</v>
      </c>
      <c r="V95" s="281" t="s">
        <v>1083</v>
      </c>
    </row>
    <row r="96" spans="1:22">
      <c r="A96" s="453" t="s">
        <v>458</v>
      </c>
      <c r="B96" s="452" t="s">
        <v>1263</v>
      </c>
      <c r="C96" s="452" t="s">
        <v>1127</v>
      </c>
      <c r="D96" s="451">
        <v>8</v>
      </c>
      <c r="E96" s="454" t="s">
        <v>177</v>
      </c>
      <c r="F96" s="454" t="s">
        <v>1033</v>
      </c>
      <c r="G96" s="454" t="s">
        <v>1054</v>
      </c>
      <c r="H96" s="452" t="s">
        <v>1022</v>
      </c>
      <c r="I96" s="5" t="s">
        <v>1221</v>
      </c>
      <c r="T96" s="281" t="s">
        <v>1264</v>
      </c>
      <c r="U96" s="281" t="s">
        <v>1110</v>
      </c>
      <c r="V96" s="281" t="s">
        <v>1111</v>
      </c>
    </row>
    <row r="97" spans="1:22">
      <c r="A97" s="453" t="s">
        <v>1265</v>
      </c>
      <c r="B97" s="452" t="s">
        <v>1266</v>
      </c>
      <c r="C97" s="452"/>
      <c r="D97" s="451">
        <v>59.4</v>
      </c>
      <c r="E97" s="454"/>
      <c r="F97" s="454" t="s">
        <v>1033</v>
      </c>
      <c r="G97" s="454" t="s">
        <v>840</v>
      </c>
      <c r="H97" s="452" t="s">
        <v>1038</v>
      </c>
      <c r="I97" s="5" t="s">
        <v>1267</v>
      </c>
      <c r="T97" s="282" t="s">
        <v>271</v>
      </c>
      <c r="U97" s="282" t="s">
        <v>1142</v>
      </c>
      <c r="V97" s="281" t="s">
        <v>1143</v>
      </c>
    </row>
    <row r="98" spans="1:22">
      <c r="A98" s="453" t="s">
        <v>464</v>
      </c>
      <c r="B98" s="452" t="s">
        <v>1268</v>
      </c>
      <c r="C98" s="452" t="s">
        <v>1269</v>
      </c>
      <c r="D98" s="451">
        <v>15</v>
      </c>
      <c r="E98" s="454" t="s">
        <v>259</v>
      </c>
      <c r="F98" s="454" t="s">
        <v>871</v>
      </c>
      <c r="G98" s="454" t="s">
        <v>1270</v>
      </c>
      <c r="H98" s="452" t="s">
        <v>1022</v>
      </c>
      <c r="I98" s="5" t="s">
        <v>1206</v>
      </c>
      <c r="T98" s="281" t="s">
        <v>209</v>
      </c>
      <c r="U98" s="281" t="s">
        <v>1146</v>
      </c>
      <c r="V98" s="281" t="s">
        <v>1147</v>
      </c>
    </row>
    <row r="99" spans="1:22">
      <c r="A99" s="453" t="s">
        <v>549</v>
      </c>
      <c r="B99" s="452" t="s">
        <v>1271</v>
      </c>
      <c r="C99" s="452" t="s">
        <v>1272</v>
      </c>
      <c r="D99" s="451">
        <v>6.3</v>
      </c>
      <c r="E99" s="454" t="s">
        <v>171</v>
      </c>
      <c r="F99" s="454" t="s">
        <v>871</v>
      </c>
      <c r="G99" s="454" t="s">
        <v>1047</v>
      </c>
      <c r="H99" s="452" t="s">
        <v>1022</v>
      </c>
      <c r="I99" s="5" t="s">
        <v>1044</v>
      </c>
      <c r="T99" s="281" t="s">
        <v>398</v>
      </c>
      <c r="U99" s="281" t="s">
        <v>1072</v>
      </c>
      <c r="V99" s="281" t="s">
        <v>1073</v>
      </c>
    </row>
    <row r="100" spans="1:22">
      <c r="A100" s="453" t="s">
        <v>568</v>
      </c>
      <c r="B100" s="452" t="s">
        <v>1273</v>
      </c>
      <c r="C100" s="452" t="s">
        <v>1274</v>
      </c>
      <c r="D100" s="451">
        <v>14.5</v>
      </c>
      <c r="E100" s="454" t="s">
        <v>217</v>
      </c>
      <c r="F100" s="454" t="s">
        <v>871</v>
      </c>
      <c r="G100" s="454" t="s">
        <v>840</v>
      </c>
      <c r="H100" s="452" t="s">
        <v>1022</v>
      </c>
      <c r="I100" s="5" t="s">
        <v>1044</v>
      </c>
      <c r="T100" s="282" t="s">
        <v>221</v>
      </c>
      <c r="U100" s="282" t="s">
        <v>1082</v>
      </c>
      <c r="V100" s="281" t="s">
        <v>1083</v>
      </c>
    </row>
    <row r="101" spans="1:22">
      <c r="A101" s="453" t="s">
        <v>601</v>
      </c>
      <c r="B101" s="452" t="s">
        <v>1275</v>
      </c>
      <c r="C101" s="452" t="s">
        <v>1276</v>
      </c>
      <c r="D101" s="451">
        <v>8</v>
      </c>
      <c r="E101" s="454" t="s">
        <v>245</v>
      </c>
      <c r="F101" s="454" t="s">
        <v>871</v>
      </c>
      <c r="G101" s="454" t="s">
        <v>1047</v>
      </c>
      <c r="H101" s="452" t="s">
        <v>1022</v>
      </c>
      <c r="I101" s="5" t="s">
        <v>1023</v>
      </c>
      <c r="T101" s="281" t="s">
        <v>223</v>
      </c>
      <c r="U101" s="281" t="s">
        <v>1082</v>
      </c>
      <c r="V101" s="281" t="s">
        <v>1083</v>
      </c>
    </row>
    <row r="102" spans="1:22">
      <c r="A102" s="453" t="s">
        <v>519</v>
      </c>
      <c r="B102" s="452" t="s">
        <v>1277</v>
      </c>
      <c r="C102" s="452" t="s">
        <v>1278</v>
      </c>
      <c r="D102" s="451">
        <v>10.452</v>
      </c>
      <c r="E102" s="452" t="s">
        <v>181</v>
      </c>
      <c r="F102" s="454" t="s">
        <v>1140</v>
      </c>
      <c r="G102" s="454" t="s">
        <v>840</v>
      </c>
      <c r="H102" s="452" t="s">
        <v>1141</v>
      </c>
      <c r="I102" s="5" t="s">
        <v>1279</v>
      </c>
      <c r="T102" s="282" t="s">
        <v>211</v>
      </c>
      <c r="U102" s="282" t="s">
        <v>1090</v>
      </c>
      <c r="V102" s="281" t="s">
        <v>1089</v>
      </c>
    </row>
    <row r="103" spans="1:22">
      <c r="A103" s="453" t="s">
        <v>1280</v>
      </c>
      <c r="B103" s="452"/>
      <c r="C103" s="452"/>
      <c r="D103" s="451"/>
      <c r="E103" s="454"/>
      <c r="F103" s="454"/>
      <c r="G103" s="454"/>
      <c r="H103" s="452"/>
      <c r="I103" s="5"/>
      <c r="T103" s="282" t="s">
        <v>213</v>
      </c>
      <c r="U103" s="282" t="s">
        <v>1158</v>
      </c>
      <c r="V103" s="281" t="s">
        <v>1159</v>
      </c>
    </row>
    <row r="104" spans="1:22">
      <c r="A104" s="453" t="s">
        <v>520</v>
      </c>
      <c r="B104" s="452" t="s">
        <v>1281</v>
      </c>
      <c r="C104" s="452" t="s">
        <v>1161</v>
      </c>
      <c r="D104" s="451">
        <v>2.9</v>
      </c>
      <c r="E104" s="454" t="s">
        <v>322</v>
      </c>
      <c r="F104" s="454" t="s">
        <v>871</v>
      </c>
      <c r="G104" s="454" t="s">
        <v>840</v>
      </c>
      <c r="H104" s="452" t="s">
        <v>1038</v>
      </c>
      <c r="I104" s="5" t="s">
        <v>1049</v>
      </c>
      <c r="T104" s="281" t="s">
        <v>215</v>
      </c>
      <c r="U104" s="281" t="s">
        <v>1048</v>
      </c>
      <c r="V104" s="281" t="s">
        <v>1049</v>
      </c>
    </row>
    <row r="105" spans="1:22">
      <c r="A105" s="453" t="s">
        <v>499</v>
      </c>
      <c r="B105" s="452" t="s">
        <v>1282</v>
      </c>
      <c r="C105" s="452" t="s">
        <v>1127</v>
      </c>
      <c r="D105" s="451">
        <v>10</v>
      </c>
      <c r="E105" s="454" t="s">
        <v>183</v>
      </c>
      <c r="F105" s="454" t="s">
        <v>1033</v>
      </c>
      <c r="G105" s="454" t="s">
        <v>1054</v>
      </c>
      <c r="H105" s="452" t="s">
        <v>1022</v>
      </c>
      <c r="I105" s="5" t="s">
        <v>1089</v>
      </c>
      <c r="T105" s="282" t="s">
        <v>225</v>
      </c>
      <c r="U105" s="282" t="s">
        <v>1220</v>
      </c>
      <c r="V105" s="281" t="s">
        <v>1221</v>
      </c>
    </row>
    <row r="106" spans="1:22">
      <c r="A106" s="453" t="s">
        <v>546</v>
      </c>
      <c r="B106" s="452" t="s">
        <v>1283</v>
      </c>
      <c r="C106" s="452" t="s">
        <v>1053</v>
      </c>
      <c r="D106" s="451">
        <v>11.5</v>
      </c>
      <c r="E106" s="454" t="s">
        <v>185</v>
      </c>
      <c r="F106" s="454" t="s">
        <v>1033</v>
      </c>
      <c r="G106" s="454" t="s">
        <v>1054</v>
      </c>
      <c r="H106" s="452" t="s">
        <v>1022</v>
      </c>
      <c r="I106" s="5" t="s">
        <v>1173</v>
      </c>
      <c r="T106" s="281" t="s">
        <v>227</v>
      </c>
      <c r="U106" s="281" t="s">
        <v>1116</v>
      </c>
      <c r="V106" s="281" t="s">
        <v>1081</v>
      </c>
    </row>
    <row r="107" spans="1:22">
      <c r="A107" s="453" t="s">
        <v>522</v>
      </c>
      <c r="B107" s="452" t="s">
        <v>1284</v>
      </c>
      <c r="C107" s="452" t="s">
        <v>1285</v>
      </c>
      <c r="D107" s="451">
        <v>19.8</v>
      </c>
      <c r="E107" s="454" t="s">
        <v>1242</v>
      </c>
      <c r="F107" s="454" t="s">
        <v>871</v>
      </c>
      <c r="G107" s="454" t="s">
        <v>840</v>
      </c>
      <c r="H107" s="452" t="s">
        <v>1038</v>
      </c>
      <c r="I107" s="5" t="s">
        <v>1049</v>
      </c>
      <c r="T107" s="281" t="s">
        <v>231</v>
      </c>
      <c r="U107" s="281" t="s">
        <v>1035</v>
      </c>
      <c r="V107" s="281" t="s">
        <v>1036</v>
      </c>
    </row>
    <row r="108" spans="1:22">
      <c r="A108" s="453" t="s">
        <v>1286</v>
      </c>
      <c r="B108" s="452"/>
      <c r="C108" s="452"/>
      <c r="D108" s="451"/>
      <c r="E108" s="454"/>
      <c r="F108" s="454"/>
      <c r="G108" s="454"/>
      <c r="H108" s="452"/>
      <c r="I108" s="5"/>
      <c r="T108" s="282" t="s">
        <v>237</v>
      </c>
      <c r="U108" s="282" t="s">
        <v>1116</v>
      </c>
      <c r="V108" s="281" t="s">
        <v>1081</v>
      </c>
    </row>
    <row r="109" spans="1:22">
      <c r="A109" s="453" t="s">
        <v>523</v>
      </c>
      <c r="B109" s="452" t="s">
        <v>1287</v>
      </c>
      <c r="C109" s="452" t="s">
        <v>1123</v>
      </c>
      <c r="D109" s="451">
        <v>8.1999999999999993</v>
      </c>
      <c r="E109" s="454" t="s">
        <v>80</v>
      </c>
      <c r="F109" s="454" t="s">
        <v>871</v>
      </c>
      <c r="G109" s="454" t="s">
        <v>840</v>
      </c>
      <c r="H109" s="452" t="s">
        <v>1038</v>
      </c>
      <c r="I109" s="5" t="s">
        <v>1049</v>
      </c>
      <c r="T109" s="281" t="s">
        <v>1288</v>
      </c>
      <c r="U109" s="281" t="s">
        <v>1103</v>
      </c>
      <c r="V109" s="281" t="s">
        <v>1104</v>
      </c>
    </row>
    <row r="110" spans="1:22">
      <c r="A110" s="453" t="s">
        <v>1289</v>
      </c>
      <c r="B110" s="452"/>
      <c r="C110" s="452"/>
      <c r="D110" s="451"/>
      <c r="E110" s="454"/>
      <c r="F110" s="454"/>
      <c r="G110" s="454"/>
      <c r="H110" s="452"/>
      <c r="I110" s="5"/>
      <c r="T110" s="281" t="s">
        <v>1290</v>
      </c>
      <c r="U110" s="281" t="s">
        <v>1048</v>
      </c>
      <c r="V110" s="281" t="s">
        <v>1049</v>
      </c>
    </row>
    <row r="111" spans="1:22">
      <c r="A111" s="453" t="s">
        <v>606</v>
      </c>
      <c r="B111" s="452" t="s">
        <v>1291</v>
      </c>
      <c r="C111" s="452" t="s">
        <v>1127</v>
      </c>
      <c r="D111" s="451">
        <v>4.8499999999999996</v>
      </c>
      <c r="E111" s="454" t="s">
        <v>189</v>
      </c>
      <c r="F111" s="454" t="s">
        <v>1033</v>
      </c>
      <c r="G111" s="454" t="s">
        <v>1054</v>
      </c>
      <c r="H111" s="452" t="s">
        <v>1022</v>
      </c>
      <c r="I111" s="5" t="s">
        <v>1221</v>
      </c>
      <c r="T111" s="281" t="s">
        <v>229</v>
      </c>
      <c r="U111" s="281" t="s">
        <v>1142</v>
      </c>
      <c r="V111" s="281" t="s">
        <v>1143</v>
      </c>
    </row>
    <row r="112" spans="1:22">
      <c r="A112" s="453" t="s">
        <v>192</v>
      </c>
      <c r="B112" s="452" t="s">
        <v>1292</v>
      </c>
      <c r="C112" s="452" t="s">
        <v>1293</v>
      </c>
      <c r="D112" s="451">
        <v>37.950000000000003</v>
      </c>
      <c r="E112" s="454" t="s">
        <v>191</v>
      </c>
      <c r="F112" s="454" t="s">
        <v>1033</v>
      </c>
      <c r="G112" s="454" t="s">
        <v>1047</v>
      </c>
      <c r="H112" s="452" t="s">
        <v>1022</v>
      </c>
      <c r="I112" s="5" t="s">
        <v>1125</v>
      </c>
      <c r="T112" s="282" t="s">
        <v>233</v>
      </c>
      <c r="U112" s="282" t="s">
        <v>1024</v>
      </c>
      <c r="V112" s="281" t="s">
        <v>1025</v>
      </c>
    </row>
    <row r="113" spans="1:22">
      <c r="A113" s="453" t="s">
        <v>194</v>
      </c>
      <c r="B113" s="452" t="s">
        <v>1294</v>
      </c>
      <c r="C113" s="452" t="s">
        <v>1295</v>
      </c>
      <c r="D113" s="451">
        <v>13.2</v>
      </c>
      <c r="E113" s="452" t="s">
        <v>193</v>
      </c>
      <c r="F113" s="454" t="s">
        <v>1033</v>
      </c>
      <c r="G113" s="454" t="s">
        <v>1047</v>
      </c>
      <c r="H113" s="452" t="s">
        <v>1022</v>
      </c>
      <c r="I113" s="5" t="s">
        <v>1125</v>
      </c>
      <c r="T113" s="281" t="s">
        <v>1296</v>
      </c>
      <c r="U113" s="281" t="s">
        <v>1048</v>
      </c>
      <c r="V113" s="281" t="s">
        <v>1049</v>
      </c>
    </row>
    <row r="114" spans="1:22">
      <c r="A114" s="453" t="s">
        <v>495</v>
      </c>
      <c r="B114" s="452" t="s">
        <v>1297</v>
      </c>
      <c r="C114" s="452" t="s">
        <v>1298</v>
      </c>
      <c r="D114" s="451">
        <v>27.18</v>
      </c>
      <c r="E114" s="454" t="s">
        <v>326</v>
      </c>
      <c r="F114" s="454" t="s">
        <v>871</v>
      </c>
      <c r="G114" s="454" t="s">
        <v>840</v>
      </c>
      <c r="H114" s="452" t="s">
        <v>1022</v>
      </c>
      <c r="I114" s="5" t="s">
        <v>1143</v>
      </c>
      <c r="T114" s="282" t="s">
        <v>239</v>
      </c>
      <c r="U114" s="282" t="s">
        <v>1039</v>
      </c>
      <c r="V114" s="281" t="s">
        <v>1040</v>
      </c>
    </row>
    <row r="115" spans="1:22">
      <c r="A115" s="453" t="s">
        <v>579</v>
      </c>
      <c r="B115" s="452" t="s">
        <v>1299</v>
      </c>
      <c r="C115" s="452" t="s">
        <v>1300</v>
      </c>
      <c r="D115" s="451">
        <v>20</v>
      </c>
      <c r="E115" s="454" t="s">
        <v>199</v>
      </c>
      <c r="F115" s="454" t="s">
        <v>1033</v>
      </c>
      <c r="G115" s="454" t="s">
        <v>840</v>
      </c>
      <c r="H115" s="452" t="s">
        <v>1022</v>
      </c>
      <c r="I115" s="5" t="s">
        <v>1114</v>
      </c>
      <c r="T115" s="281" t="s">
        <v>241</v>
      </c>
      <c r="U115" s="281" t="s">
        <v>1035</v>
      </c>
      <c r="V115" s="281" t="s">
        <v>1036</v>
      </c>
    </row>
    <row r="116" spans="1:22">
      <c r="A116" s="453" t="s">
        <v>497</v>
      </c>
      <c r="B116" s="452" t="s">
        <v>1301</v>
      </c>
      <c r="C116" s="452" t="s">
        <v>1216</v>
      </c>
      <c r="D116" s="451">
        <v>10</v>
      </c>
      <c r="E116" s="454" t="s">
        <v>201</v>
      </c>
      <c r="F116" s="454" t="s">
        <v>1033</v>
      </c>
      <c r="G116" s="454" t="s">
        <v>840</v>
      </c>
      <c r="H116" s="452" t="s">
        <v>1022</v>
      </c>
      <c r="I116" s="5" t="s">
        <v>1081</v>
      </c>
      <c r="T116" s="281" t="s">
        <v>251</v>
      </c>
      <c r="U116" s="281" t="s">
        <v>1063</v>
      </c>
      <c r="V116" s="281" t="s">
        <v>1034</v>
      </c>
    </row>
    <row r="117" spans="1:22">
      <c r="A117" s="453" t="s">
        <v>450</v>
      </c>
      <c r="B117" s="452" t="s">
        <v>1302</v>
      </c>
      <c r="C117" s="452" t="s">
        <v>1303</v>
      </c>
      <c r="D117" s="451">
        <v>43.2</v>
      </c>
      <c r="E117" s="454" t="s">
        <v>203</v>
      </c>
      <c r="F117" s="454" t="s">
        <v>1033</v>
      </c>
      <c r="G117" s="454" t="s">
        <v>840</v>
      </c>
      <c r="H117" s="452" t="s">
        <v>1022</v>
      </c>
      <c r="I117" s="5" t="s">
        <v>1028</v>
      </c>
      <c r="T117" s="282" t="s">
        <v>401</v>
      </c>
      <c r="U117" s="282" t="s">
        <v>1072</v>
      </c>
      <c r="V117" s="281" t="s">
        <v>1073</v>
      </c>
    </row>
    <row r="118" spans="1:22">
      <c r="A118" s="453" t="s">
        <v>452</v>
      </c>
      <c r="B118" s="452" t="s">
        <v>1304</v>
      </c>
      <c r="C118" s="452" t="s">
        <v>1305</v>
      </c>
      <c r="D118" s="451">
        <v>14</v>
      </c>
      <c r="E118" s="454" t="s">
        <v>205</v>
      </c>
      <c r="F118" s="454" t="s">
        <v>871</v>
      </c>
      <c r="G118" s="454" t="s">
        <v>840</v>
      </c>
      <c r="H118" s="452" t="s">
        <v>1022</v>
      </c>
      <c r="I118" s="5" t="s">
        <v>1096</v>
      </c>
      <c r="T118" s="281" t="s">
        <v>247</v>
      </c>
      <c r="U118" s="281" t="s">
        <v>1055</v>
      </c>
      <c r="V118" s="281" t="s">
        <v>1023</v>
      </c>
    </row>
    <row r="119" spans="1:22">
      <c r="A119" s="453" t="s">
        <v>1306</v>
      </c>
      <c r="B119" s="452" t="s">
        <v>1304</v>
      </c>
      <c r="C119" s="452" t="s">
        <v>1305</v>
      </c>
      <c r="D119" s="451">
        <v>2</v>
      </c>
      <c r="E119" s="454" t="s">
        <v>207</v>
      </c>
      <c r="F119" s="454" t="s">
        <v>871</v>
      </c>
      <c r="G119" s="454" t="s">
        <v>840</v>
      </c>
      <c r="H119" s="452" t="s">
        <v>1022</v>
      </c>
      <c r="I119" s="5" t="s">
        <v>1096</v>
      </c>
      <c r="T119" s="281" t="s">
        <v>179</v>
      </c>
      <c r="U119" s="281" t="s">
        <v>1172</v>
      </c>
      <c r="V119" s="281" t="s">
        <v>1173</v>
      </c>
    </row>
    <row r="120" spans="1:22">
      <c r="A120" s="453" t="s">
        <v>533</v>
      </c>
      <c r="B120" s="452" t="s">
        <v>1307</v>
      </c>
      <c r="C120" s="452" t="s">
        <v>1161</v>
      </c>
      <c r="D120" s="451">
        <v>4.8</v>
      </c>
      <c r="E120" s="454" t="s">
        <v>72</v>
      </c>
      <c r="F120" s="454" t="s">
        <v>871</v>
      </c>
      <c r="G120" s="454" t="s">
        <v>840</v>
      </c>
      <c r="H120" s="452" t="s">
        <v>1038</v>
      </c>
      <c r="I120" s="5" t="s">
        <v>1083</v>
      </c>
      <c r="T120" s="281" t="s">
        <v>253</v>
      </c>
      <c r="U120" s="281" t="s">
        <v>1039</v>
      </c>
      <c r="V120" s="281" t="s">
        <v>1040</v>
      </c>
    </row>
    <row r="121" spans="1:22">
      <c r="A121" s="453" t="s">
        <v>469</v>
      </c>
      <c r="B121" s="452" t="s">
        <v>1308</v>
      </c>
      <c r="C121" s="452" t="s">
        <v>1309</v>
      </c>
      <c r="D121" s="451">
        <v>12</v>
      </c>
      <c r="E121" s="454" t="s">
        <v>209</v>
      </c>
      <c r="F121" s="454" t="s">
        <v>871</v>
      </c>
      <c r="G121" s="454" t="s">
        <v>840</v>
      </c>
      <c r="H121" s="452" t="s">
        <v>1022</v>
      </c>
      <c r="I121" s="5" t="s">
        <v>1147</v>
      </c>
      <c r="T121" s="281" t="s">
        <v>255</v>
      </c>
      <c r="U121" s="281" t="s">
        <v>1146</v>
      </c>
      <c r="V121" s="281" t="s">
        <v>1147</v>
      </c>
    </row>
    <row r="122" spans="1:22">
      <c r="A122" s="453" t="s">
        <v>400</v>
      </c>
      <c r="B122" s="452" t="s">
        <v>1310</v>
      </c>
      <c r="C122" s="452" t="s">
        <v>1123</v>
      </c>
      <c r="D122" s="451">
        <v>8.4</v>
      </c>
      <c r="E122" s="454" t="s">
        <v>398</v>
      </c>
      <c r="F122" s="454" t="s">
        <v>1033</v>
      </c>
      <c r="G122" s="454" t="s">
        <v>840</v>
      </c>
      <c r="H122" s="452" t="s">
        <v>1038</v>
      </c>
      <c r="I122" s="5" t="s">
        <v>1073</v>
      </c>
      <c r="T122" s="281" t="s">
        <v>263</v>
      </c>
      <c r="U122" s="281" t="s">
        <v>1158</v>
      </c>
      <c r="V122" s="281" t="s">
        <v>1159</v>
      </c>
    </row>
    <row r="123" spans="1:22">
      <c r="A123" s="453" t="s">
        <v>599</v>
      </c>
      <c r="B123" s="452" t="s">
        <v>1311</v>
      </c>
      <c r="C123" s="452" t="s">
        <v>1053</v>
      </c>
      <c r="D123" s="451">
        <v>8</v>
      </c>
      <c r="E123" s="454" t="s">
        <v>211</v>
      </c>
      <c r="F123" s="454" t="s">
        <v>1033</v>
      </c>
      <c r="G123" s="454" t="s">
        <v>1054</v>
      </c>
      <c r="H123" s="452" t="s">
        <v>1022</v>
      </c>
      <c r="I123" s="5" t="s">
        <v>1089</v>
      </c>
      <c r="T123" s="281" t="s">
        <v>257</v>
      </c>
      <c r="U123" s="281" t="s">
        <v>1220</v>
      </c>
      <c r="V123" s="281" t="s">
        <v>1221</v>
      </c>
    </row>
    <row r="124" spans="1:22">
      <c r="A124" s="453" t="s">
        <v>214</v>
      </c>
      <c r="B124" s="452" t="s">
        <v>1312</v>
      </c>
      <c r="C124" s="452" t="s">
        <v>1313</v>
      </c>
      <c r="D124" s="451">
        <v>15</v>
      </c>
      <c r="E124" s="454" t="s">
        <v>213</v>
      </c>
      <c r="F124" s="454" t="s">
        <v>1033</v>
      </c>
      <c r="G124" s="454" t="s">
        <v>1047</v>
      </c>
      <c r="H124" s="452" t="s">
        <v>1022</v>
      </c>
      <c r="I124" s="5" t="s">
        <v>1159</v>
      </c>
      <c r="T124" s="281" t="s">
        <v>1314</v>
      </c>
      <c r="U124" s="281" t="s">
        <v>1099</v>
      </c>
      <c r="V124" s="281" t="s">
        <v>1100</v>
      </c>
    </row>
    <row r="125" spans="1:22">
      <c r="A125" s="453" t="s">
        <v>637</v>
      </c>
      <c r="B125" s="452" t="s">
        <v>1315</v>
      </c>
      <c r="C125" s="452" t="s">
        <v>1316</v>
      </c>
      <c r="D125" s="451">
        <v>5</v>
      </c>
      <c r="E125" s="454" t="s">
        <v>1317</v>
      </c>
      <c r="F125" s="454" t="s">
        <v>1033</v>
      </c>
      <c r="G125" s="454" t="s">
        <v>840</v>
      </c>
      <c r="H125" s="452" t="s">
        <v>1038</v>
      </c>
      <c r="I125" s="5" t="s">
        <v>1049</v>
      </c>
      <c r="T125" s="281" t="s">
        <v>1318</v>
      </c>
      <c r="U125" s="281" t="s">
        <v>1099</v>
      </c>
      <c r="V125" s="281" t="s">
        <v>1100</v>
      </c>
    </row>
    <row r="126" spans="1:22">
      <c r="A126" s="453" t="s">
        <v>536</v>
      </c>
      <c r="B126" s="452" t="s">
        <v>1319</v>
      </c>
      <c r="C126" s="452" t="s">
        <v>1320</v>
      </c>
      <c r="D126" s="451">
        <v>4.0999999999999996</v>
      </c>
      <c r="E126" s="452" t="s">
        <v>215</v>
      </c>
      <c r="F126" s="454" t="s">
        <v>871</v>
      </c>
      <c r="G126" s="454" t="s">
        <v>840</v>
      </c>
      <c r="H126" s="452" t="s">
        <v>1038</v>
      </c>
      <c r="I126" s="5" t="s">
        <v>1049</v>
      </c>
      <c r="T126" s="281" t="s">
        <v>298</v>
      </c>
      <c r="U126" s="281" t="s">
        <v>1099</v>
      </c>
      <c r="V126" s="281" t="s">
        <v>1100</v>
      </c>
    </row>
    <row r="127" spans="1:22">
      <c r="A127" s="453" t="s">
        <v>1321</v>
      </c>
      <c r="B127" s="452"/>
      <c r="C127" s="452"/>
      <c r="D127" s="451"/>
      <c r="E127" s="454"/>
      <c r="F127" s="454"/>
      <c r="G127" s="454"/>
      <c r="H127" s="452"/>
      <c r="I127" s="5"/>
      <c r="T127" s="282" t="s">
        <v>281</v>
      </c>
      <c r="U127" s="282" t="s">
        <v>1063</v>
      </c>
      <c r="V127" s="281" t="s">
        <v>1034</v>
      </c>
    </row>
    <row r="128" spans="1:22">
      <c r="A128" s="453" t="s">
        <v>537</v>
      </c>
      <c r="B128" s="452" t="s">
        <v>1322</v>
      </c>
      <c r="C128" s="452" t="s">
        <v>1323</v>
      </c>
      <c r="D128" s="451">
        <v>20</v>
      </c>
      <c r="E128" s="454" t="s">
        <v>221</v>
      </c>
      <c r="F128" s="454" t="s">
        <v>871</v>
      </c>
      <c r="G128" s="454" t="s">
        <v>840</v>
      </c>
      <c r="H128" s="452" t="s">
        <v>1038</v>
      </c>
      <c r="I128" s="5" t="s">
        <v>1083</v>
      </c>
      <c r="T128" s="281" t="s">
        <v>283</v>
      </c>
      <c r="U128" s="281" t="s">
        <v>1029</v>
      </c>
      <c r="V128" s="281" t="s">
        <v>1030</v>
      </c>
    </row>
    <row r="129" spans="1:22">
      <c r="A129" s="453" t="s">
        <v>475</v>
      </c>
      <c r="B129" s="452" t="s">
        <v>1324</v>
      </c>
      <c r="C129" s="452" t="s">
        <v>1127</v>
      </c>
      <c r="D129" s="451">
        <v>10</v>
      </c>
      <c r="E129" s="454" t="s">
        <v>225</v>
      </c>
      <c r="F129" s="454" t="s">
        <v>1033</v>
      </c>
      <c r="G129" s="454" t="s">
        <v>1054</v>
      </c>
      <c r="H129" s="452" t="s">
        <v>1022</v>
      </c>
      <c r="I129" s="5" t="s">
        <v>1221</v>
      </c>
      <c r="T129" s="282" t="s">
        <v>1325</v>
      </c>
      <c r="U129" s="282" t="s">
        <v>1099</v>
      </c>
      <c r="V129" s="281" t="s">
        <v>1100</v>
      </c>
    </row>
    <row r="130" spans="1:22">
      <c r="A130" s="453" t="s">
        <v>539</v>
      </c>
      <c r="B130" s="452" t="s">
        <v>1326</v>
      </c>
      <c r="C130" s="452" t="s">
        <v>1102</v>
      </c>
      <c r="D130" s="451">
        <v>2.8</v>
      </c>
      <c r="E130" s="454" t="s">
        <v>1290</v>
      </c>
      <c r="F130" s="454" t="s">
        <v>871</v>
      </c>
      <c r="G130" s="454" t="s">
        <v>840</v>
      </c>
      <c r="H130" s="452" t="s">
        <v>1038</v>
      </c>
      <c r="I130" s="5" t="s">
        <v>1049</v>
      </c>
      <c r="T130" s="282" t="s">
        <v>249</v>
      </c>
      <c r="U130" s="282" t="s">
        <v>1055</v>
      </c>
      <c r="V130" s="281" t="s">
        <v>1023</v>
      </c>
    </row>
    <row r="131" spans="1:22">
      <c r="A131" s="453" t="s">
        <v>228</v>
      </c>
      <c r="B131" s="452" t="s">
        <v>1327</v>
      </c>
      <c r="C131" s="452" t="s">
        <v>1328</v>
      </c>
      <c r="D131" s="451">
        <v>12.8</v>
      </c>
      <c r="E131" s="454" t="s">
        <v>227</v>
      </c>
      <c r="F131" s="454" t="s">
        <v>1033</v>
      </c>
      <c r="G131" s="454" t="s">
        <v>1047</v>
      </c>
      <c r="H131" s="452" t="s">
        <v>1022</v>
      </c>
      <c r="I131" s="5" t="s">
        <v>1081</v>
      </c>
      <c r="T131" s="282" t="s">
        <v>121</v>
      </c>
      <c r="U131" s="282" t="s">
        <v>1229</v>
      </c>
      <c r="V131" s="281" t="s">
        <v>1206</v>
      </c>
    </row>
    <row r="132" spans="1:22">
      <c r="A132" s="453" t="s">
        <v>1329</v>
      </c>
      <c r="B132" s="452"/>
      <c r="C132" s="452"/>
      <c r="D132" s="451"/>
      <c r="E132" s="454"/>
      <c r="F132" s="454"/>
      <c r="G132" s="454"/>
      <c r="H132" s="452"/>
      <c r="I132" s="5"/>
      <c r="T132" s="282" t="s">
        <v>1330</v>
      </c>
      <c r="U132" s="282" t="s">
        <v>1331</v>
      </c>
      <c r="V132" s="281" t="s">
        <v>1279</v>
      </c>
    </row>
    <row r="133" spans="1:22">
      <c r="A133" s="453" t="s">
        <v>531</v>
      </c>
      <c r="B133" s="452" t="s">
        <v>1332</v>
      </c>
      <c r="C133" s="452" t="s">
        <v>1333</v>
      </c>
      <c r="D133" s="451">
        <v>56.4</v>
      </c>
      <c r="E133" s="454" t="s">
        <v>229</v>
      </c>
      <c r="F133" s="454" t="s">
        <v>871</v>
      </c>
      <c r="G133" s="454" t="s">
        <v>840</v>
      </c>
      <c r="H133" s="452" t="s">
        <v>1022</v>
      </c>
      <c r="I133" s="5" t="s">
        <v>1143</v>
      </c>
      <c r="T133" s="281" t="s">
        <v>275</v>
      </c>
      <c r="U133" s="281" t="s">
        <v>1090</v>
      </c>
      <c r="V133" s="281" t="s">
        <v>1089</v>
      </c>
    </row>
    <row r="134" spans="1:22">
      <c r="A134" s="453" t="s">
        <v>543</v>
      </c>
      <c r="B134" s="452" t="s">
        <v>1334</v>
      </c>
      <c r="C134" s="452" t="s">
        <v>1335</v>
      </c>
      <c r="D134" s="451">
        <v>5.5</v>
      </c>
      <c r="E134" s="452" t="s">
        <v>231</v>
      </c>
      <c r="F134" s="454" t="s">
        <v>1033</v>
      </c>
      <c r="G134" s="454" t="s">
        <v>840</v>
      </c>
      <c r="H134" s="452" t="s">
        <v>1038</v>
      </c>
      <c r="I134" s="5" t="s">
        <v>1036</v>
      </c>
      <c r="T134" s="281" t="s">
        <v>277</v>
      </c>
      <c r="U134" s="281" t="s">
        <v>1158</v>
      </c>
      <c r="V134" s="281" t="s">
        <v>1159</v>
      </c>
    </row>
    <row r="135" spans="1:22">
      <c r="A135" s="453" t="s">
        <v>513</v>
      </c>
      <c r="B135" s="452" t="s">
        <v>1336</v>
      </c>
      <c r="C135" s="452" t="s">
        <v>1127</v>
      </c>
      <c r="D135" s="451">
        <v>12</v>
      </c>
      <c r="E135" s="454" t="s">
        <v>233</v>
      </c>
      <c r="F135" s="454" t="s">
        <v>871</v>
      </c>
      <c r="G135" s="454" t="s">
        <v>1054</v>
      </c>
      <c r="H135" s="452" t="s">
        <v>1022</v>
      </c>
      <c r="I135" s="5" t="s">
        <v>1025</v>
      </c>
      <c r="T135" s="282" t="s">
        <v>269</v>
      </c>
      <c r="U135" s="282" t="s">
        <v>1133</v>
      </c>
      <c r="V135" s="281" t="s">
        <v>1134</v>
      </c>
    </row>
    <row r="136" spans="1:22">
      <c r="A136" s="453" t="s">
        <v>1337</v>
      </c>
      <c r="B136" s="452"/>
      <c r="C136" s="452"/>
      <c r="D136" s="451"/>
      <c r="E136" s="454"/>
      <c r="F136" s="454"/>
      <c r="G136" s="454"/>
      <c r="H136" s="452"/>
      <c r="I136" s="5"/>
      <c r="T136" s="282" t="s">
        <v>279</v>
      </c>
      <c r="U136" s="282" t="s">
        <v>1172</v>
      </c>
      <c r="V136" s="281" t="s">
        <v>1173</v>
      </c>
    </row>
    <row r="137" spans="1:22">
      <c r="A137" s="453" t="s">
        <v>236</v>
      </c>
      <c r="B137" s="452" t="s">
        <v>1338</v>
      </c>
      <c r="C137" s="452" t="s">
        <v>1339</v>
      </c>
      <c r="D137" s="451">
        <v>15.4</v>
      </c>
      <c r="E137" s="454" t="s">
        <v>235</v>
      </c>
      <c r="F137" s="454" t="s">
        <v>1033</v>
      </c>
      <c r="G137" s="454" t="s">
        <v>1047</v>
      </c>
      <c r="H137" s="452" t="s">
        <v>1022</v>
      </c>
      <c r="I137" s="5" t="s">
        <v>1104</v>
      </c>
      <c r="T137" s="281" t="s">
        <v>273</v>
      </c>
      <c r="U137" s="281" t="s">
        <v>1095</v>
      </c>
      <c r="V137" s="281" t="s">
        <v>1096</v>
      </c>
    </row>
    <row r="138" spans="1:22">
      <c r="A138" s="456" t="s">
        <v>238</v>
      </c>
      <c r="B138" s="452" t="s">
        <v>1340</v>
      </c>
      <c r="C138" s="452" t="s">
        <v>1341</v>
      </c>
      <c r="D138" s="451">
        <v>12</v>
      </c>
      <c r="E138" s="454" t="s">
        <v>237</v>
      </c>
      <c r="F138" s="454" t="s">
        <v>1033</v>
      </c>
      <c r="G138" s="454" t="s">
        <v>1047</v>
      </c>
      <c r="H138" s="452" t="s">
        <v>1022</v>
      </c>
      <c r="I138" s="5" t="s">
        <v>1081</v>
      </c>
      <c r="T138" s="282" t="s">
        <v>195</v>
      </c>
      <c r="U138" s="282" t="s">
        <v>1067</v>
      </c>
      <c r="V138" s="281" t="s">
        <v>1068</v>
      </c>
    </row>
    <row r="139" spans="1:22">
      <c r="A139" s="453" t="s">
        <v>240</v>
      </c>
      <c r="B139" s="452" t="s">
        <v>1342</v>
      </c>
      <c r="C139" s="452" t="s">
        <v>1343</v>
      </c>
      <c r="D139" s="451">
        <v>21</v>
      </c>
      <c r="E139" s="454" t="s">
        <v>239</v>
      </c>
      <c r="F139" s="454" t="s">
        <v>871</v>
      </c>
      <c r="G139" s="454" t="s">
        <v>1047</v>
      </c>
      <c r="H139" s="452" t="s">
        <v>1022</v>
      </c>
      <c r="I139" s="5" t="s">
        <v>1040</v>
      </c>
      <c r="T139" s="282" t="s">
        <v>285</v>
      </c>
      <c r="U139" s="282" t="s">
        <v>1099</v>
      </c>
      <c r="V139" s="281" t="s">
        <v>1100</v>
      </c>
    </row>
    <row r="140" spans="1:22">
      <c r="A140" s="453" t="s">
        <v>548</v>
      </c>
      <c r="B140" s="452" t="s">
        <v>1344</v>
      </c>
      <c r="C140" s="452" t="s">
        <v>1345</v>
      </c>
      <c r="D140" s="451">
        <v>7</v>
      </c>
      <c r="E140" s="454" t="s">
        <v>241</v>
      </c>
      <c r="F140" s="454" t="s">
        <v>871</v>
      </c>
      <c r="G140" s="454" t="s">
        <v>840</v>
      </c>
      <c r="H140" s="452" t="s">
        <v>1038</v>
      </c>
      <c r="I140" s="5" t="s">
        <v>1036</v>
      </c>
      <c r="T140" s="282" t="s">
        <v>287</v>
      </c>
      <c r="U140" s="282" t="s">
        <v>1146</v>
      </c>
      <c r="V140" s="281" t="s">
        <v>1147</v>
      </c>
    </row>
    <row r="141" spans="1:22">
      <c r="A141" s="453" t="s">
        <v>478</v>
      </c>
      <c r="B141" s="452" t="s">
        <v>1346</v>
      </c>
      <c r="C141" s="452" t="s">
        <v>1077</v>
      </c>
      <c r="D141" s="451">
        <v>12</v>
      </c>
      <c r="E141" s="454" t="s">
        <v>251</v>
      </c>
      <c r="F141" s="454" t="s">
        <v>1033</v>
      </c>
      <c r="G141" s="454" t="s">
        <v>840</v>
      </c>
      <c r="H141" s="452" t="s">
        <v>1022</v>
      </c>
      <c r="I141" s="5" t="s">
        <v>1034</v>
      </c>
      <c r="T141" s="281" t="s">
        <v>292</v>
      </c>
      <c r="U141" s="281" t="s">
        <v>1099</v>
      </c>
      <c r="V141" s="281" t="s">
        <v>1100</v>
      </c>
    </row>
    <row r="142" spans="1:22">
      <c r="A142" s="453" t="s">
        <v>1347</v>
      </c>
      <c r="B142" s="452"/>
      <c r="C142" s="452"/>
      <c r="D142" s="451"/>
      <c r="E142" s="454"/>
      <c r="F142" s="454"/>
      <c r="G142" s="454"/>
      <c r="H142" s="452"/>
      <c r="I142" s="5"/>
      <c r="T142" s="282" t="s">
        <v>1348</v>
      </c>
      <c r="U142" s="282" t="s">
        <v>1048</v>
      </c>
      <c r="V142" s="281" t="s">
        <v>1049</v>
      </c>
    </row>
    <row r="143" spans="1:22">
      <c r="A143" s="453" t="s">
        <v>403</v>
      </c>
      <c r="B143" s="452" t="s">
        <v>1349</v>
      </c>
      <c r="C143" s="452" t="s">
        <v>1285</v>
      </c>
      <c r="D143" s="451">
        <v>13.4</v>
      </c>
      <c r="E143" s="454" t="s">
        <v>401</v>
      </c>
      <c r="F143" s="454" t="s">
        <v>871</v>
      </c>
      <c r="G143" s="454" t="s">
        <v>840</v>
      </c>
      <c r="H143" s="452" t="s">
        <v>1038</v>
      </c>
      <c r="I143" s="5" t="s">
        <v>1073</v>
      </c>
      <c r="T143" s="281" t="s">
        <v>80</v>
      </c>
      <c r="U143" s="281" t="s">
        <v>1048</v>
      </c>
      <c r="V143" s="281" t="s">
        <v>1049</v>
      </c>
    </row>
    <row r="144" spans="1:22">
      <c r="A144" s="453" t="s">
        <v>626</v>
      </c>
      <c r="B144" s="452" t="s">
        <v>1350</v>
      </c>
      <c r="C144" s="452" t="s">
        <v>1351</v>
      </c>
      <c r="D144" s="451">
        <v>6</v>
      </c>
      <c r="E144" s="454" t="s">
        <v>247</v>
      </c>
      <c r="F144" s="454" t="s">
        <v>871</v>
      </c>
      <c r="G144" s="454" t="s">
        <v>1047</v>
      </c>
      <c r="H144" s="452" t="s">
        <v>1022</v>
      </c>
      <c r="I144" s="5" t="s">
        <v>1023</v>
      </c>
      <c r="T144" s="281" t="s">
        <v>1352</v>
      </c>
      <c r="U144" s="281" t="s">
        <v>1353</v>
      </c>
      <c r="V144" s="281" t="s">
        <v>1354</v>
      </c>
    </row>
    <row r="145" spans="1:22">
      <c r="A145" s="453" t="s">
        <v>551</v>
      </c>
      <c r="B145" s="452" t="s">
        <v>1355</v>
      </c>
      <c r="C145" s="452" t="s">
        <v>1182</v>
      </c>
      <c r="D145" s="451">
        <v>3.8</v>
      </c>
      <c r="E145" s="454" t="s">
        <v>1356</v>
      </c>
      <c r="F145" s="454" t="s">
        <v>1033</v>
      </c>
      <c r="G145" s="454" t="s">
        <v>840</v>
      </c>
      <c r="H145" s="452" t="s">
        <v>1038</v>
      </c>
      <c r="I145" s="5" t="s">
        <v>1083</v>
      </c>
      <c r="T145" s="281" t="s">
        <v>24</v>
      </c>
      <c r="U145" s="281" t="s">
        <v>1155</v>
      </c>
      <c r="V145" s="281" t="s">
        <v>1028</v>
      </c>
    </row>
    <row r="146" spans="1:22">
      <c r="A146" s="453" t="s">
        <v>480</v>
      </c>
      <c r="B146" s="452" t="s">
        <v>1357</v>
      </c>
      <c r="C146" s="452" t="s">
        <v>1127</v>
      </c>
      <c r="D146" s="451">
        <v>10</v>
      </c>
      <c r="E146" s="454" t="s">
        <v>179</v>
      </c>
      <c r="F146" s="454" t="s">
        <v>1033</v>
      </c>
      <c r="G146" s="454" t="s">
        <v>1054</v>
      </c>
      <c r="H146" s="452" t="s">
        <v>1022</v>
      </c>
      <c r="I146" s="5" t="s">
        <v>1173</v>
      </c>
      <c r="T146" s="281" t="s">
        <v>294</v>
      </c>
      <c r="U146" s="281" t="s">
        <v>1155</v>
      </c>
      <c r="V146" s="281" t="s">
        <v>1028</v>
      </c>
    </row>
    <row r="147" spans="1:22">
      <c r="A147" s="453" t="s">
        <v>529</v>
      </c>
      <c r="B147" s="452" t="s">
        <v>1358</v>
      </c>
      <c r="C147" s="452" t="s">
        <v>1127</v>
      </c>
      <c r="D147" s="451">
        <v>8</v>
      </c>
      <c r="E147" s="454" t="s">
        <v>253</v>
      </c>
      <c r="F147" s="454" t="s">
        <v>1033</v>
      </c>
      <c r="G147" s="454" t="s">
        <v>1054</v>
      </c>
      <c r="H147" s="452" t="s">
        <v>1022</v>
      </c>
      <c r="I147" s="5" t="s">
        <v>1040</v>
      </c>
      <c r="T147" s="282" t="s">
        <v>296</v>
      </c>
      <c r="U147" s="282" t="s">
        <v>1155</v>
      </c>
      <c r="V147" s="281" t="s">
        <v>1028</v>
      </c>
    </row>
    <row r="148" spans="1:22">
      <c r="A148" s="453" t="s">
        <v>555</v>
      </c>
      <c r="B148" s="452" t="s">
        <v>1359</v>
      </c>
      <c r="C148" s="452" t="s">
        <v>1360</v>
      </c>
      <c r="D148" s="451">
        <v>15.5</v>
      </c>
      <c r="E148" s="454" t="s">
        <v>1361</v>
      </c>
      <c r="F148" s="454" t="s">
        <v>1033</v>
      </c>
      <c r="G148" s="454" t="s">
        <v>840</v>
      </c>
      <c r="H148" s="452" t="s">
        <v>1038</v>
      </c>
      <c r="I148" s="5" t="s">
        <v>1073</v>
      </c>
      <c r="T148" s="282" t="s">
        <v>301</v>
      </c>
      <c r="U148" s="282" t="s">
        <v>1039</v>
      </c>
      <c r="V148" s="281" t="s">
        <v>1040</v>
      </c>
    </row>
    <row r="149" spans="1:22">
      <c r="A149" s="453" t="s">
        <v>555</v>
      </c>
      <c r="B149" s="452"/>
      <c r="C149" s="452"/>
      <c r="D149" s="451"/>
      <c r="E149" s="454"/>
      <c r="F149" s="454"/>
      <c r="G149" s="454"/>
      <c r="H149" s="452"/>
      <c r="I149" s="5"/>
      <c r="T149" s="282" t="s">
        <v>303</v>
      </c>
      <c r="U149" s="282" t="s">
        <v>1146</v>
      </c>
      <c r="V149" s="281" t="s">
        <v>1147</v>
      </c>
    </row>
    <row r="150" spans="1:22">
      <c r="A150" s="453" t="s">
        <v>438</v>
      </c>
      <c r="B150" s="452" t="s">
        <v>1362</v>
      </c>
      <c r="C150" s="452" t="s">
        <v>1363</v>
      </c>
      <c r="D150" s="451">
        <v>8.1</v>
      </c>
      <c r="E150" s="454" t="s">
        <v>255</v>
      </c>
      <c r="F150" s="454" t="s">
        <v>871</v>
      </c>
      <c r="G150" s="454" t="s">
        <v>840</v>
      </c>
      <c r="H150" s="452" t="s">
        <v>1022</v>
      </c>
      <c r="I150" s="5" t="s">
        <v>1147</v>
      </c>
      <c r="T150" s="282" t="s">
        <v>187</v>
      </c>
      <c r="U150" s="282" t="s">
        <v>1220</v>
      </c>
      <c r="V150" s="281" t="s">
        <v>1221</v>
      </c>
    </row>
    <row r="151" spans="1:22">
      <c r="A151" s="453" t="s">
        <v>658</v>
      </c>
      <c r="B151" s="452" t="s">
        <v>1362</v>
      </c>
      <c r="C151" s="452" t="s">
        <v>1363</v>
      </c>
      <c r="D151" s="451">
        <v>20.7</v>
      </c>
      <c r="E151" s="454" t="s">
        <v>1364</v>
      </c>
      <c r="F151" s="454" t="s">
        <v>871</v>
      </c>
      <c r="G151" s="454" t="s">
        <v>840</v>
      </c>
      <c r="H151" s="452" t="s">
        <v>1022</v>
      </c>
      <c r="I151" s="5" t="s">
        <v>1147</v>
      </c>
      <c r="T151" s="282" t="s">
        <v>1365</v>
      </c>
      <c r="U151" s="282" t="s">
        <v>1067</v>
      </c>
      <c r="V151" s="281" t="s">
        <v>1068</v>
      </c>
    </row>
    <row r="152" spans="1:22">
      <c r="A152" s="453" t="s">
        <v>492</v>
      </c>
      <c r="B152" s="452" t="s">
        <v>1366</v>
      </c>
      <c r="C152" s="452" t="s">
        <v>1127</v>
      </c>
      <c r="D152" s="451">
        <v>12</v>
      </c>
      <c r="E152" s="454" t="s">
        <v>257</v>
      </c>
      <c r="F152" s="454" t="s">
        <v>1033</v>
      </c>
      <c r="G152" s="454" t="s">
        <v>1054</v>
      </c>
      <c r="H152" s="452" t="s">
        <v>1022</v>
      </c>
      <c r="I152" s="5" t="s">
        <v>1221</v>
      </c>
      <c r="T152" s="281" t="s">
        <v>181</v>
      </c>
      <c r="U152" s="282" t="s">
        <v>1331</v>
      </c>
      <c r="V152" s="281" t="s">
        <v>1279</v>
      </c>
    </row>
    <row r="153" spans="1:22">
      <c r="A153" s="453" t="s">
        <v>534</v>
      </c>
      <c r="B153" s="452" t="s">
        <v>1367</v>
      </c>
      <c r="C153" s="452" t="s">
        <v>1042</v>
      </c>
      <c r="D153" s="451">
        <v>21.6</v>
      </c>
      <c r="E153" s="454" t="s">
        <v>263</v>
      </c>
      <c r="F153" s="454" t="s">
        <v>1033</v>
      </c>
      <c r="G153" s="454" t="s">
        <v>840</v>
      </c>
      <c r="H153" s="452" t="s">
        <v>1022</v>
      </c>
      <c r="I153" s="5" t="s">
        <v>1159</v>
      </c>
      <c r="T153" s="282" t="s">
        <v>1368</v>
      </c>
      <c r="U153" s="282" t="s">
        <v>1353</v>
      </c>
      <c r="V153" s="281" t="s">
        <v>1354</v>
      </c>
    </row>
    <row r="154" spans="1:22">
      <c r="A154" s="453" t="s">
        <v>1369</v>
      </c>
      <c r="B154" s="452"/>
      <c r="C154" s="452"/>
      <c r="D154" s="451"/>
      <c r="E154" s="454"/>
      <c r="F154" s="454"/>
      <c r="G154" s="454"/>
      <c r="H154" s="452"/>
      <c r="I154" s="5"/>
      <c r="T154" s="281" t="s">
        <v>261</v>
      </c>
      <c r="U154" s="281" t="s">
        <v>1043</v>
      </c>
      <c r="V154" s="281" t="s">
        <v>1044</v>
      </c>
    </row>
    <row r="155" spans="1:22">
      <c r="A155" s="453" t="s">
        <v>559</v>
      </c>
      <c r="B155" s="452" t="s">
        <v>1370</v>
      </c>
      <c r="C155" s="452" t="s">
        <v>1371</v>
      </c>
      <c r="D155" s="451">
        <v>9</v>
      </c>
      <c r="E155" s="454" t="s">
        <v>298</v>
      </c>
      <c r="F155" s="454" t="s">
        <v>1140</v>
      </c>
      <c r="G155" s="454" t="s">
        <v>840</v>
      </c>
      <c r="H155" s="452" t="s">
        <v>1372</v>
      </c>
      <c r="I155" s="5" t="s">
        <v>1100</v>
      </c>
      <c r="T155" s="282" t="s">
        <v>197</v>
      </c>
      <c r="U155" s="282" t="s">
        <v>1133</v>
      </c>
      <c r="V155" s="281" t="s">
        <v>1134</v>
      </c>
    </row>
    <row r="156" spans="1:22">
      <c r="A156" s="453" t="s">
        <v>595</v>
      </c>
      <c r="B156" s="452" t="s">
        <v>1373</v>
      </c>
      <c r="C156" s="452" t="s">
        <v>1374</v>
      </c>
      <c r="D156" s="451">
        <v>6</v>
      </c>
      <c r="E156" s="452" t="s">
        <v>249</v>
      </c>
      <c r="F156" s="454" t="s">
        <v>871</v>
      </c>
      <c r="G156" s="454" t="s">
        <v>1047</v>
      </c>
      <c r="H156" s="452" t="s">
        <v>1022</v>
      </c>
      <c r="I156" s="5" t="s">
        <v>1023</v>
      </c>
      <c r="T156" s="281" t="s">
        <v>332</v>
      </c>
      <c r="U156" s="281" t="s">
        <v>1024</v>
      </c>
      <c r="V156" s="281" t="s">
        <v>1025</v>
      </c>
    </row>
    <row r="157" spans="1:22">
      <c r="A157" s="453" t="s">
        <v>562</v>
      </c>
      <c r="B157" s="452" t="s">
        <v>1375</v>
      </c>
      <c r="C157" s="452" t="s">
        <v>1376</v>
      </c>
      <c r="D157" s="451">
        <v>3.456</v>
      </c>
      <c r="E157" s="452" t="s">
        <v>267</v>
      </c>
      <c r="F157" s="454" t="s">
        <v>1140</v>
      </c>
      <c r="G157" s="454" t="s">
        <v>840</v>
      </c>
      <c r="H157" s="452" t="s">
        <v>1141</v>
      </c>
      <c r="I157" s="5" t="s">
        <v>1279</v>
      </c>
      <c r="T157" s="282" t="s">
        <v>334</v>
      </c>
      <c r="U157" s="282" t="s">
        <v>1024</v>
      </c>
      <c r="V157" s="281" t="s">
        <v>1025</v>
      </c>
    </row>
    <row r="158" spans="1:22">
      <c r="A158" s="453" t="s">
        <v>556</v>
      </c>
      <c r="B158" s="452" t="s">
        <v>1377</v>
      </c>
      <c r="C158" s="452" t="s">
        <v>1378</v>
      </c>
      <c r="D158" s="451">
        <v>11.5</v>
      </c>
      <c r="E158" s="452" t="s">
        <v>271</v>
      </c>
      <c r="F158" s="454" t="s">
        <v>871</v>
      </c>
      <c r="G158" s="454" t="s">
        <v>1047</v>
      </c>
      <c r="H158" s="452" t="s">
        <v>1022</v>
      </c>
      <c r="I158" s="5" t="s">
        <v>1143</v>
      </c>
      <c r="T158" s="282" t="s">
        <v>336</v>
      </c>
      <c r="U158" s="282" t="s">
        <v>1024</v>
      </c>
      <c r="V158" s="281" t="s">
        <v>1025</v>
      </c>
    </row>
    <row r="159" spans="1:22">
      <c r="A159" s="453" t="s">
        <v>512</v>
      </c>
      <c r="B159" s="452" t="s">
        <v>1379</v>
      </c>
      <c r="C159" s="452" t="s">
        <v>1380</v>
      </c>
      <c r="D159" s="451">
        <v>12</v>
      </c>
      <c r="E159" s="452" t="s">
        <v>269</v>
      </c>
      <c r="F159" s="454" t="s">
        <v>1033</v>
      </c>
      <c r="G159" s="454" t="s">
        <v>1080</v>
      </c>
      <c r="H159" s="452" t="s">
        <v>1022</v>
      </c>
      <c r="I159" s="5" t="s">
        <v>1134</v>
      </c>
      <c r="T159" s="281" t="s">
        <v>318</v>
      </c>
      <c r="U159" s="281" t="s">
        <v>1124</v>
      </c>
      <c r="V159" s="281" t="s">
        <v>1125</v>
      </c>
    </row>
    <row r="160" spans="1:22">
      <c r="A160" s="453" t="s">
        <v>456</v>
      </c>
      <c r="B160" s="452" t="s">
        <v>1381</v>
      </c>
      <c r="C160" s="452" t="s">
        <v>1382</v>
      </c>
      <c r="D160" s="451">
        <v>6.9</v>
      </c>
      <c r="E160" s="452" t="s">
        <v>277</v>
      </c>
      <c r="F160" s="454" t="s">
        <v>1033</v>
      </c>
      <c r="G160" s="454" t="s">
        <v>1047</v>
      </c>
      <c r="H160" s="452" t="s">
        <v>1022</v>
      </c>
      <c r="I160" s="5" t="s">
        <v>1159</v>
      </c>
      <c r="T160" s="282" t="s">
        <v>320</v>
      </c>
      <c r="U160" s="282" t="s">
        <v>1048</v>
      </c>
      <c r="V160" s="281" t="s">
        <v>1049</v>
      </c>
    </row>
    <row r="161" spans="1:22">
      <c r="A161" s="453" t="s">
        <v>521</v>
      </c>
      <c r="B161" s="452" t="s">
        <v>1383</v>
      </c>
      <c r="C161" s="452" t="s">
        <v>1384</v>
      </c>
      <c r="D161" s="451">
        <v>21</v>
      </c>
      <c r="E161" s="454" t="s">
        <v>275</v>
      </c>
      <c r="F161" s="454" t="s">
        <v>1033</v>
      </c>
      <c r="G161" s="454" t="s">
        <v>1080</v>
      </c>
      <c r="H161" s="452" t="s">
        <v>1022</v>
      </c>
      <c r="I161" s="5" t="s">
        <v>1089</v>
      </c>
      <c r="T161" s="281" t="s">
        <v>340</v>
      </c>
      <c r="U161" s="281" t="s">
        <v>1133</v>
      </c>
      <c r="V161" s="281" t="s">
        <v>1134</v>
      </c>
    </row>
    <row r="162" spans="1:22">
      <c r="A162" s="453" t="s">
        <v>560</v>
      </c>
      <c r="B162" s="452" t="s">
        <v>1385</v>
      </c>
      <c r="C162" s="452" t="s">
        <v>1386</v>
      </c>
      <c r="D162" s="451">
        <v>9.1999999999999993</v>
      </c>
      <c r="E162" s="454" t="s">
        <v>273</v>
      </c>
      <c r="F162" s="454" t="s">
        <v>871</v>
      </c>
      <c r="G162" s="454" t="s">
        <v>840</v>
      </c>
      <c r="H162" s="452" t="s">
        <v>1022</v>
      </c>
      <c r="I162" s="5" t="s">
        <v>1096</v>
      </c>
      <c r="T162" s="282" t="s">
        <v>314</v>
      </c>
      <c r="U162" s="282" t="s">
        <v>1048</v>
      </c>
      <c r="V162" s="281" t="s">
        <v>1049</v>
      </c>
    </row>
    <row r="163" spans="1:22">
      <c r="A163" s="453" t="s">
        <v>566</v>
      </c>
      <c r="B163" s="452" t="s">
        <v>1387</v>
      </c>
      <c r="C163" s="452" t="s">
        <v>1388</v>
      </c>
      <c r="D163" s="451">
        <v>10</v>
      </c>
      <c r="E163" s="454" t="s">
        <v>279</v>
      </c>
      <c r="F163" s="454" t="s">
        <v>1033</v>
      </c>
      <c r="G163" s="454" t="s">
        <v>1054</v>
      </c>
      <c r="H163" s="452" t="s">
        <v>1022</v>
      </c>
      <c r="I163" s="5" t="s">
        <v>1173</v>
      </c>
      <c r="T163" s="282" t="s">
        <v>78</v>
      </c>
      <c r="U163" s="282" t="s">
        <v>1048</v>
      </c>
      <c r="V163" s="281" t="s">
        <v>1049</v>
      </c>
    </row>
    <row r="164" spans="1:22">
      <c r="A164" s="453" t="s">
        <v>195</v>
      </c>
      <c r="B164" s="452" t="s">
        <v>1389</v>
      </c>
      <c r="C164" s="452" t="s">
        <v>1390</v>
      </c>
      <c r="D164" s="451">
        <v>11.5</v>
      </c>
      <c r="E164" s="454" t="s">
        <v>195</v>
      </c>
      <c r="F164" s="454" t="s">
        <v>871</v>
      </c>
      <c r="G164" s="454" t="s">
        <v>1047</v>
      </c>
      <c r="H164" s="452" t="s">
        <v>1022</v>
      </c>
      <c r="I164" s="5" t="s">
        <v>1068</v>
      </c>
      <c r="T164" s="281" t="s">
        <v>338</v>
      </c>
      <c r="U164" s="281" t="s">
        <v>1024</v>
      </c>
      <c r="V164" s="281" t="s">
        <v>1025</v>
      </c>
    </row>
    <row r="165" spans="1:22">
      <c r="A165" s="453" t="s">
        <v>588</v>
      </c>
      <c r="B165" s="452" t="s">
        <v>1391</v>
      </c>
      <c r="C165" s="452" t="s">
        <v>1392</v>
      </c>
      <c r="D165" s="451">
        <v>8</v>
      </c>
      <c r="E165" s="452" t="s">
        <v>283</v>
      </c>
      <c r="F165" s="454" t="s">
        <v>1033</v>
      </c>
      <c r="G165" s="454" t="s">
        <v>840</v>
      </c>
      <c r="H165" s="452" t="s">
        <v>1022</v>
      </c>
      <c r="I165" s="5" t="s">
        <v>1030</v>
      </c>
      <c r="T165" s="282" t="s">
        <v>360</v>
      </c>
      <c r="U165" s="282" t="s">
        <v>1103</v>
      </c>
      <c r="V165" s="281" t="s">
        <v>1104</v>
      </c>
    </row>
    <row r="166" spans="1:22">
      <c r="A166" s="453" t="s">
        <v>527</v>
      </c>
      <c r="B166" s="452" t="s">
        <v>1393</v>
      </c>
      <c r="C166" s="452" t="s">
        <v>1394</v>
      </c>
      <c r="D166" s="451">
        <v>12.3</v>
      </c>
      <c r="E166" s="454" t="s">
        <v>1395</v>
      </c>
      <c r="F166" s="454" t="s">
        <v>1033</v>
      </c>
      <c r="G166" s="454" t="s">
        <v>1047</v>
      </c>
      <c r="H166" s="452" t="s">
        <v>1022</v>
      </c>
      <c r="I166" s="5" t="s">
        <v>1034</v>
      </c>
      <c r="T166" s="282" t="s">
        <v>328</v>
      </c>
      <c r="U166" s="282" t="s">
        <v>1072</v>
      </c>
      <c r="V166" s="281" t="s">
        <v>1073</v>
      </c>
    </row>
    <row r="167" spans="1:22">
      <c r="A167" s="453" t="s">
        <v>574</v>
      </c>
      <c r="B167" s="452" t="s">
        <v>1396</v>
      </c>
      <c r="C167" s="452" t="s">
        <v>1397</v>
      </c>
      <c r="D167" s="451">
        <v>4.5</v>
      </c>
      <c r="E167" s="454" t="s">
        <v>285</v>
      </c>
      <c r="F167" s="454" t="s">
        <v>1140</v>
      </c>
      <c r="G167" s="454" t="s">
        <v>840</v>
      </c>
      <c r="H167" s="452" t="s">
        <v>1141</v>
      </c>
      <c r="I167" s="5" t="s">
        <v>1100</v>
      </c>
      <c r="T167" s="282" t="s">
        <v>330</v>
      </c>
      <c r="U167" s="282" t="s">
        <v>1095</v>
      </c>
      <c r="V167" s="281" t="s">
        <v>1096</v>
      </c>
    </row>
    <row r="168" spans="1:22">
      <c r="A168" s="453" t="s">
        <v>286</v>
      </c>
      <c r="B168" s="452" t="s">
        <v>1398</v>
      </c>
      <c r="C168" s="452" t="s">
        <v>1399</v>
      </c>
      <c r="D168" s="451">
        <v>5.0999999999999996</v>
      </c>
      <c r="E168" s="454" t="s">
        <v>287</v>
      </c>
      <c r="F168" s="454" t="s">
        <v>871</v>
      </c>
      <c r="G168" s="454" t="s">
        <v>840</v>
      </c>
      <c r="H168" s="452" t="s">
        <v>1022</v>
      </c>
      <c r="I168" s="5" t="s">
        <v>1147</v>
      </c>
      <c r="T168" s="281" t="s">
        <v>344</v>
      </c>
      <c r="U168" s="281" t="s">
        <v>1116</v>
      </c>
      <c r="V168" s="281" t="s">
        <v>1081</v>
      </c>
    </row>
    <row r="169" spans="1:22">
      <c r="A169" s="453" t="s">
        <v>577</v>
      </c>
      <c r="B169" s="452" t="s">
        <v>1400</v>
      </c>
      <c r="C169" s="452" t="s">
        <v>1401</v>
      </c>
      <c r="D169" s="451">
        <v>0.68200000000000005</v>
      </c>
      <c r="E169" s="454" t="s">
        <v>292</v>
      </c>
      <c r="F169" s="454" t="s">
        <v>1140</v>
      </c>
      <c r="G169" s="454" t="s">
        <v>840</v>
      </c>
      <c r="H169" s="452" t="s">
        <v>1141</v>
      </c>
      <c r="I169" s="5" t="s">
        <v>1100</v>
      </c>
      <c r="T169" s="282" t="s">
        <v>342</v>
      </c>
      <c r="U169" s="282" t="s">
        <v>1039</v>
      </c>
      <c r="V169" s="281" t="s">
        <v>1040</v>
      </c>
    </row>
    <row r="170" spans="1:22">
      <c r="A170" s="453" t="s">
        <v>621</v>
      </c>
      <c r="B170" s="452" t="s">
        <v>1402</v>
      </c>
      <c r="C170" s="452" t="s">
        <v>1127</v>
      </c>
      <c r="D170" s="451">
        <v>12</v>
      </c>
      <c r="E170" s="454" t="s">
        <v>294</v>
      </c>
      <c r="F170" s="454" t="s">
        <v>1033</v>
      </c>
      <c r="G170" s="454" t="s">
        <v>1054</v>
      </c>
      <c r="H170" s="452" t="s">
        <v>1022</v>
      </c>
      <c r="I170" s="5" t="s">
        <v>1028</v>
      </c>
      <c r="T170" s="281" t="s">
        <v>74</v>
      </c>
      <c r="U170" s="281" t="s">
        <v>1048</v>
      </c>
      <c r="V170" s="281" t="s">
        <v>1049</v>
      </c>
    </row>
    <row r="171" spans="1:22">
      <c r="A171" s="453" t="s">
        <v>624</v>
      </c>
      <c r="B171" s="452" t="s">
        <v>1403</v>
      </c>
      <c r="C171" s="452" t="s">
        <v>1127</v>
      </c>
      <c r="D171" s="451">
        <v>26</v>
      </c>
      <c r="E171" s="454" t="s">
        <v>296</v>
      </c>
      <c r="F171" s="454" t="s">
        <v>1033</v>
      </c>
      <c r="G171" s="454" t="s">
        <v>1054</v>
      </c>
      <c r="H171" s="452" t="s">
        <v>1022</v>
      </c>
      <c r="I171" s="5" t="s">
        <v>1028</v>
      </c>
      <c r="T171" s="282" t="s">
        <v>1404</v>
      </c>
      <c r="U171" s="282" t="s">
        <v>1099</v>
      </c>
      <c r="V171" s="281" t="s">
        <v>1100</v>
      </c>
    </row>
    <row r="172" spans="1:22">
      <c r="A172" s="453" t="s">
        <v>1405</v>
      </c>
      <c r="B172" s="452"/>
      <c r="C172" s="452"/>
      <c r="D172" s="451"/>
      <c r="E172" s="454"/>
      <c r="F172" s="454"/>
      <c r="G172" s="454"/>
      <c r="H172" s="452"/>
      <c r="I172" s="5"/>
      <c r="T172" s="281" t="s">
        <v>384</v>
      </c>
      <c r="U172" s="281" t="s">
        <v>1113</v>
      </c>
      <c r="V172" s="281" t="s">
        <v>1114</v>
      </c>
    </row>
    <row r="173" spans="1:22">
      <c r="A173" s="453" t="s">
        <v>1406</v>
      </c>
      <c r="B173" s="452"/>
      <c r="C173" s="452"/>
      <c r="D173" s="451"/>
      <c r="E173" s="454"/>
      <c r="F173" s="454"/>
      <c r="G173" s="454"/>
      <c r="H173" s="452"/>
      <c r="I173" s="5"/>
      <c r="T173" s="282" t="s">
        <v>316</v>
      </c>
      <c r="U173" s="282" t="s">
        <v>1035</v>
      </c>
      <c r="V173" s="281" t="s">
        <v>1036</v>
      </c>
    </row>
    <row r="174" spans="1:22">
      <c r="A174" s="453" t="s">
        <v>1407</v>
      </c>
      <c r="B174" s="452"/>
      <c r="C174" s="452"/>
      <c r="D174" s="451"/>
      <c r="E174" s="454"/>
      <c r="F174" s="454"/>
      <c r="G174" s="454"/>
      <c r="H174" s="452"/>
      <c r="I174" s="5"/>
      <c r="T174" s="281" t="s">
        <v>76</v>
      </c>
      <c r="U174" s="281" t="s">
        <v>1048</v>
      </c>
      <c r="V174" s="281" t="s">
        <v>1049</v>
      </c>
    </row>
    <row r="175" spans="1:22">
      <c r="A175" s="453" t="s">
        <v>1408</v>
      </c>
      <c r="B175" s="452"/>
      <c r="C175" s="452"/>
      <c r="D175" s="451"/>
      <c r="E175" s="454"/>
      <c r="F175" s="454"/>
      <c r="G175" s="454"/>
      <c r="H175" s="452"/>
      <c r="I175" s="5"/>
      <c r="T175" s="281" t="s">
        <v>305</v>
      </c>
      <c r="U175" s="281" t="s">
        <v>1039</v>
      </c>
      <c r="V175" s="281" t="s">
        <v>1040</v>
      </c>
    </row>
    <row r="176" spans="1:22">
      <c r="A176" s="453" t="s">
        <v>1409</v>
      </c>
      <c r="B176" s="452"/>
      <c r="C176" s="452"/>
      <c r="D176" s="451"/>
      <c r="E176" s="454"/>
      <c r="F176" s="454"/>
      <c r="G176" s="454"/>
      <c r="H176" s="452"/>
      <c r="I176" s="5"/>
      <c r="T176" s="282" t="s">
        <v>356</v>
      </c>
      <c r="U176" s="282" t="s">
        <v>1172</v>
      </c>
      <c r="V176" s="281" t="s">
        <v>1173</v>
      </c>
    </row>
    <row r="177" spans="1:22">
      <c r="A177" s="453" t="s">
        <v>1410</v>
      </c>
      <c r="B177" s="452"/>
      <c r="C177" s="452"/>
      <c r="D177" s="451"/>
      <c r="E177" s="454"/>
      <c r="F177" s="454"/>
      <c r="G177" s="454"/>
      <c r="H177" s="452"/>
      <c r="I177" s="5"/>
      <c r="T177" s="282" t="s">
        <v>1411</v>
      </c>
      <c r="U177" s="282" t="s">
        <v>1099</v>
      </c>
      <c r="V177" s="281" t="s">
        <v>1100</v>
      </c>
    </row>
    <row r="178" spans="1:22">
      <c r="A178" s="453" t="s">
        <v>1412</v>
      </c>
      <c r="B178" s="452"/>
      <c r="C178" s="452"/>
      <c r="D178" s="451"/>
      <c r="E178" s="454"/>
      <c r="F178" s="454"/>
      <c r="G178" s="454"/>
      <c r="H178" s="452"/>
      <c r="I178" s="5"/>
      <c r="T178" s="281" t="s">
        <v>324</v>
      </c>
      <c r="U178" s="281" t="s">
        <v>1048</v>
      </c>
      <c r="V178" s="281" t="s">
        <v>1049</v>
      </c>
    </row>
    <row r="179" spans="1:22">
      <c r="A179" s="453" t="s">
        <v>1413</v>
      </c>
      <c r="B179" s="452"/>
      <c r="C179" s="452"/>
      <c r="D179" s="451"/>
      <c r="E179" s="454"/>
      <c r="F179" s="454"/>
      <c r="G179" s="454"/>
      <c r="H179" s="452"/>
      <c r="I179" s="5"/>
      <c r="T179" s="282" t="s">
        <v>352</v>
      </c>
      <c r="U179" s="282" t="s">
        <v>1133</v>
      </c>
      <c r="V179" s="281" t="s">
        <v>1134</v>
      </c>
    </row>
    <row r="180" spans="1:22">
      <c r="A180" s="456" t="s">
        <v>511</v>
      </c>
      <c r="B180" s="452" t="s">
        <v>1414</v>
      </c>
      <c r="C180" s="452" t="s">
        <v>1127</v>
      </c>
      <c r="D180" s="451">
        <v>10</v>
      </c>
      <c r="E180" s="454" t="s">
        <v>301</v>
      </c>
      <c r="F180" s="454" t="s">
        <v>1033</v>
      </c>
      <c r="G180" s="454" t="s">
        <v>1054</v>
      </c>
      <c r="H180" s="452" t="s">
        <v>1022</v>
      </c>
      <c r="I180" s="5" t="s">
        <v>1040</v>
      </c>
      <c r="T180" s="281" t="s">
        <v>309</v>
      </c>
      <c r="U180" s="281" t="s">
        <v>1220</v>
      </c>
      <c r="V180" s="281" t="s">
        <v>1221</v>
      </c>
    </row>
    <row r="181" spans="1:22">
      <c r="A181" s="453" t="s">
        <v>617</v>
      </c>
      <c r="B181" s="452" t="s">
        <v>1415</v>
      </c>
      <c r="C181" s="452" t="s">
        <v>1416</v>
      </c>
      <c r="D181" s="451">
        <v>3.6</v>
      </c>
      <c r="E181" s="452" t="s">
        <v>303</v>
      </c>
      <c r="F181" s="454" t="s">
        <v>871</v>
      </c>
      <c r="G181" s="454" t="s">
        <v>840</v>
      </c>
      <c r="H181" s="452" t="s">
        <v>1022</v>
      </c>
      <c r="I181" s="5" t="s">
        <v>1147</v>
      </c>
      <c r="T181" s="281" t="s">
        <v>354</v>
      </c>
      <c r="U181" s="281" t="s">
        <v>1035</v>
      </c>
      <c r="V181" s="281" t="s">
        <v>1036</v>
      </c>
    </row>
    <row r="182" spans="1:22">
      <c r="A182" s="453" t="s">
        <v>1417</v>
      </c>
      <c r="B182" s="452"/>
      <c r="C182" s="452"/>
      <c r="D182" s="451"/>
      <c r="E182" s="454"/>
      <c r="F182" s="454"/>
      <c r="G182" s="454"/>
      <c r="H182" s="452"/>
      <c r="I182" s="5"/>
      <c r="T182" s="282" t="s">
        <v>1418</v>
      </c>
      <c r="U182" s="282" t="s">
        <v>1331</v>
      </c>
      <c r="V182" s="281" t="s">
        <v>1279</v>
      </c>
    </row>
    <row r="183" spans="1:22">
      <c r="A183" s="453" t="s">
        <v>638</v>
      </c>
      <c r="B183" s="452" t="s">
        <v>1419</v>
      </c>
      <c r="C183" s="452" t="s">
        <v>1420</v>
      </c>
      <c r="D183" s="451">
        <v>4.49</v>
      </c>
      <c r="E183" s="454" t="s">
        <v>1421</v>
      </c>
      <c r="F183" s="454" t="s">
        <v>1140</v>
      </c>
      <c r="G183" s="454" t="s">
        <v>840</v>
      </c>
      <c r="H183" s="452" t="s">
        <v>1141</v>
      </c>
      <c r="I183" s="5" t="s">
        <v>1422</v>
      </c>
      <c r="T183" s="282" t="s">
        <v>1423</v>
      </c>
      <c r="U183" s="282" t="s">
        <v>1029</v>
      </c>
      <c r="V183" s="281" t="s">
        <v>1030</v>
      </c>
    </row>
    <row r="184" spans="1:22">
      <c r="A184" s="453" t="s">
        <v>581</v>
      </c>
      <c r="B184" s="452" t="s">
        <v>1424</v>
      </c>
      <c r="C184" s="452" t="s">
        <v>1425</v>
      </c>
      <c r="D184" s="451">
        <v>11.5</v>
      </c>
      <c r="E184" s="454" t="s">
        <v>142</v>
      </c>
      <c r="F184" s="454" t="s">
        <v>871</v>
      </c>
      <c r="G184" s="454" t="s">
        <v>1047</v>
      </c>
      <c r="H184" s="452" t="s">
        <v>1022</v>
      </c>
      <c r="I184" s="5" t="s">
        <v>1068</v>
      </c>
      <c r="T184" s="282" t="s">
        <v>315</v>
      </c>
      <c r="U184" s="282" t="s">
        <v>1048</v>
      </c>
      <c r="V184" s="281" t="s">
        <v>1049</v>
      </c>
    </row>
    <row r="185" spans="1:22">
      <c r="A185" s="453" t="s">
        <v>639</v>
      </c>
      <c r="B185" s="452" t="s">
        <v>1426</v>
      </c>
      <c r="C185" s="452" t="s">
        <v>1203</v>
      </c>
      <c r="D185" s="451">
        <v>5</v>
      </c>
      <c r="E185" s="454" t="s">
        <v>1427</v>
      </c>
      <c r="F185" s="454" t="s">
        <v>871</v>
      </c>
      <c r="G185" s="454" t="s">
        <v>840</v>
      </c>
      <c r="H185" s="452" t="s">
        <v>1038</v>
      </c>
      <c r="I185" s="5" t="s">
        <v>1036</v>
      </c>
      <c r="T185" s="281" t="s">
        <v>358</v>
      </c>
      <c r="U185" s="281" t="s">
        <v>1082</v>
      </c>
      <c r="V185" s="281" t="s">
        <v>1083</v>
      </c>
    </row>
    <row r="186" spans="1:22">
      <c r="A186" s="453" t="s">
        <v>609</v>
      </c>
      <c r="B186" s="452" t="s">
        <v>1428</v>
      </c>
      <c r="C186" s="452" t="s">
        <v>1127</v>
      </c>
      <c r="D186" s="451">
        <v>6.85</v>
      </c>
      <c r="E186" s="452" t="s">
        <v>187</v>
      </c>
      <c r="F186" s="454" t="s">
        <v>1033</v>
      </c>
      <c r="G186" s="454" t="s">
        <v>1054</v>
      </c>
      <c r="H186" s="452" t="s">
        <v>1022</v>
      </c>
      <c r="I186" s="5" t="s">
        <v>1221</v>
      </c>
      <c r="T186" s="282" t="s">
        <v>326</v>
      </c>
      <c r="U186" s="282" t="s">
        <v>1142</v>
      </c>
      <c r="V186" s="281" t="s">
        <v>1143</v>
      </c>
    </row>
    <row r="187" spans="1:22">
      <c r="A187" s="453" t="s">
        <v>482</v>
      </c>
      <c r="B187" s="452" t="s">
        <v>1429</v>
      </c>
      <c r="C187" s="452" t="s">
        <v>1042</v>
      </c>
      <c r="D187" s="451">
        <v>15</v>
      </c>
      <c r="E187" s="454" t="s">
        <v>261</v>
      </c>
      <c r="F187" s="454" t="s">
        <v>871</v>
      </c>
      <c r="G187" s="454" t="s">
        <v>840</v>
      </c>
      <c r="H187" s="452" t="s">
        <v>1022</v>
      </c>
      <c r="I187" s="5" t="s">
        <v>1044</v>
      </c>
      <c r="T187" s="281" t="s">
        <v>370</v>
      </c>
      <c r="U187" s="281" t="s">
        <v>1082</v>
      </c>
      <c r="V187" s="281" t="s">
        <v>1083</v>
      </c>
    </row>
    <row r="188" spans="1:22">
      <c r="A188" s="453" t="s">
        <v>573</v>
      </c>
      <c r="B188" s="452" t="s">
        <v>1430</v>
      </c>
      <c r="C188" s="452" t="s">
        <v>1431</v>
      </c>
      <c r="D188" s="451">
        <v>10</v>
      </c>
      <c r="E188" s="454" t="s">
        <v>197</v>
      </c>
      <c r="F188" s="454" t="s">
        <v>1033</v>
      </c>
      <c r="G188" s="454" t="s">
        <v>1047</v>
      </c>
      <c r="H188" s="452" t="s">
        <v>1022</v>
      </c>
      <c r="I188" s="5" t="s">
        <v>1134</v>
      </c>
      <c r="T188" s="282" t="s">
        <v>372</v>
      </c>
      <c r="U188" s="282" t="s">
        <v>1082</v>
      </c>
      <c r="V188" s="281" t="s">
        <v>1083</v>
      </c>
    </row>
    <row r="189" spans="1:22">
      <c r="A189" s="453" t="s">
        <v>578</v>
      </c>
      <c r="B189" s="452" t="s">
        <v>1432</v>
      </c>
      <c r="C189" s="452" t="s">
        <v>1433</v>
      </c>
      <c r="D189" s="451">
        <v>12</v>
      </c>
      <c r="E189" s="454" t="s">
        <v>305</v>
      </c>
      <c r="F189" s="454" t="s">
        <v>1033</v>
      </c>
      <c r="G189" s="454" t="s">
        <v>1054</v>
      </c>
      <c r="H189" s="452" t="s">
        <v>1022</v>
      </c>
      <c r="I189" s="5" t="s">
        <v>1040</v>
      </c>
      <c r="T189" s="281" t="s">
        <v>374</v>
      </c>
      <c r="U189" s="281" t="s">
        <v>1082</v>
      </c>
      <c r="V189" s="281" t="s">
        <v>1083</v>
      </c>
    </row>
    <row r="190" spans="1:22">
      <c r="A190" s="453" t="s">
        <v>612</v>
      </c>
      <c r="B190" s="452" t="s">
        <v>1434</v>
      </c>
      <c r="C190" s="452" t="s">
        <v>1127</v>
      </c>
      <c r="D190" s="451">
        <v>8</v>
      </c>
      <c r="E190" s="454" t="s">
        <v>309</v>
      </c>
      <c r="F190" s="454" t="s">
        <v>1033</v>
      </c>
      <c r="G190" s="454" t="s">
        <v>1054</v>
      </c>
      <c r="H190" s="452" t="s">
        <v>1022</v>
      </c>
      <c r="I190" s="5" t="s">
        <v>1221</v>
      </c>
      <c r="T190" s="282" t="s">
        <v>376</v>
      </c>
      <c r="U190" s="282" t="s">
        <v>1082</v>
      </c>
      <c r="V190" s="281" t="s">
        <v>1083</v>
      </c>
    </row>
    <row r="191" spans="1:22">
      <c r="A191" s="453" t="s">
        <v>640</v>
      </c>
      <c r="B191" s="452" t="s">
        <v>1435</v>
      </c>
      <c r="C191" s="452" t="s">
        <v>1436</v>
      </c>
      <c r="D191" s="451">
        <v>6.3250000000000002</v>
      </c>
      <c r="E191" s="454" t="s">
        <v>1418</v>
      </c>
      <c r="F191" s="454" t="s">
        <v>1140</v>
      </c>
      <c r="G191" s="454" t="s">
        <v>840</v>
      </c>
      <c r="H191" s="452" t="s">
        <v>1372</v>
      </c>
      <c r="I191" s="5" t="s">
        <v>1279</v>
      </c>
      <c r="T191" s="282" t="s">
        <v>378</v>
      </c>
      <c r="U191" s="282" t="s">
        <v>1082</v>
      </c>
      <c r="V191" s="281" t="s">
        <v>1083</v>
      </c>
    </row>
    <row r="192" spans="1:22">
      <c r="A192" s="453" t="s">
        <v>589</v>
      </c>
      <c r="B192" s="452" t="s">
        <v>1437</v>
      </c>
      <c r="C192" s="452" t="s">
        <v>1438</v>
      </c>
      <c r="D192" s="451">
        <v>5.2350000000000003</v>
      </c>
      <c r="E192" s="454" t="s">
        <v>315</v>
      </c>
      <c r="F192" s="454" t="s">
        <v>871</v>
      </c>
      <c r="G192" s="454" t="s">
        <v>840</v>
      </c>
      <c r="H192" s="452" t="s">
        <v>1038</v>
      </c>
      <c r="I192" s="5" t="s">
        <v>1049</v>
      </c>
      <c r="T192" s="281" t="s">
        <v>362</v>
      </c>
      <c r="U192" s="281" t="s">
        <v>1113</v>
      </c>
      <c r="V192" s="281" t="s">
        <v>1114</v>
      </c>
    </row>
    <row r="193" spans="1:22">
      <c r="A193" s="453" t="s">
        <v>317</v>
      </c>
      <c r="B193" s="452" t="s">
        <v>1439</v>
      </c>
      <c r="C193" s="452" t="s">
        <v>1440</v>
      </c>
      <c r="D193" s="451">
        <v>8</v>
      </c>
      <c r="E193" s="452" t="s">
        <v>318</v>
      </c>
      <c r="F193" s="454" t="s">
        <v>1033</v>
      </c>
      <c r="G193" s="454" t="s">
        <v>1047</v>
      </c>
      <c r="H193" s="452" t="s">
        <v>1022</v>
      </c>
      <c r="I193" s="5" t="s">
        <v>1125</v>
      </c>
      <c r="T193" s="281" t="s">
        <v>1441</v>
      </c>
      <c r="U193" s="281" t="s">
        <v>1099</v>
      </c>
      <c r="V193" s="281" t="s">
        <v>1100</v>
      </c>
    </row>
    <row r="194" spans="1:22">
      <c r="A194" s="453" t="s">
        <v>641</v>
      </c>
      <c r="B194" s="452" t="s">
        <v>1442</v>
      </c>
      <c r="C194" s="452" t="s">
        <v>1443</v>
      </c>
      <c r="D194" s="451">
        <v>3.4</v>
      </c>
      <c r="E194" s="454" t="s">
        <v>1444</v>
      </c>
      <c r="F194" s="454" t="s">
        <v>871</v>
      </c>
      <c r="G194" s="454" t="s">
        <v>840</v>
      </c>
      <c r="H194" s="452" t="s">
        <v>1038</v>
      </c>
      <c r="I194" s="5" t="s">
        <v>1036</v>
      </c>
      <c r="T194" s="282" t="s">
        <v>364</v>
      </c>
      <c r="U194" s="282" t="s">
        <v>1099</v>
      </c>
      <c r="V194" s="281" t="s">
        <v>1100</v>
      </c>
    </row>
    <row r="195" spans="1:22">
      <c r="A195" s="453" t="s">
        <v>591</v>
      </c>
      <c r="B195" s="452" t="s">
        <v>1445</v>
      </c>
      <c r="C195" s="452" t="s">
        <v>1123</v>
      </c>
      <c r="D195" s="451">
        <v>4.2</v>
      </c>
      <c r="E195" s="454" t="s">
        <v>320</v>
      </c>
      <c r="F195" s="454" t="s">
        <v>871</v>
      </c>
      <c r="G195" s="454" t="s">
        <v>840</v>
      </c>
      <c r="H195" s="452" t="s">
        <v>1038</v>
      </c>
      <c r="I195" s="5" t="s">
        <v>1049</v>
      </c>
      <c r="T195" s="282" t="s">
        <v>380</v>
      </c>
      <c r="U195" s="282" t="s">
        <v>1090</v>
      </c>
      <c r="V195" s="281" t="s">
        <v>1089</v>
      </c>
    </row>
    <row r="196" spans="1:22">
      <c r="A196" s="453" t="s">
        <v>592</v>
      </c>
      <c r="B196" s="452" t="s">
        <v>1446</v>
      </c>
      <c r="C196" s="452" t="s">
        <v>1161</v>
      </c>
      <c r="D196" s="451">
        <v>3.6</v>
      </c>
      <c r="E196" s="454" t="s">
        <v>78</v>
      </c>
      <c r="F196" s="454" t="s">
        <v>871</v>
      </c>
      <c r="G196" s="454" t="s">
        <v>840</v>
      </c>
      <c r="H196" s="452" t="s">
        <v>1038</v>
      </c>
      <c r="I196" s="5" t="s">
        <v>1049</v>
      </c>
      <c r="T196" s="281" t="s">
        <v>243</v>
      </c>
      <c r="U196" s="281" t="s">
        <v>1055</v>
      </c>
      <c r="V196" s="281" t="s">
        <v>1023</v>
      </c>
    </row>
    <row r="197" spans="1:22">
      <c r="A197" s="453" t="s">
        <v>593</v>
      </c>
      <c r="B197" s="452" t="s">
        <v>1447</v>
      </c>
      <c r="C197" s="452" t="s">
        <v>1285</v>
      </c>
      <c r="D197" s="451">
        <v>10.3</v>
      </c>
      <c r="E197" s="454" t="s">
        <v>328</v>
      </c>
      <c r="F197" s="454" t="s">
        <v>1033</v>
      </c>
      <c r="G197" s="454" t="s">
        <v>840</v>
      </c>
      <c r="H197" s="452" t="s">
        <v>1038</v>
      </c>
      <c r="I197" s="5" t="s">
        <v>1073</v>
      </c>
      <c r="T197" s="281" t="s">
        <v>1448</v>
      </c>
      <c r="U197" s="281" t="s">
        <v>1099</v>
      </c>
      <c r="V197" s="281" t="s">
        <v>1100</v>
      </c>
    </row>
    <row r="198" spans="1:22">
      <c r="A198" s="453" t="s">
        <v>517</v>
      </c>
      <c r="B198" s="452" t="s">
        <v>1449</v>
      </c>
      <c r="C198" s="452" t="s">
        <v>1450</v>
      </c>
      <c r="D198" s="451">
        <v>12</v>
      </c>
      <c r="E198" s="454" t="s">
        <v>330</v>
      </c>
      <c r="F198" s="454" t="s">
        <v>871</v>
      </c>
      <c r="G198" s="454" t="s">
        <v>840</v>
      </c>
      <c r="H198" s="452" t="s">
        <v>1022</v>
      </c>
      <c r="I198" s="5" t="s">
        <v>1096</v>
      </c>
      <c r="T198" s="281" t="s">
        <v>388</v>
      </c>
      <c r="U198" s="281" t="s">
        <v>1155</v>
      </c>
      <c r="V198" s="281" t="s">
        <v>1258</v>
      </c>
    </row>
    <row r="199" spans="1:22">
      <c r="A199" s="453" t="s">
        <v>1451</v>
      </c>
      <c r="B199" s="452"/>
      <c r="C199" s="452"/>
      <c r="D199" s="451"/>
      <c r="E199" s="454"/>
      <c r="F199" s="454"/>
      <c r="G199" s="454"/>
      <c r="H199" s="452"/>
      <c r="I199" s="5"/>
      <c r="T199" s="282" t="s">
        <v>390</v>
      </c>
      <c r="U199" s="282" t="s">
        <v>1229</v>
      </c>
      <c r="V199" s="281" t="s">
        <v>1206</v>
      </c>
    </row>
    <row r="200" spans="1:22">
      <c r="A200" s="453" t="s">
        <v>462</v>
      </c>
      <c r="B200" s="452" t="s">
        <v>1130</v>
      </c>
      <c r="C200" s="452" t="s">
        <v>1452</v>
      </c>
      <c r="D200" s="451">
        <v>60</v>
      </c>
      <c r="E200" s="454" t="s">
        <v>336</v>
      </c>
      <c r="F200" s="454" t="s">
        <v>1033</v>
      </c>
      <c r="G200" s="454" t="s">
        <v>840</v>
      </c>
      <c r="H200" s="452" t="s">
        <v>1022</v>
      </c>
      <c r="I200" s="5" t="s">
        <v>1025</v>
      </c>
      <c r="T200" s="282" t="s">
        <v>1453</v>
      </c>
      <c r="U200" s="282" t="s">
        <v>1110</v>
      </c>
      <c r="V200" s="281" t="s">
        <v>1111</v>
      </c>
    </row>
    <row r="201" spans="1:22">
      <c r="A201" s="453" t="s">
        <v>460</v>
      </c>
      <c r="B201" s="452" t="s">
        <v>1454</v>
      </c>
      <c r="C201" s="452" t="s">
        <v>1455</v>
      </c>
      <c r="D201" s="451">
        <v>9</v>
      </c>
      <c r="E201" s="454" t="s">
        <v>338</v>
      </c>
      <c r="F201" s="454" t="s">
        <v>1033</v>
      </c>
      <c r="G201" s="454" t="s">
        <v>840</v>
      </c>
      <c r="H201" s="452" t="s">
        <v>1022</v>
      </c>
      <c r="I201" s="5" t="s">
        <v>1025</v>
      </c>
      <c r="T201" s="281" t="s">
        <v>392</v>
      </c>
      <c r="U201" s="281" t="s">
        <v>1133</v>
      </c>
      <c r="V201" s="281" t="s">
        <v>1134</v>
      </c>
    </row>
    <row r="202" spans="1:22">
      <c r="A202" s="453" t="s">
        <v>339</v>
      </c>
      <c r="B202" s="452" t="s">
        <v>1456</v>
      </c>
      <c r="C202" s="452" t="s">
        <v>1457</v>
      </c>
      <c r="D202" s="451">
        <v>9</v>
      </c>
      <c r="E202" s="452" t="s">
        <v>340</v>
      </c>
      <c r="F202" s="454" t="s">
        <v>1033</v>
      </c>
      <c r="G202" s="454" t="s">
        <v>1047</v>
      </c>
      <c r="H202" s="452" t="s">
        <v>1022</v>
      </c>
      <c r="I202" s="5" t="s">
        <v>1134</v>
      </c>
      <c r="T202" s="281" t="s">
        <v>394</v>
      </c>
      <c r="U202" s="281" t="s">
        <v>1039</v>
      </c>
      <c r="V202" s="281" t="s">
        <v>1040</v>
      </c>
    </row>
    <row r="203" spans="1:22">
      <c r="A203" s="453" t="s">
        <v>342</v>
      </c>
      <c r="B203" s="452" t="s">
        <v>1458</v>
      </c>
      <c r="C203" s="452" t="s">
        <v>1127</v>
      </c>
      <c r="D203" s="451">
        <v>8</v>
      </c>
      <c r="E203" s="454" t="s">
        <v>342</v>
      </c>
      <c r="F203" s="454" t="s">
        <v>1033</v>
      </c>
      <c r="G203" s="454" t="s">
        <v>1054</v>
      </c>
      <c r="H203" s="452" t="s">
        <v>1022</v>
      </c>
      <c r="I203" s="5" t="s">
        <v>1040</v>
      </c>
      <c r="T203" s="284" t="s">
        <v>396</v>
      </c>
      <c r="U203" s="284" t="s">
        <v>1095</v>
      </c>
      <c r="V203" s="281" t="s">
        <v>1096</v>
      </c>
    </row>
    <row r="204" spans="1:22">
      <c r="A204" s="453" t="s">
        <v>600</v>
      </c>
      <c r="B204" s="452" t="s">
        <v>1459</v>
      </c>
      <c r="C204" s="452" t="s">
        <v>1460</v>
      </c>
      <c r="D204" s="451">
        <v>1.2569999999999999</v>
      </c>
      <c r="E204" s="454" t="s">
        <v>346</v>
      </c>
      <c r="F204" s="454" t="s">
        <v>1140</v>
      </c>
      <c r="G204" s="454" t="s">
        <v>840</v>
      </c>
      <c r="H204" s="452" t="s">
        <v>1141</v>
      </c>
      <c r="I204" s="5" t="s">
        <v>1100</v>
      </c>
    </row>
    <row r="205" spans="1:22">
      <c r="A205" s="453" t="s">
        <v>349</v>
      </c>
      <c r="B205" s="452" t="s">
        <v>1461</v>
      </c>
      <c r="C205" s="452" t="s">
        <v>1462</v>
      </c>
      <c r="D205" s="451">
        <v>13.8</v>
      </c>
      <c r="E205" s="454" t="s">
        <v>350</v>
      </c>
      <c r="F205" s="454" t="s">
        <v>871</v>
      </c>
      <c r="G205" s="454" t="s">
        <v>1047</v>
      </c>
      <c r="H205" s="452" t="s">
        <v>1022</v>
      </c>
      <c r="I205" s="5" t="s">
        <v>1068</v>
      </c>
    </row>
    <row r="206" spans="1:22">
      <c r="A206" s="453" t="s">
        <v>603</v>
      </c>
      <c r="B206" s="452" t="s">
        <v>1463</v>
      </c>
      <c r="C206" s="452" t="s">
        <v>1102</v>
      </c>
      <c r="D206" s="451">
        <v>5</v>
      </c>
      <c r="E206" s="454" t="s">
        <v>314</v>
      </c>
      <c r="F206" s="454" t="s">
        <v>1033</v>
      </c>
      <c r="G206" s="454" t="s">
        <v>840</v>
      </c>
      <c r="H206" s="452" t="s">
        <v>1038</v>
      </c>
      <c r="I206" s="5" t="s">
        <v>1049</v>
      </c>
    </row>
    <row r="207" spans="1:22">
      <c r="A207" s="453" t="s">
        <v>604</v>
      </c>
      <c r="B207" s="452" t="s">
        <v>1464</v>
      </c>
      <c r="C207" s="452" t="s">
        <v>1465</v>
      </c>
      <c r="D207" s="451">
        <v>3.6</v>
      </c>
      <c r="E207" s="454" t="s">
        <v>307</v>
      </c>
      <c r="F207" s="454" t="s">
        <v>1140</v>
      </c>
      <c r="G207" s="454" t="s">
        <v>840</v>
      </c>
      <c r="H207" s="452" t="s">
        <v>1141</v>
      </c>
      <c r="I207" s="5" t="s">
        <v>1100</v>
      </c>
    </row>
    <row r="208" spans="1:22">
      <c r="A208" s="453" t="s">
        <v>605</v>
      </c>
      <c r="B208" s="452" t="s">
        <v>1466</v>
      </c>
      <c r="C208" s="452" t="s">
        <v>1161</v>
      </c>
      <c r="D208" s="451">
        <v>2.7</v>
      </c>
      <c r="E208" s="454" t="s">
        <v>74</v>
      </c>
      <c r="F208" s="454" t="s">
        <v>871</v>
      </c>
      <c r="G208" s="454" t="s">
        <v>840</v>
      </c>
      <c r="H208" s="452" t="s">
        <v>1038</v>
      </c>
      <c r="I208" s="5" t="s">
        <v>1049</v>
      </c>
    </row>
    <row r="209" spans="1:9">
      <c r="A209" s="453" t="s">
        <v>528</v>
      </c>
      <c r="B209" s="452" t="s">
        <v>1467</v>
      </c>
      <c r="C209" s="452" t="s">
        <v>1233</v>
      </c>
      <c r="D209" s="451">
        <v>6</v>
      </c>
      <c r="E209" s="452" t="s">
        <v>352</v>
      </c>
      <c r="F209" s="454" t="s">
        <v>1033</v>
      </c>
      <c r="G209" s="454" t="s">
        <v>840</v>
      </c>
      <c r="H209" s="452" t="s">
        <v>1022</v>
      </c>
      <c r="I209" s="5" t="s">
        <v>1134</v>
      </c>
    </row>
    <row r="210" spans="1:9">
      <c r="A210" s="453" t="s">
        <v>353</v>
      </c>
      <c r="B210" s="452" t="s">
        <v>1468</v>
      </c>
      <c r="C210" s="452" t="s">
        <v>1161</v>
      </c>
      <c r="D210" s="451">
        <v>4.5999999999999996</v>
      </c>
      <c r="E210" s="454" t="s">
        <v>354</v>
      </c>
      <c r="F210" s="454" t="s">
        <v>871</v>
      </c>
      <c r="G210" s="454" t="s">
        <v>840</v>
      </c>
      <c r="H210" s="452" t="s">
        <v>1038</v>
      </c>
      <c r="I210" s="5" t="s">
        <v>1036</v>
      </c>
    </row>
    <row r="211" spans="1:9">
      <c r="A211" s="453" t="s">
        <v>607</v>
      </c>
      <c r="B211" s="452" t="s">
        <v>1469</v>
      </c>
      <c r="C211" s="452" t="s">
        <v>1051</v>
      </c>
      <c r="D211" s="451">
        <v>10.664</v>
      </c>
      <c r="E211" s="454" t="s">
        <v>316</v>
      </c>
      <c r="F211" s="454" t="s">
        <v>871</v>
      </c>
      <c r="G211" s="454" t="s">
        <v>840</v>
      </c>
      <c r="H211" s="452" t="s">
        <v>1038</v>
      </c>
      <c r="I211" s="5" t="s">
        <v>1036</v>
      </c>
    </row>
    <row r="212" spans="1:9">
      <c r="A212" s="453" t="s">
        <v>608</v>
      </c>
      <c r="B212" s="452" t="s">
        <v>1470</v>
      </c>
      <c r="C212" s="452" t="s">
        <v>1161</v>
      </c>
      <c r="D212" s="451">
        <v>5</v>
      </c>
      <c r="E212" s="454" t="s">
        <v>76</v>
      </c>
      <c r="F212" s="454" t="s">
        <v>871</v>
      </c>
      <c r="G212" s="454" t="s">
        <v>840</v>
      </c>
      <c r="H212" s="452" t="s">
        <v>1038</v>
      </c>
      <c r="I212" s="5" t="s">
        <v>1049</v>
      </c>
    </row>
    <row r="213" spans="1:9">
      <c r="A213" s="453" t="s">
        <v>625</v>
      </c>
      <c r="B213" s="452" t="s">
        <v>1471</v>
      </c>
      <c r="C213" s="452" t="s">
        <v>1416</v>
      </c>
      <c r="D213" s="451">
        <v>10.119999999999999</v>
      </c>
      <c r="E213" s="452" t="s">
        <v>1423</v>
      </c>
      <c r="F213" s="454" t="s">
        <v>1033</v>
      </c>
      <c r="G213" s="454" t="s">
        <v>840</v>
      </c>
      <c r="H213" s="452" t="s">
        <v>1022</v>
      </c>
      <c r="I213" s="5" t="s">
        <v>1030</v>
      </c>
    </row>
    <row r="214" spans="1:9">
      <c r="A214" s="453" t="s">
        <v>680</v>
      </c>
      <c r="B214" s="452" t="s">
        <v>1472</v>
      </c>
      <c r="C214" s="452" t="s">
        <v>1473</v>
      </c>
      <c r="D214" s="451">
        <v>12</v>
      </c>
      <c r="E214" s="454" t="s">
        <v>1474</v>
      </c>
      <c r="F214" s="454" t="s">
        <v>1033</v>
      </c>
      <c r="G214" s="454" t="s">
        <v>840</v>
      </c>
      <c r="H214" s="452" t="s">
        <v>1022</v>
      </c>
      <c r="I214" s="5" t="s">
        <v>1030</v>
      </c>
    </row>
    <row r="215" spans="1:9">
      <c r="A215" s="453" t="s">
        <v>642</v>
      </c>
      <c r="B215" s="452" t="s">
        <v>1475</v>
      </c>
      <c r="C215" s="452" t="s">
        <v>1476</v>
      </c>
      <c r="D215" s="451">
        <v>3.6</v>
      </c>
      <c r="E215" s="454" t="s">
        <v>1477</v>
      </c>
      <c r="F215" s="454" t="s">
        <v>1033</v>
      </c>
      <c r="G215" s="454" t="s">
        <v>840</v>
      </c>
      <c r="H215" s="452" t="s">
        <v>1038</v>
      </c>
      <c r="I215" s="5" t="s">
        <v>1049</v>
      </c>
    </row>
    <row r="216" spans="1:9">
      <c r="A216" s="453" t="s">
        <v>1478</v>
      </c>
      <c r="B216" s="452"/>
      <c r="C216" s="452"/>
      <c r="D216" s="451"/>
      <c r="E216" s="454"/>
      <c r="F216" s="454"/>
      <c r="G216" s="454"/>
      <c r="H216" s="452"/>
      <c r="I216" s="5"/>
    </row>
    <row r="217" spans="1:9">
      <c r="A217" s="453" t="s">
        <v>610</v>
      </c>
      <c r="B217" s="452" t="s">
        <v>1479</v>
      </c>
      <c r="C217" s="452" t="s">
        <v>1102</v>
      </c>
      <c r="D217" s="451">
        <v>2.7</v>
      </c>
      <c r="E217" s="454" t="s">
        <v>324</v>
      </c>
      <c r="F217" s="454" t="s">
        <v>871</v>
      </c>
      <c r="G217" s="454" t="s">
        <v>840</v>
      </c>
      <c r="H217" s="452" t="s">
        <v>1038</v>
      </c>
      <c r="I217" s="5" t="s">
        <v>1049</v>
      </c>
    </row>
    <row r="218" spans="1:9">
      <c r="A218" s="453" t="s">
        <v>611</v>
      </c>
      <c r="B218" s="452" t="s">
        <v>1480</v>
      </c>
      <c r="C218" s="452" t="s">
        <v>1481</v>
      </c>
      <c r="D218" s="451">
        <v>2.8</v>
      </c>
      <c r="E218" s="454" t="s">
        <v>1482</v>
      </c>
      <c r="F218" s="454" t="s">
        <v>871</v>
      </c>
      <c r="G218" s="454" t="s">
        <v>840</v>
      </c>
      <c r="H218" s="452" t="s">
        <v>1038</v>
      </c>
      <c r="I218" s="5" t="s">
        <v>1036</v>
      </c>
    </row>
    <row r="219" spans="1:9">
      <c r="A219" s="453" t="s">
        <v>557</v>
      </c>
      <c r="B219" s="452" t="s">
        <v>1483</v>
      </c>
      <c r="C219" s="452" t="s">
        <v>1053</v>
      </c>
      <c r="D219" s="451">
        <v>11.5</v>
      </c>
      <c r="E219" s="452" t="s">
        <v>356</v>
      </c>
      <c r="F219" s="454" t="s">
        <v>1033</v>
      </c>
      <c r="G219" s="454" t="s">
        <v>1054</v>
      </c>
      <c r="H219" s="452" t="s">
        <v>1022</v>
      </c>
      <c r="I219" s="5" t="s">
        <v>1173</v>
      </c>
    </row>
    <row r="220" spans="1:9">
      <c r="A220" s="453" t="s">
        <v>1484</v>
      </c>
      <c r="B220" s="452" t="s">
        <v>1485</v>
      </c>
      <c r="C220" s="452" t="s">
        <v>1486</v>
      </c>
      <c r="D220" s="451">
        <v>20.6</v>
      </c>
      <c r="E220" s="454" t="s">
        <v>1487</v>
      </c>
      <c r="F220" s="454" t="s">
        <v>871</v>
      </c>
      <c r="G220" s="454" t="s">
        <v>840</v>
      </c>
      <c r="H220" s="452" t="s">
        <v>1488</v>
      </c>
      <c r="I220" s="5" t="s">
        <v>1206</v>
      </c>
    </row>
    <row r="221" spans="1:9">
      <c r="A221" s="453" t="s">
        <v>613</v>
      </c>
      <c r="B221" s="452" t="s">
        <v>1489</v>
      </c>
      <c r="C221" s="452" t="s">
        <v>1182</v>
      </c>
      <c r="D221" s="451">
        <v>10.1</v>
      </c>
      <c r="E221" s="454" t="s">
        <v>358</v>
      </c>
      <c r="F221" s="454" t="s">
        <v>1033</v>
      </c>
      <c r="G221" s="454" t="s">
        <v>840</v>
      </c>
      <c r="H221" s="452" t="s">
        <v>1038</v>
      </c>
      <c r="I221" s="5" t="s">
        <v>1083</v>
      </c>
    </row>
    <row r="222" spans="1:9">
      <c r="A222" s="453" t="s">
        <v>663</v>
      </c>
      <c r="B222" s="452" t="s">
        <v>1490</v>
      </c>
      <c r="C222" s="452" t="s">
        <v>1491</v>
      </c>
      <c r="D222" s="451">
        <v>21.6</v>
      </c>
      <c r="E222" s="454" t="s">
        <v>360</v>
      </c>
      <c r="F222" s="454" t="s">
        <v>1033</v>
      </c>
      <c r="G222" s="454" t="s">
        <v>840</v>
      </c>
      <c r="H222" s="452" t="s">
        <v>1022</v>
      </c>
      <c r="I222" s="5" t="s">
        <v>1104</v>
      </c>
    </row>
    <row r="223" spans="1:9">
      <c r="A223" s="453" t="s">
        <v>1492</v>
      </c>
      <c r="B223" s="452"/>
      <c r="C223" s="452"/>
      <c r="D223" s="451"/>
      <c r="E223" s="454"/>
      <c r="F223" s="454"/>
      <c r="G223" s="454"/>
      <c r="H223" s="452"/>
      <c r="I223" s="5"/>
    </row>
    <row r="224" spans="1:9">
      <c r="A224" s="453" t="s">
        <v>436</v>
      </c>
      <c r="B224" s="452" t="s">
        <v>1493</v>
      </c>
      <c r="C224" s="452" t="s">
        <v>1494</v>
      </c>
      <c r="D224" s="451">
        <v>14.4</v>
      </c>
      <c r="E224" s="454" t="s">
        <v>362</v>
      </c>
      <c r="F224" s="454" t="s">
        <v>1033</v>
      </c>
      <c r="G224" s="454" t="s">
        <v>840</v>
      </c>
      <c r="H224" s="452" t="s">
        <v>1022</v>
      </c>
      <c r="I224" s="5" t="s">
        <v>1114</v>
      </c>
    </row>
    <row r="225" spans="1:9">
      <c r="A225" s="453" t="s">
        <v>665</v>
      </c>
      <c r="B225" s="452" t="s">
        <v>1495</v>
      </c>
      <c r="C225" s="452" t="s">
        <v>1496</v>
      </c>
      <c r="D225" s="451">
        <v>11.7</v>
      </c>
      <c r="E225" s="454" t="s">
        <v>1497</v>
      </c>
      <c r="F225" s="454" t="s">
        <v>871</v>
      </c>
      <c r="G225" s="454" t="s">
        <v>840</v>
      </c>
      <c r="H225" s="452" t="s">
        <v>1022</v>
      </c>
      <c r="I225" s="5" t="s">
        <v>1147</v>
      </c>
    </row>
    <row r="226" spans="1:9">
      <c r="A226" s="453" t="s">
        <v>1498</v>
      </c>
      <c r="B226" s="452"/>
      <c r="C226" s="452"/>
      <c r="D226" s="451"/>
      <c r="E226" s="454"/>
      <c r="F226" s="454"/>
      <c r="G226" s="454"/>
      <c r="H226" s="452"/>
      <c r="I226" s="5"/>
    </row>
    <row r="227" spans="1:9">
      <c r="A227" s="453" t="s">
        <v>614</v>
      </c>
      <c r="B227" s="452" t="s">
        <v>1499</v>
      </c>
      <c r="C227" s="452" t="s">
        <v>1500</v>
      </c>
      <c r="D227" s="451">
        <v>4.9980000000000002</v>
      </c>
      <c r="E227" s="452" t="s">
        <v>364</v>
      </c>
      <c r="F227" s="454" t="s">
        <v>1140</v>
      </c>
      <c r="G227" s="454" t="s">
        <v>840</v>
      </c>
      <c r="H227" s="452" t="s">
        <v>1141</v>
      </c>
      <c r="I227" s="5" t="s">
        <v>1100</v>
      </c>
    </row>
    <row r="228" spans="1:9">
      <c r="A228" s="453" t="s">
        <v>367</v>
      </c>
      <c r="B228" s="452" t="s">
        <v>1501</v>
      </c>
      <c r="C228" s="452" t="s">
        <v>1502</v>
      </c>
      <c r="D228" s="451">
        <v>5</v>
      </c>
      <c r="E228" s="454" t="s">
        <v>366</v>
      </c>
      <c r="F228" s="454" t="s">
        <v>1140</v>
      </c>
      <c r="G228" s="454" t="s">
        <v>840</v>
      </c>
      <c r="H228" s="452" t="s">
        <v>1141</v>
      </c>
      <c r="I228" s="5" t="s">
        <v>1100</v>
      </c>
    </row>
    <row r="229" spans="1:9">
      <c r="A229" s="453" t="s">
        <v>615</v>
      </c>
      <c r="B229" s="452" t="s">
        <v>1503</v>
      </c>
      <c r="C229" s="452" t="s">
        <v>1504</v>
      </c>
      <c r="D229" s="451">
        <v>54.93</v>
      </c>
      <c r="E229" s="454" t="s">
        <v>615</v>
      </c>
      <c r="F229" s="454" t="s">
        <v>871</v>
      </c>
      <c r="G229" s="454" t="s">
        <v>840</v>
      </c>
      <c r="H229" s="452" t="s">
        <v>1038</v>
      </c>
      <c r="I229" s="5" t="s">
        <v>1083</v>
      </c>
    </row>
    <row r="230" spans="1:9">
      <c r="A230" s="453" t="s">
        <v>451</v>
      </c>
      <c r="B230" s="452" t="s">
        <v>1505</v>
      </c>
      <c r="C230" s="452" t="s">
        <v>1053</v>
      </c>
      <c r="D230" s="451">
        <v>10</v>
      </c>
      <c r="E230" s="454" t="s">
        <v>380</v>
      </c>
      <c r="F230" s="454" t="s">
        <v>1033</v>
      </c>
      <c r="G230" s="454" t="s">
        <v>1054</v>
      </c>
      <c r="H230" s="452" t="s">
        <v>1022</v>
      </c>
      <c r="I230" s="5" t="s">
        <v>1089</v>
      </c>
    </row>
    <row r="231" spans="1:9">
      <c r="A231" s="453" t="s">
        <v>594</v>
      </c>
      <c r="B231" s="452" t="s">
        <v>1506</v>
      </c>
      <c r="C231" s="452" t="s">
        <v>1507</v>
      </c>
      <c r="D231" s="451">
        <v>6</v>
      </c>
      <c r="E231" s="452" t="s">
        <v>243</v>
      </c>
      <c r="F231" s="454" t="s">
        <v>871</v>
      </c>
      <c r="G231" s="454" t="s">
        <v>1047</v>
      </c>
      <c r="H231" s="452" t="s">
        <v>1022</v>
      </c>
      <c r="I231" s="5" t="s">
        <v>1023</v>
      </c>
    </row>
    <row r="232" spans="1:9">
      <c r="A232" s="453" t="s">
        <v>619</v>
      </c>
      <c r="B232" s="452" t="s">
        <v>1508</v>
      </c>
      <c r="C232" s="452" t="s">
        <v>1509</v>
      </c>
      <c r="D232" s="451">
        <v>0.68200000000000005</v>
      </c>
      <c r="E232" s="454" t="s">
        <v>382</v>
      </c>
      <c r="F232" s="454" t="s">
        <v>1140</v>
      </c>
      <c r="G232" s="454" t="s">
        <v>840</v>
      </c>
      <c r="H232" s="452" t="s">
        <v>1141</v>
      </c>
      <c r="I232" s="5" t="s">
        <v>1100</v>
      </c>
    </row>
    <row r="233" spans="1:9">
      <c r="A233" s="453" t="s">
        <v>447</v>
      </c>
      <c r="B233" s="452" t="s">
        <v>1510</v>
      </c>
      <c r="C233" s="452" t="s">
        <v>1511</v>
      </c>
      <c r="D233" s="451">
        <v>24</v>
      </c>
      <c r="E233" s="454" t="s">
        <v>384</v>
      </c>
      <c r="F233" s="454" t="s">
        <v>1033</v>
      </c>
      <c r="G233" s="454" t="s">
        <v>840</v>
      </c>
      <c r="H233" s="452" t="s">
        <v>1022</v>
      </c>
      <c r="I233" s="5" t="s">
        <v>1114</v>
      </c>
    </row>
    <row r="234" spans="1:9">
      <c r="A234" s="453" t="s">
        <v>1512</v>
      </c>
      <c r="B234" s="452"/>
      <c r="C234" s="452"/>
      <c r="D234" s="451"/>
      <c r="E234" s="454"/>
      <c r="F234" s="454"/>
      <c r="G234" s="454"/>
      <c r="H234" s="452"/>
      <c r="I234" s="5"/>
    </row>
    <row r="235" spans="1:9">
      <c r="A235" s="453" t="s">
        <v>474</v>
      </c>
      <c r="B235" s="452" t="s">
        <v>1513</v>
      </c>
      <c r="C235" s="452" t="s">
        <v>1077</v>
      </c>
      <c r="D235" s="451">
        <v>8.5</v>
      </c>
      <c r="E235" s="452" t="s">
        <v>388</v>
      </c>
      <c r="F235" s="454" t="s">
        <v>1033</v>
      </c>
      <c r="G235" s="454" t="s">
        <v>840</v>
      </c>
      <c r="H235" s="452" t="s">
        <v>1022</v>
      </c>
      <c r="I235" s="5" t="s">
        <v>1028</v>
      </c>
    </row>
    <row r="236" spans="1:9">
      <c r="A236" s="453" t="s">
        <v>441</v>
      </c>
      <c r="B236" s="452" t="s">
        <v>1514</v>
      </c>
      <c r="C236" s="452" t="s">
        <v>1515</v>
      </c>
      <c r="D236" s="451">
        <v>8.8000000000000007</v>
      </c>
      <c r="E236" s="454" t="s">
        <v>390</v>
      </c>
      <c r="F236" s="454" t="s">
        <v>1033</v>
      </c>
      <c r="G236" s="454" t="s">
        <v>1047</v>
      </c>
      <c r="H236" s="452" t="s">
        <v>1022</v>
      </c>
      <c r="I236" s="5" t="s">
        <v>1206</v>
      </c>
    </row>
    <row r="237" spans="1:9">
      <c r="A237" s="453" t="s">
        <v>643</v>
      </c>
      <c r="B237" s="452" t="s">
        <v>1516</v>
      </c>
      <c r="C237" s="452" t="s">
        <v>1517</v>
      </c>
      <c r="D237" s="451">
        <v>5</v>
      </c>
      <c r="E237" s="454" t="s">
        <v>1518</v>
      </c>
      <c r="F237" s="454" t="s">
        <v>1033</v>
      </c>
      <c r="G237" s="454" t="s">
        <v>840</v>
      </c>
      <c r="H237" s="452" t="s">
        <v>1038</v>
      </c>
      <c r="I237" s="5" t="s">
        <v>1083</v>
      </c>
    </row>
    <row r="238" spans="1:9">
      <c r="A238" s="453" t="s">
        <v>1519</v>
      </c>
      <c r="B238" s="452"/>
      <c r="C238" s="452"/>
      <c r="D238" s="451"/>
      <c r="E238" s="454"/>
      <c r="F238" s="454"/>
      <c r="G238" s="454"/>
      <c r="H238" s="452"/>
      <c r="I238" s="5"/>
    </row>
    <row r="239" spans="1:9">
      <c r="A239" s="453" t="s">
        <v>585</v>
      </c>
      <c r="B239" s="452" t="s">
        <v>1520</v>
      </c>
      <c r="C239" s="452" t="s">
        <v>1521</v>
      </c>
      <c r="D239" s="451">
        <v>8</v>
      </c>
      <c r="E239" s="452" t="s">
        <v>392</v>
      </c>
      <c r="F239" s="454" t="s">
        <v>1033</v>
      </c>
      <c r="G239" s="454" t="s">
        <v>840</v>
      </c>
      <c r="H239" s="452" t="s">
        <v>1022</v>
      </c>
      <c r="I239" s="5" t="s">
        <v>1134</v>
      </c>
    </row>
    <row r="240" spans="1:9">
      <c r="A240" s="453" t="s">
        <v>1522</v>
      </c>
      <c r="B240" s="452"/>
      <c r="C240" s="452"/>
      <c r="D240" s="451"/>
      <c r="E240" s="454"/>
      <c r="F240" s="454"/>
      <c r="G240" s="454"/>
      <c r="H240" s="452"/>
      <c r="I240" s="5"/>
    </row>
    <row r="241" spans="1:9">
      <c r="A241" s="453" t="s">
        <v>488</v>
      </c>
      <c r="B241" s="452" t="s">
        <v>1523</v>
      </c>
      <c r="C241" s="452" t="s">
        <v>1127</v>
      </c>
      <c r="D241" s="451">
        <v>6</v>
      </c>
      <c r="E241" s="452" t="s">
        <v>394</v>
      </c>
      <c r="F241" s="454" t="s">
        <v>1033</v>
      </c>
      <c r="G241" s="454" t="s">
        <v>1054</v>
      </c>
      <c r="H241" s="452" t="s">
        <v>1022</v>
      </c>
      <c r="I241" s="5" t="s">
        <v>1040</v>
      </c>
    </row>
    <row r="242" spans="1:9">
      <c r="A242" s="453" t="s">
        <v>596</v>
      </c>
      <c r="B242" s="452" t="s">
        <v>1524</v>
      </c>
      <c r="C242" s="452" t="s">
        <v>1525</v>
      </c>
      <c r="D242" s="451">
        <v>50.6</v>
      </c>
      <c r="E242" s="452" t="s">
        <v>396</v>
      </c>
      <c r="F242" s="454" t="s">
        <v>871</v>
      </c>
      <c r="G242" s="454" t="s">
        <v>840</v>
      </c>
      <c r="H242" s="452" t="s">
        <v>1022</v>
      </c>
      <c r="I242" s="5" t="s">
        <v>1096</v>
      </c>
    </row>
    <row r="243" spans="1:9">
      <c r="A243" s="105"/>
      <c r="B243" s="104">
        <f>SUBTOTAL(103,Tableau106[CODE PROJET])</f>
        <v>203</v>
      </c>
      <c r="C243" s="106"/>
      <c r="D243" s="106"/>
      <c r="E243" s="107"/>
      <c r="F243" s="107"/>
      <c r="G243" s="108"/>
      <c r="H243" s="109">
        <f>SUBTOTAL(103,Tableau106[nrj])</f>
        <v>206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FFC000"/>
  </sheetPr>
  <dimension ref="A2:X186"/>
  <sheetViews>
    <sheetView showGridLines="0" zoomScale="90" zoomScaleNormal="90" workbookViewId="0">
      <pane xSplit="1" ySplit="4" topLeftCell="K84" activePane="bottomRight" state="frozen"/>
      <selection pane="topRight" activeCell="B1" sqref="B1"/>
      <selection pane="bottomLeft" activeCell="A5" sqref="A5"/>
      <selection pane="bottomRight" activeCell="V103" sqref="V103"/>
    </sheetView>
  </sheetViews>
  <sheetFormatPr baseColWidth="10" defaultColWidth="12" defaultRowHeight="12"/>
  <cols>
    <col min="1" max="1" width="25.33203125" style="6" bestFit="1" customWidth="1"/>
    <col min="2" max="4" width="12" style="6"/>
    <col min="5" max="5" width="8.5" style="6" customWidth="1"/>
    <col min="6" max="6" width="12" style="6"/>
    <col min="7" max="7" width="13.1640625" style="6" customWidth="1"/>
    <col min="8" max="8" width="8.6640625" style="6" customWidth="1"/>
    <col min="9" max="9" width="16" style="6" bestFit="1" customWidth="1"/>
    <col min="10" max="10" width="17.5" style="6" bestFit="1" customWidth="1"/>
    <col min="11" max="11" width="17.1640625" style="6" bestFit="1" customWidth="1"/>
    <col min="12" max="12" width="16" style="6" customWidth="1"/>
    <col min="13" max="13" width="18.6640625" style="6" bestFit="1" customWidth="1"/>
    <col min="14" max="14" width="18.1640625" style="6" bestFit="1" customWidth="1"/>
    <col min="15" max="15" width="16" style="6" customWidth="1"/>
    <col min="16" max="16" width="18.6640625" style="6" bestFit="1" customWidth="1"/>
    <col min="17" max="17" width="15.33203125" style="6" customWidth="1"/>
    <col min="18" max="18" width="18" style="6" customWidth="1"/>
    <col min="19" max="19" width="18.6640625" style="6" bestFit="1" customWidth="1"/>
    <col min="20" max="23" width="13.6640625" style="6" customWidth="1"/>
    <col min="24" max="24" width="84" style="6" bestFit="1" customWidth="1"/>
    <col min="25" max="16384" width="12" style="6"/>
  </cols>
  <sheetData>
    <row r="2" spans="1:24" ht="12.75" thickBot="1"/>
    <row r="3" spans="1:24" ht="12.75" thickBot="1">
      <c r="I3" s="498" t="s">
        <v>407</v>
      </c>
      <c r="J3" s="499"/>
      <c r="K3" s="502" t="s">
        <v>408</v>
      </c>
      <c r="L3" s="503"/>
      <c r="M3" s="504"/>
      <c r="N3" s="505" t="s">
        <v>409</v>
      </c>
      <c r="O3" s="506"/>
      <c r="P3" s="507"/>
      <c r="Q3" s="508" t="s">
        <v>410</v>
      </c>
      <c r="R3" s="509"/>
      <c r="S3" s="510"/>
      <c r="T3" s="500"/>
      <c r="U3" s="500"/>
      <c r="V3" s="500"/>
      <c r="W3" s="501"/>
    </row>
    <row r="4" spans="1:24" ht="60.75" customHeight="1">
      <c r="A4" s="123" t="s">
        <v>411</v>
      </c>
      <c r="B4" s="123" t="s">
        <v>412</v>
      </c>
      <c r="C4" s="123" t="s">
        <v>413</v>
      </c>
      <c r="D4" s="123" t="s">
        <v>414</v>
      </c>
      <c r="E4" s="123" t="s">
        <v>415</v>
      </c>
      <c r="F4" s="123" t="s">
        <v>416</v>
      </c>
      <c r="G4" s="123" t="s">
        <v>417</v>
      </c>
      <c r="H4" s="123" t="s">
        <v>418</v>
      </c>
      <c r="I4" s="144" t="s">
        <v>419</v>
      </c>
      <c r="J4" s="145" t="s">
        <v>420</v>
      </c>
      <c r="K4" s="124" t="s">
        <v>421</v>
      </c>
      <c r="L4" s="137" t="s">
        <v>422</v>
      </c>
      <c r="M4" s="125" t="s">
        <v>423</v>
      </c>
      <c r="N4" s="126" t="s">
        <v>424</v>
      </c>
      <c r="O4" s="127" t="s">
        <v>425</v>
      </c>
      <c r="P4" s="128" t="s">
        <v>426</v>
      </c>
      <c r="Q4" s="129" t="s">
        <v>427</v>
      </c>
      <c r="R4" s="130" t="s">
        <v>428</v>
      </c>
      <c r="S4" s="131" t="s">
        <v>429</v>
      </c>
      <c r="T4" s="147" t="s">
        <v>430</v>
      </c>
      <c r="U4" s="148" t="s">
        <v>431</v>
      </c>
      <c r="V4" s="149" t="s">
        <v>432</v>
      </c>
      <c r="W4" s="148" t="s">
        <v>433</v>
      </c>
      <c r="X4" s="159" t="s">
        <v>434</v>
      </c>
    </row>
    <row r="5" spans="1:24" ht="15.75" customHeight="1">
      <c r="A5" s="345" t="s">
        <v>435</v>
      </c>
      <c r="B5" s="346" t="str">
        <f>VLOOKUP(Tableau1[[#This Row],[PARCS]],Tableau106[],3,FALSE)</f>
        <v>A763</v>
      </c>
      <c r="C5" s="346" t="str">
        <f>VLOOKUP(Tableau1[[#This Row],[PARCS]],Tableau106[],2,FALSE)</f>
        <v>FR51E05E</v>
      </c>
      <c r="D5" s="352" t="str">
        <f>VLOOKUP(Tableau1[[#This Row],[PARCS]],Tableau106[],8,FALSE)</f>
        <v>EOLIEN</v>
      </c>
      <c r="E5" s="352" t="str">
        <f>VLOOKUP(A5,Tableau106[],6,FALSE)</f>
        <v>S</v>
      </c>
      <c r="F5" s="353" t="str">
        <f>VLOOKUP(Tableau1[[#This Row],[PARCS]],Tableau106[],5,FALSE)</f>
        <v>QVA3</v>
      </c>
      <c r="G5" s="346" t="str">
        <f>VLOOKUP(Tableau1[[#This Row],[PARCS]],Tableau106[],7,FALSE)</f>
        <v>GROUPE</v>
      </c>
      <c r="H5" s="346" t="str">
        <f>VLOOKUP(Tableau1[[#This Row],[PARCS]],Tableau106[],9,FALSE)</f>
        <v>BaB</v>
      </c>
      <c r="I5" s="347">
        <v>32586.931</v>
      </c>
      <c r="J5" s="348">
        <v>2981890.69</v>
      </c>
      <c r="K5" s="354">
        <f>VLOOKUP(Tableau1[[#This Row],[PARCS]],Tableau25[],10,FALSE)</f>
        <v>37801.710725999939</v>
      </c>
      <c r="L5" s="252">
        <f>VLOOKUP(Tableau1[[#This Row],[PARCS]],Tableau25[],12,FALSE)</f>
        <v>0</v>
      </c>
      <c r="M5" s="355">
        <f>VLOOKUP(Tableau1[[#This Row],[PARCS]],Tableau25[],13,FALSE)</f>
        <v>3545211.0013424172</v>
      </c>
      <c r="N5" s="354">
        <f>VLOOKUP(Tableau1[[#This Row],[PARCS]],Tableau254[],10,FALSE)</f>
        <v>39197.616999999998</v>
      </c>
      <c r="O5" s="252">
        <f>VLOOKUP(Tableau1[[#This Row],[PARCS]],Tableau254[],12,FALSE)</f>
        <v>0</v>
      </c>
      <c r="P5" s="355">
        <f>VLOOKUP(Tableau1[[#This Row],[PARCS]],Tableau254[],13,FALSE)</f>
        <v>3752583.8634949997</v>
      </c>
      <c r="Q5" s="354">
        <f>VLOOKUP(Tableau1[[#This Row],[PARCS]],Tableau2546[],10,FALSE)</f>
        <v>32932.21244053798</v>
      </c>
      <c r="R5" s="252">
        <f>VLOOKUP(Tableau1[[#This Row],[PARCS]],Tableau2546[],12,FALSE)</f>
        <v>0</v>
      </c>
      <c r="S5" s="355">
        <f>VLOOKUP(Tableau1[[#This Row],[PARCS]],Tableau2546[],13,FALSE)</f>
        <v>3231584.4919447759</v>
      </c>
      <c r="T5" s="252">
        <f t="shared" ref="T5" si="0">P5-J5</f>
        <v>770693.17349499976</v>
      </c>
      <c r="U5" s="351">
        <f t="shared" ref="U5" si="1">IFERROR((P5-J5)/J5,"")</f>
        <v>0.25845788917735268</v>
      </c>
      <c r="V5" s="252">
        <f>Tableau1[[#This Row],[CA7]]-Tableau1[[#This Row],[CA4]]</f>
        <v>-520999.37155022379</v>
      </c>
      <c r="W5" s="351">
        <f>(Tableau1[[#This Row],[CA7]]-Tableau1[[#This Row],[CA4]])/Tableau1[[#This Row],[CA4]]</f>
        <v>-0.13883750250553675</v>
      </c>
    </row>
    <row r="6" spans="1:24" ht="15.75" customHeight="1">
      <c r="A6" s="345" t="s">
        <v>436</v>
      </c>
      <c r="B6" s="346" t="str">
        <f>VLOOKUP(Tableau1[[#This Row],[PARCS]],Tableau106[],3,FALSE)</f>
        <v>A280</v>
      </c>
      <c r="C6" s="346" t="str">
        <f>VLOOKUP(Tableau1[[#This Row],[PARCS]],Tableau106[],2,FALSE)</f>
        <v>FR89E08E</v>
      </c>
      <c r="D6" s="352" t="str">
        <f>VLOOKUP(Tableau1[[#This Row],[PARCS]],Tableau106[],8,FALSE)</f>
        <v>EOLIEN</v>
      </c>
      <c r="E6" s="352" t="str">
        <f>VLOOKUP(A6,Tableau106[],6,FALSE)</f>
        <v>N</v>
      </c>
      <c r="F6" s="353" t="str">
        <f>VLOOKUP(Tableau1[[#This Row],[PARCS]],Tableau106[],5,FALSE)</f>
        <v>TLGR</v>
      </c>
      <c r="G6" s="346" t="str">
        <f>VLOOKUP(Tableau1[[#This Row],[PARCS]],Tableau106[],7,FALSE)</f>
        <v>GROUPE</v>
      </c>
      <c r="H6" s="346" t="str">
        <f>VLOOKUP(Tableau1[[#This Row],[PARCS]],Tableau106[],9,FALSE)</f>
        <v>LoH</v>
      </c>
      <c r="I6" s="347">
        <v>32147.989000000001</v>
      </c>
      <c r="J6" s="348">
        <v>5172115.5999999996</v>
      </c>
      <c r="K6" s="354">
        <f>VLOOKUP(Tableau1[[#This Row],[PARCS]],Tableau25[],10,FALSE)</f>
        <v>30017</v>
      </c>
      <c r="L6" s="252">
        <f>VLOOKUP(Tableau1[[#This Row],[PARCS]],Tableau25[],12,FALSE)</f>
        <v>0</v>
      </c>
      <c r="M6" s="355">
        <f>VLOOKUP(Tableau1[[#This Row],[PARCS]],Tableau25[],13,FALSE)</f>
        <v>2070237.5502119998</v>
      </c>
      <c r="N6" s="354">
        <f>VLOOKUP(Tableau1[[#This Row],[PARCS]],Tableau254[],10,FALSE)</f>
        <v>32779.198352068313</v>
      </c>
      <c r="O6" s="252">
        <f>VLOOKUP(Tableau1[[#This Row],[PARCS]],Tableau254[],12,FALSE)</f>
        <v>0</v>
      </c>
      <c r="P6" s="355">
        <f>VLOOKUP(Tableau1[[#This Row],[PARCS]],Tableau254[],13,FALSE)</f>
        <v>2294314.4302563174</v>
      </c>
      <c r="Q6" s="354">
        <f>VLOOKUP(Tableau1[[#This Row],[PARCS]],Tableau2546[],10,FALSE)</f>
        <v>30020</v>
      </c>
      <c r="R6" s="252">
        <f>VLOOKUP(Tableau1[[#This Row],[PARCS]],Tableau2546[],12,FALSE)</f>
        <v>0</v>
      </c>
      <c r="S6" s="355">
        <f>VLOOKUP(Tableau1[[#This Row],[PARCS]],Tableau2546[],13,FALSE)</f>
        <v>2153719.6064999993</v>
      </c>
      <c r="T6" s="252">
        <f t="shared" ref="T6:T37" si="2">P6-J6</f>
        <v>-2877801.1697436823</v>
      </c>
      <c r="U6" s="351">
        <f t="shared" ref="U6:U37" si="3">IFERROR((P6-J6)/J6,"")</f>
        <v>-0.55640697004987327</v>
      </c>
      <c r="V6" s="252">
        <f>Tableau1[[#This Row],[CA7]]-Tableau1[[#This Row],[CA4]]</f>
        <v>-140594.82375631807</v>
      </c>
      <c r="W6" s="351">
        <f>(Tableau1[[#This Row],[CA7]]-Tableau1[[#This Row],[CA4]])/Tableau1[[#This Row],[CA4]]</f>
        <v>-6.1279666772008676E-2</v>
      </c>
    </row>
    <row r="7" spans="1:24" ht="15.75" customHeight="1">
      <c r="A7" s="345" t="s">
        <v>437</v>
      </c>
      <c r="B7" s="346" t="str">
        <f>VLOOKUP(Tableau1[[#This Row],[PARCS]],Tableau106[],3,FALSE)</f>
        <v>A541</v>
      </c>
      <c r="C7" s="346" t="str">
        <f>VLOOKUP(Tableau1[[#This Row],[PARCS]],Tableau106[],2,FALSE)</f>
        <v>FR57E05E</v>
      </c>
      <c r="D7" s="352" t="str">
        <f>VLOOKUP(Tableau1[[#This Row],[PARCS]],Tableau106[],8,FALSE)</f>
        <v>EOLIEN</v>
      </c>
      <c r="E7" s="352" t="str">
        <f>VLOOKUP(A7,Tableau106[],6,FALSE)</f>
        <v>N</v>
      </c>
      <c r="F7" s="353" t="str">
        <f>VLOOKUP(Tableau1[[#This Row],[PARCS]],Tableau106[],5,FALSE)</f>
        <v>BOUS</v>
      </c>
      <c r="G7" s="346" t="str">
        <f>VLOOKUP(Tableau1[[#This Row],[PARCS]],Tableau106[],7,FALSE)</f>
        <v>EGM</v>
      </c>
      <c r="H7" s="346" t="str">
        <f>VLOOKUP(Tableau1[[#This Row],[PARCS]],Tableau106[],9,FALSE)</f>
        <v>NoS</v>
      </c>
      <c r="I7" s="347">
        <v>14131.375</v>
      </c>
      <c r="J7" s="348">
        <v>1641147.95</v>
      </c>
      <c r="K7" s="354">
        <f>VLOOKUP(Tableau1[[#This Row],[PARCS]],Tableau25[],10,FALSE)</f>
        <v>13838</v>
      </c>
      <c r="L7" s="252">
        <f>VLOOKUP(Tableau1[[#This Row],[PARCS]],Tableau25[],12,FALSE)</f>
        <v>0</v>
      </c>
      <c r="M7" s="355">
        <f>VLOOKUP(Tableau1[[#This Row],[PARCS]],Tableau25[],13,FALSE)</f>
        <v>1625134.72</v>
      </c>
      <c r="N7" s="354">
        <f>VLOOKUP(Tableau1[[#This Row],[PARCS]],Tableau254[],10,FALSE)</f>
        <v>14344.745999999999</v>
      </c>
      <c r="O7" s="252">
        <f>VLOOKUP(Tableau1[[#This Row],[PARCS]],Tableau254[],12,FALSE)</f>
        <v>0</v>
      </c>
      <c r="P7" s="355">
        <f>VLOOKUP(Tableau1[[#This Row],[PARCS]],Tableau254[],13,FALSE)</f>
        <v>866135.76347999997</v>
      </c>
      <c r="Q7" s="354">
        <f>VLOOKUP(Tableau1[[#This Row],[PARCS]],Tableau2546[],10,FALSE)</f>
        <v>13838</v>
      </c>
      <c r="R7" s="252">
        <f>VLOOKUP(Tableau1[[#This Row],[PARCS]],Tableau2546[],12,FALSE)</f>
        <v>0</v>
      </c>
      <c r="S7" s="355">
        <f>VLOOKUP(Tableau1[[#This Row],[PARCS]],Tableau2546[],13,FALSE)</f>
        <v>835538.44000000006</v>
      </c>
      <c r="T7" s="252">
        <f t="shared" si="2"/>
        <v>-775012.18651999999</v>
      </c>
      <c r="U7" s="351">
        <f t="shared" si="3"/>
        <v>-0.47223785431410986</v>
      </c>
      <c r="V7" s="252">
        <f>Tableau1[[#This Row],[CA7]]-Tableau1[[#This Row],[CA4]]</f>
        <v>-30597.323479999905</v>
      </c>
      <c r="W7" s="351">
        <f>(Tableau1[[#This Row],[CA7]]-Tableau1[[#This Row],[CA4]])/Tableau1[[#This Row],[CA4]]</f>
        <v>-3.5326244187244477E-2</v>
      </c>
    </row>
    <row r="8" spans="1:24" ht="15.75" customHeight="1">
      <c r="A8" s="345" t="s">
        <v>438</v>
      </c>
      <c r="B8" s="346" t="str">
        <f>VLOOKUP(Tableau1[[#This Row],[PARCS]],Tableau106[],3,FALSE)</f>
        <v>A044</v>
      </c>
      <c r="C8" s="346" t="str">
        <f>VLOOKUP(Tableau1[[#This Row],[PARCS]],Tableau106[],2,FALSE)</f>
        <v>FR34E99E</v>
      </c>
      <c r="D8" s="352" t="str">
        <f>VLOOKUP(Tableau1[[#This Row],[PARCS]],Tableau106[],8,FALSE)</f>
        <v>EOLIEN</v>
      </c>
      <c r="E8" s="352" t="str">
        <f>VLOOKUP(A8,Tableau106[],6,FALSE)</f>
        <v>S</v>
      </c>
      <c r="F8" s="353" t="str">
        <f>VLOOKUP(Tableau1[[#This Row],[PARCS]],Tableau106[],5,FALSE)</f>
        <v>OUPI</v>
      </c>
      <c r="G8" s="346" t="str">
        <f>VLOOKUP(Tableau1[[#This Row],[PARCS]],Tableau106[],7,FALSE)</f>
        <v>GROUPE</v>
      </c>
      <c r="H8" s="346" t="str">
        <f>VLOOKUP(Tableau1[[#This Row],[PARCS]],Tableau106[],9,FALSE)</f>
        <v>SaH</v>
      </c>
      <c r="I8" s="347">
        <v>19499.535</v>
      </c>
      <c r="J8" s="348">
        <v>2186672.9</v>
      </c>
      <c r="K8" s="354">
        <f>VLOOKUP(Tableau1[[#This Row],[PARCS]],Tableau25[],10,FALSE)</f>
        <v>6000</v>
      </c>
      <c r="L8" s="252">
        <f>VLOOKUP(Tableau1[[#This Row],[PARCS]],Tableau25[],12,FALSE)</f>
        <v>0</v>
      </c>
      <c r="M8" s="355">
        <f>VLOOKUP(Tableau1[[#This Row],[PARCS]],Tableau25[],13,FALSE)</f>
        <v>1782000</v>
      </c>
      <c r="N8" s="354">
        <f>VLOOKUP(Tableau1[[#This Row],[PARCS]],Tableau254[],10,FALSE)</f>
        <v>5907.0540000000001</v>
      </c>
      <c r="O8" s="252">
        <f>VLOOKUP(Tableau1[[#This Row],[PARCS]],Tableau254[],12,FALSE)</f>
        <v>0</v>
      </c>
      <c r="P8" s="355">
        <f>VLOOKUP(Tableau1[[#This Row],[PARCS]],Tableau254[],13,FALSE)</f>
        <v>844708.72200000007</v>
      </c>
      <c r="Q8" s="354">
        <f>VLOOKUP(Tableau1[[#This Row],[PARCS]],Tableau2546[],10,FALSE)</f>
        <v>0</v>
      </c>
      <c r="R8" s="252">
        <f>VLOOKUP(Tableau1[[#This Row],[PARCS]],Tableau2546[],12,FALSE)</f>
        <v>0</v>
      </c>
      <c r="S8" s="355">
        <f>VLOOKUP(Tableau1[[#This Row],[PARCS]],Tableau2546[],13,FALSE)</f>
        <v>0</v>
      </c>
      <c r="T8" s="252">
        <f t="shared" si="2"/>
        <v>-1341964.1779999998</v>
      </c>
      <c r="U8" s="351">
        <f t="shared" si="3"/>
        <v>-0.61370138075978342</v>
      </c>
      <c r="V8" s="252">
        <f>Tableau1[[#This Row],[CA7]]-Tableau1[[#This Row],[CA4]]</f>
        <v>-844708.72200000007</v>
      </c>
      <c r="W8" s="351">
        <f>(Tableau1[[#This Row],[CA7]]-Tableau1[[#This Row],[CA4]])/Tableau1[[#This Row],[CA4]]</f>
        <v>-1</v>
      </c>
      <c r="X8" s="6" t="s">
        <v>439</v>
      </c>
    </row>
    <row r="9" spans="1:24" ht="15.75" customHeight="1">
      <c r="A9" s="345" t="s">
        <v>440</v>
      </c>
      <c r="B9" s="346" t="str">
        <f>VLOOKUP(Tableau1[[#This Row],[PARCS]],Tableau106[],3,FALSE)</f>
        <v>A353</v>
      </c>
      <c r="C9" s="346" t="str">
        <f>VLOOKUP(Tableau1[[#This Row],[PARCS]],Tableau106[],2,FALSE)</f>
        <v>FR33S12E</v>
      </c>
      <c r="D9" s="352" t="str">
        <f>VLOOKUP(Tableau1[[#This Row],[PARCS]],Tableau106[],8,FALSE)</f>
        <v>SOLAIRE</v>
      </c>
      <c r="E9" s="352" t="str">
        <f>VLOOKUP(A9,Tableau106[],6,FALSE)</f>
        <v>S</v>
      </c>
      <c r="F9" s="353" t="str">
        <f>VLOOKUP(Tableau1[[#This Row],[PARCS]],Tableau106[],5,FALSE)</f>
        <v>AMBE</v>
      </c>
      <c r="G9" s="346" t="str">
        <f>VLOOKUP(Tableau1[[#This Row],[PARCS]],Tableau106[],7,FALSE)</f>
        <v>GROUPE</v>
      </c>
      <c r="H9" s="346" t="str">
        <f>VLOOKUP(Tableau1[[#This Row],[PARCS]],Tableau106[],9,FALSE)</f>
        <v>BaA</v>
      </c>
      <c r="I9" s="347">
        <v>12681.957</v>
      </c>
      <c r="J9" s="348">
        <v>735512.87</v>
      </c>
      <c r="K9" s="354">
        <f>VLOOKUP(Tableau1[[#This Row],[PARCS]],Tableau25[],10,FALSE)</f>
        <v>10747</v>
      </c>
      <c r="L9" s="252">
        <f>VLOOKUP(Tableau1[[#This Row],[PARCS]],Tableau25[],12,FALSE)</f>
        <v>0</v>
      </c>
      <c r="M9" s="355">
        <f>VLOOKUP(Tableau1[[#This Row],[PARCS]],Tableau25[],13,FALSE)</f>
        <v>621345.80076800007</v>
      </c>
      <c r="N9" s="354">
        <f>VLOOKUP(Tableau1[[#This Row],[PARCS]],Tableau254[],10,FALSE)</f>
        <v>11082.109</v>
      </c>
      <c r="O9" s="252">
        <f>VLOOKUP(Tableau1[[#This Row],[PARCS]],Tableau254[],12,FALSE)</f>
        <v>0</v>
      </c>
      <c r="P9" s="355">
        <f>VLOOKUP(Tableau1[[#This Row],[PARCS]],Tableau254[],13,FALSE)</f>
        <v>657545.85540600005</v>
      </c>
      <c r="Q9" s="354">
        <f>VLOOKUP(Tableau1[[#This Row],[PARCS]],Tableau2546[],10,FALSE)</f>
        <v>10747</v>
      </c>
      <c r="R9" s="252">
        <f>VLOOKUP(Tableau1[[#This Row],[PARCS]],Tableau2546[],12,FALSE)</f>
        <v>0</v>
      </c>
      <c r="S9" s="355">
        <f>VLOOKUP(Tableau1[[#This Row],[PARCS]],Tableau2546[],13,FALSE)</f>
        <v>653604.06044999999</v>
      </c>
      <c r="T9" s="252">
        <f t="shared" si="2"/>
        <v>-77967.014593999949</v>
      </c>
      <c r="U9" s="351">
        <f t="shared" si="3"/>
        <v>-0.10600360343660602</v>
      </c>
      <c r="V9" s="252">
        <f>Tableau1[[#This Row],[CA7]]-Tableau1[[#This Row],[CA4]]</f>
        <v>-3941.7949560000561</v>
      </c>
      <c r="W9" s="351">
        <f>(Tableau1[[#This Row],[CA7]]-Tableau1[[#This Row],[CA4]])/Tableau1[[#This Row],[CA4]]</f>
        <v>-5.9947073251130217E-3</v>
      </c>
    </row>
    <row r="10" spans="1:24" ht="15.75" customHeight="1">
      <c r="A10" s="345" t="s">
        <v>441</v>
      </c>
      <c r="B10" s="346" t="str">
        <f>VLOOKUP(Tableau1[[#This Row],[PARCS]],Tableau106[],3,FALSE)</f>
        <v>F244</v>
      </c>
      <c r="C10" s="346" t="str">
        <f>VLOOKUP(Tableau1[[#This Row],[PARCS]],Tableau106[],2,FALSE)</f>
        <v>FR17E08E</v>
      </c>
      <c r="D10" s="352" t="str">
        <f>VLOOKUP(Tableau1[[#This Row],[PARCS]],Tableau106[],8,FALSE)</f>
        <v>EOLIEN</v>
      </c>
      <c r="E10" s="352" t="str">
        <f>VLOOKUP(A10,Tableau106[],6,FALSE)</f>
        <v>N</v>
      </c>
      <c r="F10" s="353" t="str">
        <f>VLOOKUP(Tableau1[[#This Row],[PARCS]],Tableau106[],5,FALSE)</f>
        <v>VARA</v>
      </c>
      <c r="G10" s="346" t="str">
        <f>VLOOKUP(Tableau1[[#This Row],[PARCS]],Tableau106[],7,FALSE)</f>
        <v>FUTUREN</v>
      </c>
      <c r="H10" s="346" t="str">
        <f>VLOOKUP(Tableau1[[#This Row],[PARCS]],Tableau106[],9,FALSE)</f>
        <v>PiM</v>
      </c>
      <c r="I10" s="347">
        <v>21737.260999999999</v>
      </c>
      <c r="J10" s="348">
        <v>2665674.2000000002</v>
      </c>
      <c r="K10" s="354">
        <f>VLOOKUP(Tableau1[[#This Row],[PARCS]],Tableau25[],10,FALSE)</f>
        <v>19562</v>
      </c>
      <c r="L10" s="252">
        <f>VLOOKUP(Tableau1[[#This Row],[PARCS]],Tableau25[],12,FALSE)</f>
        <v>0</v>
      </c>
      <c r="M10" s="252">
        <f>VLOOKUP(Tableau1[[#This Row],[PARCS]],Tableau25[],13,FALSE)</f>
        <v>1493087.64704</v>
      </c>
      <c r="N10" s="354">
        <f>VLOOKUP(Tableau1[[#This Row],[PARCS]],Tableau254[],10,FALSE)</f>
        <v>19987.3354</v>
      </c>
      <c r="O10" s="252">
        <f>VLOOKUP(Tableau1[[#This Row],[PARCS]],Tableau254[],12,FALSE)</f>
        <v>24000</v>
      </c>
      <c r="P10" s="252">
        <f>VLOOKUP(Tableau1[[#This Row],[PARCS]],Tableau254[],13,FALSE)</f>
        <v>1535047.3460554001</v>
      </c>
      <c r="Q10" s="354">
        <f>VLOOKUP(Tableau1[[#This Row],[PARCS]],Tableau2546[],10,FALSE)</f>
        <v>19562.400000000001</v>
      </c>
      <c r="R10" s="252">
        <f>VLOOKUP(Tableau1[[#This Row],[PARCS]],Tableau2546[],12,FALSE)</f>
        <v>0</v>
      </c>
      <c r="S10" s="355">
        <f>VLOOKUP(Tableau1[[#This Row],[PARCS]],Tableau2546[],13,FALSE)</f>
        <v>1539972.17946</v>
      </c>
      <c r="T10" s="252">
        <f t="shared" si="2"/>
        <v>-1130626.8539446001</v>
      </c>
      <c r="U10" s="351">
        <f t="shared" si="3"/>
        <v>-0.42414292562256861</v>
      </c>
      <c r="V10" s="252">
        <f>Tableau1[[#This Row],[CA7]]-Tableau1[[#This Row],[CA4]]</f>
        <v>4924.8334045999218</v>
      </c>
      <c r="W10" s="351">
        <f>(Tableau1[[#This Row],[CA7]]-Tableau1[[#This Row],[CA4]])/Tableau1[[#This Row],[CA4]]</f>
        <v>3.2082615674723196E-3</v>
      </c>
      <c r="X10" s="6" t="s">
        <v>442</v>
      </c>
    </row>
    <row r="11" spans="1:24" ht="15.75" customHeight="1">
      <c r="A11" s="345" t="s">
        <v>443</v>
      </c>
      <c r="B11" s="346" t="str">
        <f>VLOOKUP(Tableau1[[#This Row],[PARCS]],Tableau106[],3,FALSE)</f>
        <v>A051</v>
      </c>
      <c r="C11" s="346" t="str">
        <f>VLOOKUP(Tableau1[[#This Row],[PARCS]],Tableau106[],2,FALSE)</f>
        <v>FR85E99E</v>
      </c>
      <c r="D11" s="352" t="str">
        <f>VLOOKUP(Tableau1[[#This Row],[PARCS]],Tableau106[],8,FALSE)</f>
        <v>EOLIEN</v>
      </c>
      <c r="E11" s="352" t="str">
        <f>VLOOKUP(A11,Tableau106[],6,FALSE)</f>
        <v>N</v>
      </c>
      <c r="F11" s="353" t="str">
        <f>VLOOKUP(Tableau1[[#This Row],[PARCS]],Tableau106[],5,FALSE)</f>
        <v>JADE</v>
      </c>
      <c r="G11" s="346" t="str">
        <f>VLOOKUP(Tableau1[[#This Row],[PARCS]],Tableau106[],7,FALSE)</f>
        <v>GROUPE</v>
      </c>
      <c r="H11" s="346" t="str">
        <f>VLOOKUP(Tableau1[[#This Row],[PARCS]],Tableau106[],9,FALSE)</f>
        <v>AyB</v>
      </c>
      <c r="I11" s="347">
        <v>20156.738000000001</v>
      </c>
      <c r="J11" s="348">
        <v>3687141.33</v>
      </c>
      <c r="K11" s="354">
        <f>VLOOKUP(Tableau1[[#This Row],[PARCS]],Tableau25[],10,FALSE)</f>
        <v>19555</v>
      </c>
      <c r="L11" s="252">
        <f>VLOOKUP(Tableau1[[#This Row],[PARCS]],Tableau25[],12,FALSE)</f>
        <v>0</v>
      </c>
      <c r="M11" s="252">
        <f>VLOOKUP(Tableau1[[#This Row],[PARCS]],Tableau25[],13,FALSE)</f>
        <v>4734030.8400000008</v>
      </c>
      <c r="N11" s="354">
        <f>VLOOKUP(Tableau1[[#This Row],[PARCS]],Tableau254[],10,FALSE)</f>
        <v>20047.960473684201</v>
      </c>
      <c r="O11" s="252">
        <f>VLOOKUP(Tableau1[[#This Row],[PARCS]],Tableau254[],12,FALSE)</f>
        <v>299000</v>
      </c>
      <c r="P11" s="252">
        <f>VLOOKUP(Tableau1[[#This Row],[PARCS]],Tableau254[],13,FALSE)</f>
        <v>2387160.773502762</v>
      </c>
      <c r="Q11" s="354">
        <f>VLOOKUP(Tableau1[[#This Row],[PARCS]],Tableau2546[],10,FALSE)</f>
        <v>22663.149453203943</v>
      </c>
      <c r="R11" s="252">
        <f>VLOOKUP(Tableau1[[#This Row],[PARCS]],Tableau2546[],12,FALSE)</f>
        <v>0</v>
      </c>
      <c r="S11" s="355">
        <f>VLOOKUP(Tableau1[[#This Row],[PARCS]],Tableau2546[],13,FALSE)</f>
        <v>2766021.8098482918</v>
      </c>
      <c r="T11" s="252">
        <f t="shared" si="2"/>
        <v>-1299980.5564972381</v>
      </c>
      <c r="U11" s="351">
        <f t="shared" si="3"/>
        <v>-0.35257139343157157</v>
      </c>
      <c r="V11" s="252">
        <f>Tableau1[[#This Row],[CA7]]-Tableau1[[#This Row],[CA4]]</f>
        <v>378861.03634552984</v>
      </c>
      <c r="W11" s="351">
        <f>(Tableau1[[#This Row],[CA7]]-Tableau1[[#This Row],[CA4]])/Tableau1[[#This Row],[CA4]]</f>
        <v>0.15870780072747853</v>
      </c>
    </row>
    <row r="12" spans="1:24" ht="15.75" customHeight="1">
      <c r="A12" s="345" t="s">
        <v>444</v>
      </c>
      <c r="B12" s="346" t="str">
        <f>VLOOKUP(Tableau1[[#This Row],[PARCS]],Tableau106[],3,FALSE)</f>
        <v>A353</v>
      </c>
      <c r="C12" s="346" t="str">
        <f>VLOOKUP(Tableau1[[#This Row],[PARCS]],Tableau106[],2,FALSE)</f>
        <v>FR30S13E</v>
      </c>
      <c r="D12" s="352" t="str">
        <f>VLOOKUP(Tableau1[[#This Row],[PARCS]],Tableau106[],8,FALSE)</f>
        <v>SOLAIRE</v>
      </c>
      <c r="E12" s="352" t="str">
        <f>VLOOKUP(A12,Tableau106[],6,FALSE)</f>
        <v>S</v>
      </c>
      <c r="F12" s="353" t="str">
        <f>VLOOKUP(Tableau1[[#This Row],[PARCS]],Tableau106[],5,FALSE)</f>
        <v>ARAM</v>
      </c>
      <c r="G12" s="346" t="str">
        <f>VLOOKUP(Tableau1[[#This Row],[PARCS]],Tableau106[],7,FALSE)</f>
        <v>GROUPE</v>
      </c>
      <c r="H12" s="346" t="str">
        <f>VLOOKUP(Tableau1[[#This Row],[PARCS]],Tableau106[],9,FALSE)</f>
        <v>ArB</v>
      </c>
      <c r="I12" s="347">
        <v>7241.6689999999999</v>
      </c>
      <c r="J12" s="348">
        <v>567292.30000000005</v>
      </c>
      <c r="K12" s="354">
        <f>VLOOKUP(Tableau1[[#This Row],[PARCS]],Tableau25[],10,FALSE)</f>
        <v>6956</v>
      </c>
      <c r="L12" s="252">
        <f>VLOOKUP(Tableau1[[#This Row],[PARCS]],Tableau25[],12,FALSE)</f>
        <v>0</v>
      </c>
      <c r="M12" s="252">
        <f>VLOOKUP(Tableau1[[#This Row],[PARCS]],Tableau25[],13,FALSE)</f>
        <v>551730.72700480011</v>
      </c>
      <c r="N12" s="354">
        <f>VLOOKUP(Tableau1[[#This Row],[PARCS]],Tableau254[],10,FALSE)</f>
        <v>7198.4219999999996</v>
      </c>
      <c r="O12" s="252">
        <f>VLOOKUP(Tableau1[[#This Row],[PARCS]],Tableau254[],12,FALSE)</f>
        <v>0</v>
      </c>
      <c r="P12" s="252">
        <f>VLOOKUP(Tableau1[[#This Row],[PARCS]],Tableau254[],13,FALSE)</f>
        <v>570662.10247199994</v>
      </c>
      <c r="Q12" s="354">
        <f>VLOOKUP(Tableau1[[#This Row],[PARCS]],Tableau2546[],10,FALSE)</f>
        <v>7051.3155690742087</v>
      </c>
      <c r="R12" s="252">
        <f>VLOOKUP(Tableau1[[#This Row],[PARCS]],Tableau2546[],12,FALSE)</f>
        <v>0</v>
      </c>
      <c r="S12" s="355">
        <f>VLOOKUP(Tableau1[[#This Row],[PARCS]],Tableau2546[],13,FALSE)</f>
        <v>572975.09538027504</v>
      </c>
      <c r="T12" s="252">
        <f t="shared" si="2"/>
        <v>3369.8024719998939</v>
      </c>
      <c r="U12" s="351">
        <f t="shared" si="3"/>
        <v>5.9401519675128566E-3</v>
      </c>
      <c r="V12" s="252">
        <f>Tableau1[[#This Row],[CA7]]-Tableau1[[#This Row],[CA4]]</f>
        <v>2312.9929082751041</v>
      </c>
      <c r="W12" s="351">
        <f>(Tableau1[[#This Row],[CA7]]-Tableau1[[#This Row],[CA4]])/Tableau1[[#This Row],[CA4]]</f>
        <v>4.0531741958256167E-3</v>
      </c>
    </row>
    <row r="13" spans="1:24" ht="15.75" customHeight="1">
      <c r="A13" s="345" t="s">
        <v>445</v>
      </c>
      <c r="B13" s="346" t="str">
        <f>VLOOKUP(Tableau1[[#This Row],[PARCS]],Tableau106[],3,FALSE)</f>
        <v>A353</v>
      </c>
      <c r="C13" s="346" t="str">
        <f>VLOOKUP(Tableau1[[#This Row],[PARCS]],Tableau106[],2,FALSE)</f>
        <v>FR64S01E</v>
      </c>
      <c r="D13" s="352" t="str">
        <f>VLOOKUP(Tableau1[[#This Row],[PARCS]],Tableau106[],8,FALSE)</f>
        <v>SOLAIRE</v>
      </c>
      <c r="E13" s="352" t="str">
        <f>VLOOKUP(A13,Tableau106[],6,FALSE)</f>
        <v>S</v>
      </c>
      <c r="F13" s="353" t="str">
        <f>VLOOKUP(Tableau1[[#This Row],[PARCS]],Tableau106[],5,FALSE)</f>
        <v>ARTI</v>
      </c>
      <c r="G13" s="346" t="str">
        <f>VLOOKUP(Tableau1[[#This Row],[PARCS]],Tableau106[],7,FALSE)</f>
        <v>GROUPE</v>
      </c>
      <c r="H13" s="346" t="str">
        <f>VLOOKUP(Tableau1[[#This Row],[PARCS]],Tableau106[],9,FALSE)</f>
        <v>BaA</v>
      </c>
      <c r="I13" s="347">
        <v>5041.7650000000003</v>
      </c>
      <c r="J13" s="348">
        <v>410542</v>
      </c>
      <c r="K13" s="354">
        <f>VLOOKUP(Tableau1[[#This Row],[PARCS]],Tableau25[],10,FALSE)</f>
        <v>4520</v>
      </c>
      <c r="L13" s="252">
        <f>VLOOKUP(Tableau1[[#This Row],[PARCS]],Tableau25[],12,FALSE)</f>
        <v>0</v>
      </c>
      <c r="M13" s="252">
        <f>VLOOKUP(Tableau1[[#This Row],[PARCS]],Tableau25[],13,FALSE)</f>
        <v>292178.79532800004</v>
      </c>
      <c r="N13" s="354">
        <f>VLOOKUP(Tableau1[[#This Row],[PARCS]],Tableau254[],10,FALSE)</f>
        <v>4932.5259999999998</v>
      </c>
      <c r="O13" s="252">
        <f>VLOOKUP(Tableau1[[#This Row],[PARCS]],Tableau254[],12,FALSE)</f>
        <v>0</v>
      </c>
      <c r="P13" s="252">
        <f>VLOOKUP(Tableau1[[#This Row],[PARCS]],Tableau254[],13,FALSE)</f>
        <v>321220.89069799992</v>
      </c>
      <c r="Q13" s="354">
        <f>VLOOKUP(Tableau1[[#This Row],[PARCS]],Tableau2546[],10,FALSE)</f>
        <v>4520</v>
      </c>
      <c r="R13" s="252">
        <f>VLOOKUP(Tableau1[[#This Row],[PARCS]],Tableau2546[],12,FALSE)</f>
        <v>0</v>
      </c>
      <c r="S13" s="355">
        <f>VLOOKUP(Tableau1[[#This Row],[PARCS]],Tableau2546[],13,FALSE)</f>
        <v>301714.85899999994</v>
      </c>
      <c r="T13" s="252">
        <f t="shared" si="2"/>
        <v>-89321.109302000084</v>
      </c>
      <c r="U13" s="351">
        <f t="shared" si="3"/>
        <v>-0.21756874887831229</v>
      </c>
      <c r="V13" s="252">
        <f>Tableau1[[#This Row],[CA7]]-Tableau1[[#This Row],[CA4]]</f>
        <v>-19506.031697999977</v>
      </c>
      <c r="W13" s="351">
        <f>(Tableau1[[#This Row],[CA7]]-Tableau1[[#This Row],[CA4]])/Tableau1[[#This Row],[CA4]]</f>
        <v>-6.072466723946305E-2</v>
      </c>
    </row>
    <row r="14" spans="1:24" ht="15.75" customHeight="1">
      <c r="A14" s="345" t="s">
        <v>195</v>
      </c>
      <c r="B14" s="346" t="str">
        <f>VLOOKUP(Tableau1[[#This Row],[PARCS]],Tableau106[],3,FALSE)</f>
        <v>F034</v>
      </c>
      <c r="C14" s="346" t="str">
        <f>VLOOKUP(Tableau1[[#This Row],[PARCS]],Tableau106[],2,FALSE)</f>
        <v>FR12E94E</v>
      </c>
      <c r="D14" s="352" t="str">
        <f>VLOOKUP(Tableau1[[#This Row],[PARCS]],Tableau106[],8,FALSE)</f>
        <v>EOLIEN</v>
      </c>
      <c r="E14" s="352" t="str">
        <f>VLOOKUP(A14,Tableau106[],6,FALSE)</f>
        <v>S</v>
      </c>
      <c r="F14" s="353" t="str">
        <f>VLOOKUP(Tableau1[[#This Row],[PARCS]],Tableau106[],5,FALSE)</f>
        <v>PLOS</v>
      </c>
      <c r="G14" s="346" t="str">
        <f>VLOOKUP(Tableau1[[#This Row],[PARCS]],Tableau106[],7,FALSE)</f>
        <v>FUTUREN</v>
      </c>
      <c r="H14" s="346" t="str">
        <f>VLOOKUP(Tableau1[[#This Row],[PARCS]],Tableau106[],9,FALSE)</f>
        <v>OdP</v>
      </c>
      <c r="I14" s="347">
        <v>26969.563999999998</v>
      </c>
      <c r="J14" s="348">
        <v>3866565.09</v>
      </c>
      <c r="K14" s="354">
        <f>VLOOKUP(Tableau1[[#This Row],[PARCS]],Tableau25[],10,FALSE)</f>
        <v>27985.843221896739</v>
      </c>
      <c r="L14" s="252">
        <f>VLOOKUP(Tableau1[[#This Row],[PARCS]],Tableau25[],12,FALSE)</f>
        <v>0</v>
      </c>
      <c r="M14" s="252">
        <f>VLOOKUP(Tableau1[[#This Row],[PARCS]],Tableau25[],13,FALSE)</f>
        <v>2275249.0539402049</v>
      </c>
      <c r="N14" s="354">
        <f>VLOOKUP(Tableau1[[#This Row],[PARCS]],Tableau254[],10,FALSE)</f>
        <v>27550.859466666669</v>
      </c>
      <c r="O14" s="252">
        <f>VLOOKUP(Tableau1[[#This Row],[PARCS]],Tableau254[],12,FALSE)</f>
        <v>0</v>
      </c>
      <c r="P14" s="252">
        <f>VLOOKUP(Tableau1[[#This Row],[PARCS]],Tableau254[],13,FALSE)</f>
        <v>2239884.8746399996</v>
      </c>
      <c r="Q14" s="354">
        <f>VLOOKUP(Tableau1[[#This Row],[PARCS]],Tableau2546[],10,FALSE)</f>
        <v>31490.07637812848</v>
      </c>
      <c r="R14" s="252">
        <f>VLOOKUP(Tableau1[[#This Row],[PARCS]],Tableau2546[],12,FALSE)</f>
        <v>0</v>
      </c>
      <c r="S14" s="355">
        <f>VLOOKUP(Tableau1[[#This Row],[PARCS]],Tableau2546[],13,FALSE)</f>
        <v>2002768.8576489715</v>
      </c>
      <c r="T14" s="252">
        <f t="shared" si="2"/>
        <v>-1626680.2153600003</v>
      </c>
      <c r="U14" s="351">
        <f t="shared" si="3"/>
        <v>-0.42070421097191468</v>
      </c>
      <c r="V14" s="252">
        <f>Tableau1[[#This Row],[CA7]]-Tableau1[[#This Row],[CA4]]</f>
        <v>-237116.0169910281</v>
      </c>
      <c r="W14" s="351">
        <f>(Tableau1[[#This Row],[CA7]]-Tableau1[[#This Row],[CA4]])/Tableau1[[#This Row],[CA4]]</f>
        <v>-0.10586080547069993</v>
      </c>
      <c r="X14" s="6" t="s">
        <v>446</v>
      </c>
    </row>
    <row r="15" spans="1:24" ht="15.75" customHeight="1">
      <c r="A15" s="345" t="s">
        <v>447</v>
      </c>
      <c r="B15" s="346" t="str">
        <f>VLOOKUP(Tableau1[[#This Row],[PARCS]],Tableau106[],3,FALSE)</f>
        <v>A898</v>
      </c>
      <c r="C15" s="346" t="str">
        <f>VLOOKUP(Tableau1[[#This Row],[PARCS]],Tableau106[],2,FALSE)</f>
        <v>FR55E12E</v>
      </c>
      <c r="D15" s="352" t="str">
        <f>VLOOKUP(Tableau1[[#This Row],[PARCS]],Tableau106[],8,FALSE)</f>
        <v>EOLIEN</v>
      </c>
      <c r="E15" s="352" t="str">
        <f>VLOOKUP(A15,Tableau106[],6,FALSE)</f>
        <v>N</v>
      </c>
      <c r="F15" s="353" t="str">
        <f>VLOOKUP(Tableau1[[#This Row],[PARCS]],Tableau106[],5,FALSE)</f>
        <v>SOUR</v>
      </c>
      <c r="G15" s="346" t="str">
        <f>VLOOKUP(Tableau1[[#This Row],[PARCS]],Tableau106[],7,FALSE)</f>
        <v>GROUPE</v>
      </c>
      <c r="H15" s="346" t="str">
        <f>VLOOKUP(Tableau1[[#This Row],[PARCS]],Tableau106[],9,FALSE)</f>
        <v>LoH</v>
      </c>
      <c r="I15" s="347">
        <v>39581.489000000001</v>
      </c>
      <c r="J15" s="348">
        <v>2950042.7</v>
      </c>
      <c r="K15" s="354">
        <f>VLOOKUP(Tableau1[[#This Row],[PARCS]],Tableau25[],10,FALSE)</f>
        <v>43531.387905315751</v>
      </c>
      <c r="L15" s="252">
        <f>VLOOKUP(Tableau1[[#This Row],[PARCS]],Tableau25[],12,FALSE)</f>
        <v>0</v>
      </c>
      <c r="M15" s="252">
        <f>VLOOKUP(Tableau1[[#This Row],[PARCS]],Tableau25[],13,FALSE)</f>
        <v>2176569.3952657874</v>
      </c>
      <c r="N15" s="354">
        <f>VLOOKUP(Tableau1[[#This Row],[PARCS]],Tableau254[],10,FALSE)</f>
        <v>43556.345277777786</v>
      </c>
      <c r="O15" s="252">
        <f>VLOOKUP(Tableau1[[#This Row],[PARCS]],Tableau254[],12,FALSE)</f>
        <v>0</v>
      </c>
      <c r="P15" s="252">
        <f>VLOOKUP(Tableau1[[#This Row],[PARCS]],Tableau254[],13,FALSE)</f>
        <v>2177817.2638888895</v>
      </c>
      <c r="Q15" s="354">
        <f>VLOOKUP(Tableau1[[#This Row],[PARCS]],Tableau2546[],10,FALSE)</f>
        <v>43022.24012756678</v>
      </c>
      <c r="R15" s="252">
        <f>VLOOKUP(Tableau1[[#This Row],[PARCS]],Tableau2546[],12,FALSE)</f>
        <v>0</v>
      </c>
      <c r="S15" s="355">
        <f>VLOOKUP(Tableau1[[#This Row],[PARCS]],Tableau2546[],13,FALSE)</f>
        <v>2151112.0063783391</v>
      </c>
      <c r="T15" s="252">
        <f t="shared" si="2"/>
        <v>-772225.43611111073</v>
      </c>
      <c r="U15" s="351">
        <f t="shared" si="3"/>
        <v>-0.26176754530065299</v>
      </c>
      <c r="V15" s="252">
        <f>Tableau1[[#This Row],[CA7]]-Tableau1[[#This Row],[CA4]]</f>
        <v>-26705.25751055032</v>
      </c>
      <c r="W15" s="351">
        <f>(Tableau1[[#This Row],[CA7]]-Tableau1[[#This Row],[CA4]])/Tableau1[[#This Row],[CA4]]</f>
        <v>-1.2262395910510517E-2</v>
      </c>
    </row>
    <row r="16" spans="1:24" ht="15.75" customHeight="1">
      <c r="A16" s="345" t="s">
        <v>448</v>
      </c>
      <c r="B16" s="346" t="str">
        <f>VLOOKUP(Tableau1[[#This Row],[PARCS]],Tableau106[],3,FALSE)</f>
        <v>A099</v>
      </c>
      <c r="C16" s="346" t="str">
        <f>VLOOKUP(Tableau1[[#This Row],[PARCS]],Tableau106[],2,FALSE)</f>
        <v>FR28E96E</v>
      </c>
      <c r="D16" s="352" t="str">
        <f>VLOOKUP(Tableau1[[#This Row],[PARCS]],Tableau106[],8,FALSE)</f>
        <v>EOLIEN</v>
      </c>
      <c r="E16" s="352" t="str">
        <f>VLOOKUP(A16,Tableau106[],6,FALSE)</f>
        <v>N</v>
      </c>
      <c r="F16" s="353" t="str">
        <f>VLOOKUP(Tableau1[[#This Row],[PARCS]],Tableau106[],5,FALSE)</f>
        <v>CHAB</v>
      </c>
      <c r="G16" s="346" t="str">
        <f>VLOOKUP(Tableau1[[#This Row],[PARCS]],Tableau106[],7,FALSE)</f>
        <v>GROUPE</v>
      </c>
      <c r="H16" s="346" t="str">
        <f>VLOOKUP(Tableau1[[#This Row],[PARCS]],Tableau106[],9,FALSE)</f>
        <v>HuB</v>
      </c>
      <c r="I16" s="347">
        <v>127180.677</v>
      </c>
      <c r="J16" s="348">
        <v>14875015.6</v>
      </c>
      <c r="K16" s="354">
        <f>VLOOKUP(Tableau1[[#This Row],[PARCS]],Tableau25[],10,FALSE)</f>
        <v>131391.59172745241</v>
      </c>
      <c r="L16" s="252">
        <f>VLOOKUP(Tableau1[[#This Row],[PARCS]],Tableau25[],12,FALSE)</f>
        <v>0</v>
      </c>
      <c r="M16" s="252">
        <f>VLOOKUP(Tableau1[[#This Row],[PARCS]],Tableau25[],13,FALSE)</f>
        <v>31808327.658115502</v>
      </c>
      <c r="N16" s="354">
        <f>VLOOKUP(Tableau1[[#This Row],[PARCS]],Tableau254[],10,FALSE)</f>
        <v>90659.360249999983</v>
      </c>
      <c r="O16" s="252">
        <f>VLOOKUP(Tableau1[[#This Row],[PARCS]],Tableau254[],12,FALSE)</f>
        <v>0</v>
      </c>
      <c r="P16" s="252">
        <f>VLOOKUP(Tableau1[[#This Row],[PARCS]],Tableau254[],13,FALSE)</f>
        <v>11228615.063763749</v>
      </c>
      <c r="Q16" s="354">
        <f>VLOOKUP(Tableau1[[#This Row],[PARCS]],Tableau2546[],10,FALSE)</f>
        <v>130581.73076923077</v>
      </c>
      <c r="R16" s="252">
        <f>VLOOKUP(Tableau1[[#This Row],[PARCS]],Tableau2546[],12,FALSE)</f>
        <v>0</v>
      </c>
      <c r="S16" s="355">
        <f>VLOOKUP(Tableau1[[#This Row],[PARCS]],Tableau2546[],13,FALSE)</f>
        <v>16577530.271033654</v>
      </c>
      <c r="T16" s="252">
        <f t="shared" si="2"/>
        <v>-3646400.5362362508</v>
      </c>
      <c r="U16" s="351">
        <f t="shared" si="3"/>
        <v>-0.24513591341956312</v>
      </c>
      <c r="V16" s="252">
        <f>Tableau1[[#This Row],[CA7]]-Tableau1[[#This Row],[CA4]]</f>
        <v>5348915.2072699051</v>
      </c>
      <c r="W16" s="351">
        <f>(Tableau1[[#This Row],[CA7]]-Tableau1[[#This Row],[CA4]])/Tableau1[[#This Row],[CA4]]</f>
        <v>0.47636464309223442</v>
      </c>
    </row>
    <row r="17" spans="1:24" ht="15.75" customHeight="1">
      <c r="A17" s="345" t="s">
        <v>106</v>
      </c>
      <c r="B17" s="346" t="str">
        <f>VLOOKUP(Tableau1[[#This Row],[PARCS]],Tableau106[],3,FALSE)</f>
        <v>F069</v>
      </c>
      <c r="C17" s="346" t="str">
        <f>VLOOKUP(Tableau1[[#This Row],[PARCS]],Tableau106[],2,FALSE)</f>
        <v>FR20E01E</v>
      </c>
      <c r="D17" s="352" t="str">
        <f>VLOOKUP(Tableau1[[#This Row],[PARCS]],Tableau106[],8,FALSE)</f>
        <v>EOLIEN</v>
      </c>
      <c r="E17" s="352" t="str">
        <f>VLOOKUP(A17,Tableau106[],6,FALSE)</f>
        <v>S</v>
      </c>
      <c r="F17" s="353" t="str">
        <f>VLOOKUP(Tableau1[[#This Row],[PARCS]],Tableau106[],5,FALSE)</f>
        <v>CORS</v>
      </c>
      <c r="G17" s="346" t="str">
        <f>VLOOKUP(Tableau1[[#This Row],[PARCS]],Tableau106[],7,FALSE)</f>
        <v>FUTUREN</v>
      </c>
      <c r="H17" s="346" t="str">
        <f>VLOOKUP(Tableau1[[#This Row],[PARCS]],Tableau106[],9,FALSE)</f>
        <v>SaH</v>
      </c>
      <c r="I17" s="347">
        <v>9708.3819999999996</v>
      </c>
      <c r="J17" s="348">
        <v>701916.1</v>
      </c>
      <c r="K17" s="354">
        <f>VLOOKUP(Tableau1[[#This Row],[PARCS]],Tableau25[],10,FALSE)</f>
        <v>11039</v>
      </c>
      <c r="L17" s="252">
        <f>VLOOKUP(Tableau1[[#This Row],[PARCS]],Tableau25[],12,FALSE)</f>
        <v>0</v>
      </c>
      <c r="M17" s="252">
        <f>VLOOKUP(Tableau1[[#This Row],[PARCS]],Tableau25[],13,FALSE)</f>
        <v>830682.98375999986</v>
      </c>
      <c r="N17" s="354">
        <f>VLOOKUP(Tableau1[[#This Row],[PARCS]],Tableau254[],10,FALSE)</f>
        <v>9286.832529411764</v>
      </c>
      <c r="O17" s="252">
        <f>VLOOKUP(Tableau1[[#This Row],[PARCS]],Tableau254[],12,FALSE)</f>
        <v>0</v>
      </c>
      <c r="P17" s="252">
        <f>VLOOKUP(Tableau1[[#This Row],[PARCS]],Tableau254[],13,FALSE)</f>
        <v>513840.44385235291</v>
      </c>
      <c r="Q17" s="354">
        <f>VLOOKUP(Tableau1[[#This Row],[PARCS]],Tableau2546[],10,FALSE)</f>
        <v>11516.915194265997</v>
      </c>
      <c r="R17" s="252">
        <f>VLOOKUP(Tableau1[[#This Row],[PARCS]],Tableau2546[],12,FALSE)</f>
        <v>0</v>
      </c>
      <c r="S17" s="355">
        <f>VLOOKUP(Tableau1[[#This Row],[PARCS]],Tableau2546[],13,FALSE)</f>
        <v>633430.33568462986</v>
      </c>
      <c r="T17" s="252">
        <f t="shared" si="2"/>
        <v>-188075.65614764707</v>
      </c>
      <c r="U17" s="351">
        <f t="shared" si="3"/>
        <v>-0.26794606384957842</v>
      </c>
      <c r="V17" s="252">
        <f>Tableau1[[#This Row],[CA7]]-Tableau1[[#This Row],[CA4]]</f>
        <v>119589.89183227695</v>
      </c>
      <c r="W17" s="351">
        <f>(Tableau1[[#This Row],[CA7]]-Tableau1[[#This Row],[CA4]])/Tableau1[[#This Row],[CA4]]</f>
        <v>0.2327374056734233</v>
      </c>
      <c r="X17" s="6" t="s">
        <v>449</v>
      </c>
    </row>
    <row r="18" spans="1:24" ht="15.75" customHeight="1">
      <c r="A18" s="345" t="s">
        <v>450</v>
      </c>
      <c r="B18" s="346" t="str">
        <f>VLOOKUP(Tableau1[[#This Row],[PARCS]],Tableau106[],3,FALSE)</f>
        <v>A279</v>
      </c>
      <c r="C18" s="346" t="str">
        <f>VLOOKUP(Tableau1[[#This Row],[PARCS]],Tableau106[],2,FALSE)</f>
        <v>FR51E07E</v>
      </c>
      <c r="D18" s="352" t="str">
        <f>VLOOKUP(Tableau1[[#This Row],[PARCS]],Tableau106[],8,FALSE)</f>
        <v>EOLIEN</v>
      </c>
      <c r="E18" s="352" t="str">
        <f>VLOOKUP(A18,Tableau106[],6,FALSE)</f>
        <v>N</v>
      </c>
      <c r="F18" s="353" t="str">
        <f>VLOOKUP(Tableau1[[#This Row],[PARCS]],Tableau106[],5,FALSE)</f>
        <v>LORO</v>
      </c>
      <c r="G18" s="346" t="str">
        <f>VLOOKUP(Tableau1[[#This Row],[PARCS]],Tableau106[],7,FALSE)</f>
        <v>GROUPE</v>
      </c>
      <c r="H18" s="346" t="str">
        <f>VLOOKUP(Tableau1[[#This Row],[PARCS]],Tableau106[],9,FALSE)</f>
        <v>BaB</v>
      </c>
      <c r="I18" s="347">
        <v>78046.698999999993</v>
      </c>
      <c r="J18" s="348">
        <v>7247820.9000000004</v>
      </c>
      <c r="K18" s="354">
        <f>VLOOKUP(Tableau1[[#This Row],[PARCS]],Tableau25[],10,FALSE)</f>
        <v>78422</v>
      </c>
      <c r="L18" s="252">
        <f>VLOOKUP(Tableau1[[#This Row],[PARCS]],Tableau25[],12,FALSE)</f>
        <v>0</v>
      </c>
      <c r="M18" s="252">
        <f>VLOOKUP(Tableau1[[#This Row],[PARCS]],Tableau25[],13,FALSE)</f>
        <v>5420917.3935383996</v>
      </c>
      <c r="N18" s="354">
        <f>VLOOKUP(Tableau1[[#This Row],[PARCS]],Tableau254[],10,FALSE)</f>
        <v>87629.061000000002</v>
      </c>
      <c r="O18" s="252">
        <f>VLOOKUP(Tableau1[[#This Row],[PARCS]],Tableau254[],12,FALSE)</f>
        <v>0</v>
      </c>
      <c r="P18" s="252">
        <f>VLOOKUP(Tableau1[[#This Row],[PARCS]],Tableau254[],13,FALSE)</f>
        <v>6301055.2602660004</v>
      </c>
      <c r="Q18" s="354">
        <f>VLOOKUP(Tableau1[[#This Row],[PARCS]],Tableau2546[],10,FALSE)</f>
        <v>78422</v>
      </c>
      <c r="R18" s="252">
        <f>VLOOKUP(Tableau1[[#This Row],[PARCS]],Tableau2546[],12,FALSE)</f>
        <v>0</v>
      </c>
      <c r="S18" s="355">
        <f>VLOOKUP(Tableau1[[#This Row],[PARCS]],Tableau2546[],13,FALSE)</f>
        <v>5779987.6403000001</v>
      </c>
      <c r="T18" s="252">
        <f t="shared" si="2"/>
        <v>-946765.63973399997</v>
      </c>
      <c r="U18" s="351">
        <f t="shared" si="3"/>
        <v>-0.13062762626129462</v>
      </c>
      <c r="V18" s="252">
        <f>Tableau1[[#This Row],[CA7]]-Tableau1[[#This Row],[CA4]]</f>
        <v>-521067.61996600032</v>
      </c>
      <c r="W18" s="351">
        <f>(Tableau1[[#This Row],[CA7]]-Tableau1[[#This Row],[CA4]])/Tableau1[[#This Row],[CA4]]</f>
        <v>-8.2695294429778313E-2</v>
      </c>
    </row>
    <row r="19" spans="1:24" ht="15.75" customHeight="1">
      <c r="A19" s="345" t="s">
        <v>451</v>
      </c>
      <c r="B19" s="346" t="str">
        <f>VLOOKUP(Tableau1[[#This Row],[PARCS]],Tableau106[],3,FALSE)</f>
        <v>A541</v>
      </c>
      <c r="C19" s="346" t="str">
        <f>VLOOKUP(Tableau1[[#This Row],[PARCS]],Tableau106[],2,FALSE)</f>
        <v>FR79E02E</v>
      </c>
      <c r="D19" s="352" t="str">
        <f>VLOOKUP(Tableau1[[#This Row],[PARCS]],Tableau106[],8,FALSE)</f>
        <v>EOLIEN</v>
      </c>
      <c r="E19" s="352" t="str">
        <f>VLOOKUP(A19,Tableau106[],6,FALSE)</f>
        <v>N</v>
      </c>
      <c r="F19" s="353" t="str">
        <f>VLOOKUP(Tableau1[[#This Row],[PARCS]],Tableau106[],5,FALSE)</f>
        <v>TRAY</v>
      </c>
      <c r="G19" s="346" t="str">
        <f>VLOOKUP(Tableau1[[#This Row],[PARCS]],Tableau106[],7,FALSE)</f>
        <v>EGM</v>
      </c>
      <c r="H19" s="346" t="str">
        <f>VLOOKUP(Tableau1[[#This Row],[PARCS]],Tableau106[],9,FALSE)</f>
        <v>BoK</v>
      </c>
      <c r="I19" s="347">
        <v>13350.781000000001</v>
      </c>
      <c r="J19" s="348">
        <v>1318829.6100000001</v>
      </c>
      <c r="K19" s="354">
        <f>VLOOKUP(Tableau1[[#This Row],[PARCS]],Tableau25[],10,FALSE)</f>
        <v>12183.248</v>
      </c>
      <c r="L19" s="252">
        <f>VLOOKUP(Tableau1[[#This Row],[PARCS]],Tableau25[],12,FALSE)</f>
        <v>0</v>
      </c>
      <c r="M19" s="252">
        <f>VLOOKUP(Tableau1[[#This Row],[PARCS]],Tableau25[],13,FALSE)</f>
        <v>1231601.8794986366</v>
      </c>
      <c r="N19" s="354">
        <f>VLOOKUP(Tableau1[[#This Row],[PARCS]],Tableau254[],10,FALSE)</f>
        <v>11207.840179823361</v>
      </c>
      <c r="O19" s="252">
        <f>VLOOKUP(Tableau1[[#This Row],[PARCS]],Tableau254[],12,FALSE)</f>
        <v>0</v>
      </c>
      <c r="P19" s="252">
        <f>VLOOKUP(Tableau1[[#This Row],[PARCS]],Tableau254[],13,FALSE)</f>
        <v>1156301.6635121964</v>
      </c>
      <c r="Q19" s="354">
        <f>VLOOKUP(Tableau1[[#This Row],[PARCS]],Tableau2546[],10,FALSE)</f>
        <v>12183.248</v>
      </c>
      <c r="R19" s="252">
        <f>VLOOKUP(Tableau1[[#This Row],[PARCS]],Tableau2546[],12,FALSE)</f>
        <v>0</v>
      </c>
      <c r="S19" s="355">
        <f>VLOOKUP(Tableau1[[#This Row],[PARCS]],Tableau2546[],13,FALSE)</f>
        <v>1288356.8507347999</v>
      </c>
      <c r="T19" s="252">
        <f t="shared" si="2"/>
        <v>-162527.94648780371</v>
      </c>
      <c r="U19" s="351">
        <f t="shared" si="3"/>
        <v>-0.12323650095163066</v>
      </c>
      <c r="V19" s="252">
        <f>Tableau1[[#This Row],[CA7]]-Tableau1[[#This Row],[CA4]]</f>
        <v>132055.18722260348</v>
      </c>
      <c r="W19" s="351">
        <f>(Tableau1[[#This Row],[CA7]]-Tableau1[[#This Row],[CA4]])/Tableau1[[#This Row],[CA4]]</f>
        <v>0.11420478875857865</v>
      </c>
    </row>
    <row r="20" spans="1:24" ht="15.75" customHeight="1">
      <c r="A20" s="345" t="s">
        <v>452</v>
      </c>
      <c r="B20" s="346" t="str">
        <f>VLOOKUP(Tableau1[[#This Row],[PARCS]],Tableau106[],3,FALSE)</f>
        <v>A896</v>
      </c>
      <c r="C20" s="346" t="str">
        <f>VLOOKUP(Tableau1[[#This Row],[PARCS]],Tableau106[],2,FALSE)</f>
        <v>FR48E99E</v>
      </c>
      <c r="D20" s="352" t="str">
        <f>VLOOKUP(Tableau1[[#This Row],[PARCS]],Tableau106[],8,FALSE)</f>
        <v>EOLIEN</v>
      </c>
      <c r="E20" s="352" t="str">
        <f>VLOOKUP(A20,Tableau106[],6,FALSE)</f>
        <v>S</v>
      </c>
      <c r="F20" s="353" t="str">
        <f>VLOOKUP(Tableau1[[#This Row],[PARCS]],Tableau106[],5,FALSE)</f>
        <v>LOPV</v>
      </c>
      <c r="G20" s="346" t="str">
        <f>VLOOKUP(Tableau1[[#This Row],[PARCS]],Tableau106[],7,FALSE)</f>
        <v>GROUPE</v>
      </c>
      <c r="H20" s="346" t="str">
        <f>VLOOKUP(Tableau1[[#This Row],[PARCS]],Tableau106[],9,FALSE)</f>
        <v>ThC</v>
      </c>
      <c r="I20" s="347">
        <v>24918.061000000002</v>
      </c>
      <c r="J20" s="348">
        <v>1724773.99</v>
      </c>
      <c r="K20" s="354">
        <f>VLOOKUP(Tableau1[[#This Row],[PARCS]],Tableau25[],10,FALSE)</f>
        <v>28123</v>
      </c>
      <c r="L20" s="252">
        <f>VLOOKUP(Tableau1[[#This Row],[PARCS]],Tableau25[],12,FALSE)</f>
        <v>0</v>
      </c>
      <c r="M20" s="252">
        <f>VLOOKUP(Tableau1[[#This Row],[PARCS]],Tableau25[],13,FALSE)</f>
        <v>1490502</v>
      </c>
      <c r="N20" s="354">
        <f>VLOOKUP(Tableau1[[#This Row],[PARCS]],Tableau254[],10,FALSE)</f>
        <v>25692.053062499999</v>
      </c>
      <c r="O20" s="252">
        <f>VLOOKUP(Tableau1[[#This Row],[PARCS]],Tableau254[],12,FALSE)</f>
        <v>40000</v>
      </c>
      <c r="P20" s="252">
        <f>VLOOKUP(Tableau1[[#This Row],[PARCS]],Tableau254[],13,FALSE)</f>
        <v>1364248.01761875</v>
      </c>
      <c r="Q20" s="354">
        <f>VLOOKUP(Tableau1[[#This Row],[PARCS]],Tableau2546[],10,FALSE)</f>
        <v>30978</v>
      </c>
      <c r="R20" s="252">
        <f>VLOOKUP(Tableau1[[#This Row],[PARCS]],Tableau2546[],12,FALSE)</f>
        <v>0</v>
      </c>
      <c r="S20" s="355">
        <f>VLOOKUP(Tableau1[[#This Row],[PARCS]],Tableau2546[],13,FALSE)</f>
        <v>1641834</v>
      </c>
      <c r="T20" s="252">
        <f t="shared" si="2"/>
        <v>-360525.97238125</v>
      </c>
      <c r="U20" s="351">
        <f t="shared" si="3"/>
        <v>-0.20902795060195103</v>
      </c>
      <c r="V20" s="252">
        <f>Tableau1[[#This Row],[CA7]]-Tableau1[[#This Row],[CA4]]</f>
        <v>277585.98238125001</v>
      </c>
      <c r="W20" s="351">
        <f>(Tableau1[[#This Row],[CA7]]-Tableau1[[#This Row],[CA4]])/Tableau1[[#This Row],[CA4]]</f>
        <v>0.20347178723834045</v>
      </c>
      <c r="X20" s="6" t="s">
        <v>453</v>
      </c>
    </row>
    <row r="21" spans="1:24" ht="15.75" customHeight="1">
      <c r="A21" s="345" t="s">
        <v>454</v>
      </c>
      <c r="B21" s="346" t="str">
        <f>VLOOKUP(Tableau1[[#This Row],[PARCS]],Tableau106[],3,FALSE)</f>
        <v>A295</v>
      </c>
      <c r="C21" s="346" t="str">
        <f>VLOOKUP(Tableau1[[#This Row],[PARCS]],Tableau106[],2,FALSE)</f>
        <v>FR85S02E</v>
      </c>
      <c r="D21" s="352" t="str">
        <f>VLOOKUP(Tableau1[[#This Row],[PARCS]],Tableau106[],8,FALSE)</f>
        <v>SOLAIRE</v>
      </c>
      <c r="E21" s="352" t="str">
        <f>VLOOKUP(A21,Tableau106[],6,FALSE)</f>
        <v>N</v>
      </c>
      <c r="F21" s="353" t="str">
        <f>VLOOKUP(Tableau1[[#This Row],[PARCS]],Tableau106[],5,FALSE)</f>
        <v>BEAU</v>
      </c>
      <c r="G21" s="346" t="str">
        <f>VLOOKUP(Tableau1[[#This Row],[PARCS]],Tableau106[],7,FALSE)</f>
        <v>GROUPE</v>
      </c>
      <c r="H21" s="346" t="str">
        <f>VLOOKUP(Tableau1[[#This Row],[PARCS]],Tableau106[],9,FALSE)</f>
        <v>ZaA</v>
      </c>
      <c r="I21" s="347">
        <v>2859.201</v>
      </c>
      <c r="J21" s="348">
        <v>18229.52</v>
      </c>
      <c r="K21" s="354">
        <f>VLOOKUP(Tableau1[[#This Row],[PARCS]],Tableau25[],10,FALSE)</f>
        <v>14203.5</v>
      </c>
      <c r="L21" s="252">
        <f>VLOOKUP(Tableau1[[#This Row],[PARCS]],Tableau25[],12,FALSE)</f>
        <v>0</v>
      </c>
      <c r="M21" s="252">
        <f>VLOOKUP(Tableau1[[#This Row],[PARCS]],Tableau25[],13,FALSE)</f>
        <v>853362.64243200002</v>
      </c>
      <c r="N21" s="354">
        <f>VLOOKUP(Tableau1[[#This Row],[PARCS]],Tableau254[],10,FALSE)</f>
        <v>14719.405000000001</v>
      </c>
      <c r="O21" s="252">
        <f>VLOOKUP(Tableau1[[#This Row],[PARCS]],Tableau254[],12,FALSE)</f>
        <v>0</v>
      </c>
      <c r="P21" s="252">
        <f>VLOOKUP(Tableau1[[#This Row],[PARCS]],Tableau254[],13,FALSE)</f>
        <v>2516196.4215541668</v>
      </c>
      <c r="Q21" s="354">
        <f>VLOOKUP(Tableau1[[#This Row],[PARCS]],Tableau2546[],10,FALSE)</f>
        <v>14259.2</v>
      </c>
      <c r="R21" s="252">
        <f>VLOOKUP(Tableau1[[#This Row],[PARCS]],Tableau2546[],12,FALSE)</f>
        <v>0</v>
      </c>
      <c r="S21" s="355">
        <f>VLOOKUP(Tableau1[[#This Row],[PARCS]],Tableau2546[],13,FALSE)</f>
        <v>2498465.2378666662</v>
      </c>
      <c r="T21" s="252">
        <f t="shared" si="2"/>
        <v>2497966.9015541668</v>
      </c>
      <c r="U21" s="351">
        <f t="shared" si="3"/>
        <v>137.02867116381378</v>
      </c>
      <c r="V21" s="252">
        <f>Tableau1[[#This Row],[CA7]]-Tableau1[[#This Row],[CA4]]</f>
        <v>-17731.183687500656</v>
      </c>
      <c r="W21" s="351">
        <f>(Tableau1[[#This Row],[CA7]]-Tableau1[[#This Row],[CA4]])/Tableau1[[#This Row],[CA4]]</f>
        <v>-7.0468201669839116E-3</v>
      </c>
      <c r="X21" s="6" t="s">
        <v>455</v>
      </c>
    </row>
    <row r="22" spans="1:24" ht="15.75" customHeight="1">
      <c r="A22" s="345" t="s">
        <v>456</v>
      </c>
      <c r="B22" s="346" t="str">
        <f>VLOOKUP(Tableau1[[#This Row],[PARCS]],Tableau106[],3,FALSE)</f>
        <v>F150</v>
      </c>
      <c r="C22" s="346" t="str">
        <f>VLOOKUP(Tableau1[[#This Row],[PARCS]],Tableau106[],2,FALSE)</f>
        <v>FR22E04E</v>
      </c>
      <c r="D22" s="352" t="str">
        <f>VLOOKUP(Tableau1[[#This Row],[PARCS]],Tableau106[],8,FALSE)</f>
        <v>EOLIEN</v>
      </c>
      <c r="E22" s="352" t="str">
        <f>VLOOKUP(A22,Tableau106[],6,FALSE)</f>
        <v>N</v>
      </c>
      <c r="F22" s="353" t="str">
        <f>VLOOKUP(Tableau1[[#This Row],[PARCS]],Tableau106[],5,FALSE)</f>
        <v>PLAT</v>
      </c>
      <c r="G22" s="346" t="str">
        <f>VLOOKUP(Tableau1[[#This Row],[PARCS]],Tableau106[],7,FALSE)</f>
        <v>FUTUREN</v>
      </c>
      <c r="H22" s="346" t="str">
        <f>VLOOKUP(Tableau1[[#This Row],[PARCS]],Tableau106[],9,FALSE)</f>
        <v>AlY</v>
      </c>
      <c r="I22" s="347">
        <v>8672.9449999999997</v>
      </c>
      <c r="J22" s="348">
        <v>1227311.1000000001</v>
      </c>
      <c r="K22" s="354">
        <f>VLOOKUP(Tableau1[[#This Row],[PARCS]],Tableau25[],10,FALSE)</f>
        <v>10596.132308705235</v>
      </c>
      <c r="L22" s="252">
        <f>VLOOKUP(Tableau1[[#This Row],[PARCS]],Tableau25[],12,FALSE)</f>
        <v>0</v>
      </c>
      <c r="M22" s="252">
        <f>VLOOKUP(Tableau1[[#This Row],[PARCS]],Tableau25[],13,FALSE)</f>
        <v>2565196.4783498333</v>
      </c>
      <c r="N22" s="354">
        <f>VLOOKUP(Tableau1[[#This Row],[PARCS]],Tableau254[],10,FALSE)</f>
        <v>10638.076854166666</v>
      </c>
      <c r="O22" s="252">
        <f>VLOOKUP(Tableau1[[#This Row],[PARCS]],Tableau254[],12,FALSE)</f>
        <v>0</v>
      </c>
      <c r="P22" s="252">
        <f>VLOOKUP(Tableau1[[#This Row],[PARCS]],Tableau254[],13,FALSE)</f>
        <v>1123487.2965685416</v>
      </c>
      <c r="Q22" s="354">
        <f>VLOOKUP(Tableau1[[#This Row],[PARCS]],Tableau2546[],10,FALSE)</f>
        <v>10194.680735999988</v>
      </c>
      <c r="R22" s="252">
        <f>VLOOKUP(Tableau1[[#This Row],[PARCS]],Tableau2546[],12,FALSE)</f>
        <v>0</v>
      </c>
      <c r="S22" s="355">
        <f>VLOOKUP(Tableau1[[#This Row],[PARCS]],Tableau2546[],13,FALSE)</f>
        <v>1103576.7383421825</v>
      </c>
      <c r="T22" s="252">
        <f t="shared" si="2"/>
        <v>-103823.80343145854</v>
      </c>
      <c r="U22" s="351">
        <f t="shared" si="3"/>
        <v>-8.4594528177459272E-2</v>
      </c>
      <c r="V22" s="252">
        <f>Tableau1[[#This Row],[CA7]]-Tableau1[[#This Row],[CA4]]</f>
        <v>-19910.558226359077</v>
      </c>
      <c r="W22" s="351">
        <f>(Tableau1[[#This Row],[CA7]]-Tableau1[[#This Row],[CA4]])/Tableau1[[#This Row],[CA4]]</f>
        <v>-1.7722103567322692E-2</v>
      </c>
    </row>
    <row r="23" spans="1:24" ht="15.75" customHeight="1">
      <c r="A23" s="345" t="s">
        <v>457</v>
      </c>
      <c r="B23" s="346" t="str">
        <f>VLOOKUP(Tableau1[[#This Row],[PARCS]],Tableau106[],3,FALSE)</f>
        <v>A133</v>
      </c>
      <c r="C23" s="346" t="str">
        <f>VLOOKUP(Tableau1[[#This Row],[PARCS]],Tableau106[],2,FALSE)</f>
        <v>FR84S01E</v>
      </c>
      <c r="D23" s="352" t="str">
        <f>VLOOKUP(Tableau1[[#This Row],[PARCS]],Tableau106[],8,FALSE)</f>
        <v>SOLAIRE</v>
      </c>
      <c r="E23" s="352" t="str">
        <f>VLOOKUP(A23,Tableau106[],6,FALSE)</f>
        <v>S</v>
      </c>
      <c r="F23" s="353" t="str">
        <f>VLOOKUP(Tableau1[[#This Row],[PARCS]],Tableau106[],5,FALSE)</f>
        <v>BLAU</v>
      </c>
      <c r="G23" s="346" t="str">
        <f>VLOOKUP(Tableau1[[#This Row],[PARCS]],Tableau106[],7,FALSE)</f>
        <v>GROUPE</v>
      </c>
      <c r="H23" s="346" t="str">
        <f>VLOOKUP(Tableau1[[#This Row],[PARCS]],Tableau106[],9,FALSE)</f>
        <v>ArB</v>
      </c>
      <c r="I23" s="347">
        <v>4095.4830000000002</v>
      </c>
      <c r="J23" s="348">
        <v>1085145.1000000001</v>
      </c>
      <c r="K23" s="354">
        <f>VLOOKUP(Tableau1[[#This Row],[PARCS]],Tableau25[],10,FALSE)</f>
        <v>3911</v>
      </c>
      <c r="L23" s="252">
        <f>VLOOKUP(Tableau1[[#This Row],[PARCS]],Tableau25[],12,FALSE)</f>
        <v>0</v>
      </c>
      <c r="M23" s="252">
        <f>VLOOKUP(Tableau1[[#This Row],[PARCS]],Tableau25[],13,FALSE)</f>
        <v>1055852.6700000002</v>
      </c>
      <c r="N23" s="354">
        <f>VLOOKUP(Tableau1[[#This Row],[PARCS]],Tableau254[],10,FALSE)</f>
        <v>4113.1719999999996</v>
      </c>
      <c r="O23" s="252">
        <f>VLOOKUP(Tableau1[[#This Row],[PARCS]],Tableau254[],12,FALSE)</f>
        <v>0</v>
      </c>
      <c r="P23" s="252">
        <f>VLOOKUP(Tableau1[[#This Row],[PARCS]],Tableau254[],13,FALSE)</f>
        <v>1669302.063996</v>
      </c>
      <c r="Q23" s="354">
        <f>VLOOKUP(Tableau1[[#This Row],[PARCS]],Tableau2546[],10,FALSE)</f>
        <v>3931.2127774029441</v>
      </c>
      <c r="R23" s="252">
        <f>VLOOKUP(Tableau1[[#This Row],[PARCS]],Tableau2546[],12,FALSE)</f>
        <v>0</v>
      </c>
      <c r="S23" s="355">
        <f>VLOOKUP(Tableau1[[#This Row],[PARCS]],Tableau2546[],13,FALSE)</f>
        <v>1061309.5135154729</v>
      </c>
      <c r="T23" s="252">
        <f t="shared" si="2"/>
        <v>584156.96399599989</v>
      </c>
      <c r="U23" s="351">
        <f t="shared" si="3"/>
        <v>0.53832152400264244</v>
      </c>
      <c r="V23" s="252">
        <f>Tableau1[[#This Row],[CA7]]-Tableau1[[#This Row],[CA4]]</f>
        <v>-607992.5504805271</v>
      </c>
      <c r="W23" s="351">
        <f>(Tableau1[[#This Row],[CA7]]-Tableau1[[#This Row],[CA4]])/Tableau1[[#This Row],[CA4]]</f>
        <v>-0.36421961225226401</v>
      </c>
    </row>
    <row r="24" spans="1:24" ht="15.75" customHeight="1">
      <c r="A24" s="345" t="s">
        <v>458</v>
      </c>
      <c r="B24" s="346" t="str">
        <f>VLOOKUP(Tableau1[[#This Row],[PARCS]],Tableau106[],3,FALSE)</f>
        <v>A540</v>
      </c>
      <c r="C24" s="346" t="str">
        <f>VLOOKUP(Tableau1[[#This Row],[PARCS]],Tableau106[],2,FALSE)</f>
        <v>FR14E03E</v>
      </c>
      <c r="D24" s="352" t="str">
        <f>VLOOKUP(Tableau1[[#This Row],[PARCS]],Tableau106[],8,FALSE)</f>
        <v>EOLIEN</v>
      </c>
      <c r="E24" s="352" t="str">
        <f>VLOOKUP(A24,Tableau106[],6,FALSE)</f>
        <v>N</v>
      </c>
      <c r="F24" s="353" t="str">
        <f>VLOOKUP(Tableau1[[#This Row],[PARCS]],Tableau106[],5,FALSE)</f>
        <v>HERO</v>
      </c>
      <c r="G24" s="346" t="str">
        <f>VLOOKUP(Tableau1[[#This Row],[PARCS]],Tableau106[],7,FALSE)</f>
        <v>EGM</v>
      </c>
      <c r="H24" s="346" t="str">
        <f>VLOOKUP(Tableau1[[#This Row],[PARCS]],Tableau106[],9,FALSE)</f>
        <v>DeN</v>
      </c>
      <c r="I24" s="347">
        <v>15088.532999999999</v>
      </c>
      <c r="J24" s="348">
        <v>2460901.66</v>
      </c>
      <c r="K24" s="354">
        <f>VLOOKUP(Tableau1[[#This Row],[PARCS]],Tableau25[],10,FALSE)</f>
        <v>14468</v>
      </c>
      <c r="L24" s="252">
        <f>VLOOKUP(Tableau1[[#This Row],[PARCS]],Tableau25[],12,FALSE)</f>
        <v>0</v>
      </c>
      <c r="M24" s="252">
        <f>VLOOKUP(Tableau1[[#This Row],[PARCS]],Tableau25[],13,FALSE)</f>
        <v>3189898.8528</v>
      </c>
      <c r="N24" s="354">
        <f>VLOOKUP(Tableau1[[#This Row],[PARCS]],Tableau254[],10,FALSE)</f>
        <v>14066.546953377672</v>
      </c>
      <c r="O24" s="252">
        <f>VLOOKUP(Tableau1[[#This Row],[PARCS]],Tableau254[],12,FALSE)</f>
        <v>152802.37</v>
      </c>
      <c r="P24" s="252">
        <f>VLOOKUP(Tableau1[[#This Row],[PARCS]],Tableau254[],13,FALSE)</f>
        <v>2367686.1064839633</v>
      </c>
      <c r="Q24" s="354">
        <f>VLOOKUP(Tableau1[[#This Row],[PARCS]],Tableau2546[],10,FALSE)</f>
        <v>14468</v>
      </c>
      <c r="R24" s="252">
        <f>VLOOKUP(Tableau1[[#This Row],[PARCS]],Tableau2546[],12,FALSE)</f>
        <v>0</v>
      </c>
      <c r="S24" s="355">
        <f>VLOOKUP(Tableau1[[#This Row],[PARCS]],Tableau2546[],13,FALSE)</f>
        <v>2496140.2943949997</v>
      </c>
      <c r="T24" s="252">
        <f t="shared" si="2"/>
        <v>-93215.553516036831</v>
      </c>
      <c r="U24" s="351">
        <f t="shared" si="3"/>
        <v>-3.7878617837998785E-2</v>
      </c>
      <c r="V24" s="252">
        <f>Tableau1[[#This Row],[CA7]]-Tableau1[[#This Row],[CA4]]</f>
        <v>128454.18791103642</v>
      </c>
      <c r="W24" s="351">
        <f>(Tableau1[[#This Row],[CA7]]-Tableau1[[#This Row],[CA4]])/Tableau1[[#This Row],[CA4]]</f>
        <v>5.4253047969180394E-2</v>
      </c>
    </row>
    <row r="25" spans="1:24" ht="15.75" customHeight="1">
      <c r="A25" s="345" t="s">
        <v>459</v>
      </c>
      <c r="B25" s="346" t="str">
        <f>VLOOKUP(Tableau1[[#This Row],[PARCS]],Tableau106[],3,FALSE)</f>
        <v>A145</v>
      </c>
      <c r="C25" s="346" t="str">
        <f>VLOOKUP(Tableau1[[#This Row],[PARCS]],Tableau106[],2,FALSE)</f>
        <v>FR31S01E</v>
      </c>
      <c r="D25" s="352" t="str">
        <f>VLOOKUP(Tableau1[[#This Row],[PARCS]],Tableau106[],8,FALSE)</f>
        <v>SOLAIRE</v>
      </c>
      <c r="E25" s="352" t="str">
        <f>VLOOKUP(A25,Tableau106[],6,FALSE)</f>
        <v>S</v>
      </c>
      <c r="F25" s="353" t="str">
        <f>VLOOKUP(Tableau1[[#This Row],[PARCS]],Tableau106[],5,FALSE)</f>
        <v>BOUL</v>
      </c>
      <c r="G25" s="346" t="str">
        <f>VLOOKUP(Tableau1[[#This Row],[PARCS]],Tableau106[],7,FALSE)</f>
        <v>GROUPE</v>
      </c>
      <c r="H25" s="346" t="str">
        <f>VLOOKUP(Tableau1[[#This Row],[PARCS]],Tableau106[],9,FALSE)</f>
        <v>BaA</v>
      </c>
      <c r="I25" s="347">
        <v>12791.409</v>
      </c>
      <c r="J25" s="348">
        <v>3816189.14</v>
      </c>
      <c r="K25" s="354">
        <f>VLOOKUP(Tableau1[[#This Row],[PARCS]],Tableau25[],10,FALSE)</f>
        <v>12464</v>
      </c>
      <c r="L25" s="252">
        <f>VLOOKUP(Tableau1[[#This Row],[PARCS]],Tableau25[],12,FALSE)</f>
        <v>0</v>
      </c>
      <c r="M25" s="252">
        <f>VLOOKUP(Tableau1[[#This Row],[PARCS]],Tableau25[],13,FALSE)</f>
        <v>3718509.76</v>
      </c>
      <c r="N25" s="354">
        <f>VLOOKUP(Tableau1[[#This Row],[PARCS]],Tableau254[],10,FALSE)</f>
        <v>12523.938</v>
      </c>
      <c r="O25" s="252">
        <f>VLOOKUP(Tableau1[[#This Row],[PARCS]],Tableau254[],12,FALSE)</f>
        <v>0</v>
      </c>
      <c r="P25" s="252">
        <f>VLOOKUP(Tableau1[[#This Row],[PARCS]],Tableau254[],13,FALSE)</f>
        <v>4467150.9212819999</v>
      </c>
      <c r="Q25" s="354">
        <f>VLOOKUP(Tableau1[[#This Row],[PARCS]],Tableau2546[],10,FALSE)</f>
        <v>12543.218809007109</v>
      </c>
      <c r="R25" s="252">
        <f>VLOOKUP(Tableau1[[#This Row],[PARCS]],Tableau2546[],12,FALSE)</f>
        <v>0</v>
      </c>
      <c r="S25" s="355">
        <f>VLOOKUP(Tableau1[[#This Row],[PARCS]],Tableau2546[],13,FALSE)</f>
        <v>3742143.8994791806</v>
      </c>
      <c r="T25" s="252">
        <f t="shared" si="2"/>
        <v>650961.78128199978</v>
      </c>
      <c r="U25" s="351">
        <f t="shared" si="3"/>
        <v>0.17057901414236501</v>
      </c>
      <c r="V25" s="252">
        <f>Tableau1[[#This Row],[CA7]]-Tableau1[[#This Row],[CA4]]</f>
        <v>-725007.02180281933</v>
      </c>
      <c r="W25" s="351">
        <f>(Tableau1[[#This Row],[CA7]]-Tableau1[[#This Row],[CA4]])/Tableau1[[#This Row],[CA4]]</f>
        <v>-0.16229740937312098</v>
      </c>
    </row>
    <row r="26" spans="1:24" ht="15.75" customHeight="1">
      <c r="A26" s="345" t="s">
        <v>54</v>
      </c>
      <c r="B26" s="346" t="str">
        <f>VLOOKUP(Tableau1[[#This Row],[PARCS]],Tableau106[],3,FALSE)</f>
        <v>A272</v>
      </c>
      <c r="C26" s="346" t="str">
        <f>VLOOKUP(Tableau1[[#This Row],[PARCS]],Tableau106[],2,FALSE)</f>
        <v>FR45S03E</v>
      </c>
      <c r="D26" s="352" t="str">
        <f>VLOOKUP(Tableau1[[#This Row],[PARCS]],Tableau106[],8,FALSE)</f>
        <v>SOLAIRE</v>
      </c>
      <c r="E26" s="352" t="str">
        <f>VLOOKUP(A26,Tableau106[],6,FALSE)</f>
        <v>N</v>
      </c>
      <c r="F26" s="353" t="str">
        <f>VLOOKUP(Tableau1[[#This Row],[PARCS]],Tableau106[],5,FALSE)</f>
        <v>BRIA</v>
      </c>
      <c r="G26" s="346" t="str">
        <f>VLOOKUP(Tableau1[[#This Row],[PARCS]],Tableau106[],7,FALSE)</f>
        <v>GROUPE</v>
      </c>
      <c r="H26" s="346" t="str">
        <f>VLOOKUP(Tableau1[[#This Row],[PARCS]],Tableau106[],9,FALSE)</f>
        <v>LoG</v>
      </c>
      <c r="I26" s="347">
        <v>9811.4419999999991</v>
      </c>
      <c r="J26" s="348">
        <v>3523192.7</v>
      </c>
      <c r="K26" s="354">
        <f>VLOOKUP(Tableau1[[#This Row],[PARCS]],Tableau25[],10,FALSE)</f>
        <v>16031</v>
      </c>
      <c r="L26" s="252">
        <f>VLOOKUP(Tableau1[[#This Row],[PARCS]],Tableau25[],12,FALSE)</f>
        <v>0</v>
      </c>
      <c r="M26" s="252">
        <f>VLOOKUP(Tableau1[[#This Row],[PARCS]],Tableau25[],13,FALSE)</f>
        <v>1020741.22176</v>
      </c>
      <c r="N26" s="354">
        <f>VLOOKUP(Tableau1[[#This Row],[PARCS]],Tableau254[],10,FALSE)</f>
        <v>15827.991</v>
      </c>
      <c r="O26" s="252">
        <f>VLOOKUP(Tableau1[[#This Row],[PARCS]],Tableau254[],12,FALSE)</f>
        <v>0</v>
      </c>
      <c r="P26" s="252">
        <f>VLOOKUP(Tableau1[[#This Row],[PARCS]],Tableau254[],13,FALSE)</f>
        <v>987666.63839999994</v>
      </c>
      <c r="Q26" s="354">
        <f>VLOOKUP(Tableau1[[#This Row],[PARCS]],Tableau2546[],10,FALSE)</f>
        <v>16031</v>
      </c>
      <c r="R26" s="252">
        <f>VLOOKUP(Tableau1[[#This Row],[PARCS]],Tableau2546[],12,FALSE)</f>
        <v>0</v>
      </c>
      <c r="S26" s="355">
        <f>VLOOKUP(Tableau1[[#This Row],[PARCS]],Tableau2546[],13,FALSE)</f>
        <v>1025342.7599999999</v>
      </c>
      <c r="T26" s="252">
        <f t="shared" si="2"/>
        <v>-2535526.0616000001</v>
      </c>
      <c r="U26" s="351">
        <f t="shared" si="3"/>
        <v>-0.71966715348836863</v>
      </c>
      <c r="V26" s="252">
        <f>Tableau1[[#This Row],[CA7]]-Tableau1[[#This Row],[CA4]]</f>
        <v>37676.121599999955</v>
      </c>
      <c r="W26" s="351">
        <f>(Tableau1[[#This Row],[CA7]]-Tableau1[[#This Row],[CA4]])/Tableau1[[#This Row],[CA4]]</f>
        <v>3.8146597379288334E-2</v>
      </c>
    </row>
    <row r="27" spans="1:24" ht="15.75" customHeight="1">
      <c r="A27" s="345" t="s">
        <v>460</v>
      </c>
      <c r="B27" s="346" t="str">
        <f>VLOOKUP(Tableau1[[#This Row],[PARCS]],Tableau106[],3,FALSE)</f>
        <v>A081</v>
      </c>
      <c r="C27" s="346" t="str">
        <f>VLOOKUP(Tableau1[[#This Row],[PARCS]],Tableau106[],2,FALSE)</f>
        <v>FR12E97E</v>
      </c>
      <c r="D27" s="352" t="str">
        <f>VLOOKUP(Tableau1[[#This Row],[PARCS]],Tableau106[],8,FALSE)</f>
        <v>EOLIEN</v>
      </c>
      <c r="E27" s="352" t="str">
        <f>VLOOKUP(A27,Tableau106[],6,FALSE)</f>
        <v>N</v>
      </c>
      <c r="F27" s="353" t="str">
        <f>VLOOKUP(Tableau1[[#This Row],[PARCS]],Tableau106[],5,FALSE)</f>
        <v>SAPN</v>
      </c>
      <c r="G27" s="346" t="str">
        <f>VLOOKUP(Tableau1[[#This Row],[PARCS]],Tableau106[],7,FALSE)</f>
        <v>GROUPE</v>
      </c>
      <c r="H27" s="346" t="str">
        <f>VLOOKUP(Tableau1[[#This Row],[PARCS]],Tableau106[],9,FALSE)</f>
        <v>AuE</v>
      </c>
      <c r="I27" s="347">
        <v>18025.135999999999</v>
      </c>
      <c r="J27" s="348">
        <v>2187723.37</v>
      </c>
      <c r="K27" s="354">
        <f>VLOOKUP(Tableau1[[#This Row],[PARCS]],Tableau25[],10,FALSE)</f>
        <v>17381</v>
      </c>
      <c r="L27" s="252">
        <f>VLOOKUP(Tableau1[[#This Row],[PARCS]],Tableau25[],12,FALSE)</f>
        <v>0</v>
      </c>
      <c r="M27" s="252">
        <f>VLOOKUP(Tableau1[[#This Row],[PARCS]],Tableau25[],13,FALSE)</f>
        <v>4207731.5279999999</v>
      </c>
      <c r="N27" s="354">
        <f>VLOOKUP(Tableau1[[#This Row],[PARCS]],Tableau254[],10,FALSE)</f>
        <v>17230.573454545458</v>
      </c>
      <c r="O27" s="252">
        <f>VLOOKUP(Tableau1[[#This Row],[PARCS]],Tableau254[],12,FALSE)</f>
        <v>0</v>
      </c>
      <c r="P27" s="252">
        <f>VLOOKUP(Tableau1[[#This Row],[PARCS]],Tableau254[],13,FALSE)</f>
        <v>2148824.8155163638</v>
      </c>
      <c r="Q27" s="354">
        <f>VLOOKUP(Tableau1[[#This Row],[PARCS]],Tableau2546[],10,FALSE)</f>
        <v>18411.943993858964</v>
      </c>
      <c r="R27" s="252">
        <f>VLOOKUP(Tableau1[[#This Row],[PARCS]],Tableau2546[],12,FALSE)</f>
        <v>0</v>
      </c>
      <c r="S27" s="355">
        <f>VLOOKUP(Tableau1[[#This Row],[PARCS]],Tableau2546[],13,FALSE)</f>
        <v>2353557.3738610046</v>
      </c>
      <c r="T27" s="252">
        <f t="shared" si="2"/>
        <v>-38898.554483636282</v>
      </c>
      <c r="U27" s="351">
        <f t="shared" si="3"/>
        <v>-1.7780380745137939E-2</v>
      </c>
      <c r="V27" s="252">
        <f>Tableau1[[#This Row],[CA7]]-Tableau1[[#This Row],[CA4]]</f>
        <v>204732.55834464077</v>
      </c>
      <c r="W27" s="351">
        <f>(Tableau1[[#This Row],[CA7]]-Tableau1[[#This Row],[CA4]])/Tableau1[[#This Row],[CA4]]</f>
        <v>9.5276523645061978E-2</v>
      </c>
      <c r="X27" s="6" t="s">
        <v>461</v>
      </c>
    </row>
    <row r="28" spans="1:24" ht="15.75" customHeight="1">
      <c r="A28" s="345" t="s">
        <v>462</v>
      </c>
      <c r="B28" s="346" t="str">
        <f>VLOOKUP(Tableau1[[#This Row],[PARCS]],Tableau106[],3,FALSE)</f>
        <v>A080</v>
      </c>
      <c r="C28" s="346" t="str">
        <f>VLOOKUP(Tableau1[[#This Row],[PARCS]],Tableau106[],2,FALSE)</f>
        <v>FR12E98E</v>
      </c>
      <c r="D28" s="352" t="str">
        <f>VLOOKUP(Tableau1[[#This Row],[PARCS]],Tableau106[],8,FALSE)</f>
        <v>EOLIEN</v>
      </c>
      <c r="E28" s="352" t="str">
        <f>VLOOKUP(A28,Tableau106[],6,FALSE)</f>
        <v>N</v>
      </c>
      <c r="F28" s="353" t="str">
        <f>VLOOKUP(Tableau1[[#This Row],[PARCS]],Tableau106[],5,FALSE)</f>
        <v>SACU</v>
      </c>
      <c r="G28" s="346" t="str">
        <f>VLOOKUP(Tableau1[[#This Row],[PARCS]],Tableau106[],7,FALSE)</f>
        <v>GROUPE</v>
      </c>
      <c r="H28" s="346" t="str">
        <f>VLOOKUP(Tableau1[[#This Row],[PARCS]],Tableau106[],9,FALSE)</f>
        <v>AuE</v>
      </c>
      <c r="I28" s="347">
        <v>122758.00900000001</v>
      </c>
      <c r="J28" s="348">
        <v>14884440.880000001</v>
      </c>
      <c r="K28" s="354">
        <f>VLOOKUP(Tableau1[[#This Row],[PARCS]],Tableau25[],10,FALSE)</f>
        <v>119819.46079184176</v>
      </c>
      <c r="L28" s="252">
        <f>VLOOKUP(Tableau1[[#This Row],[PARCS]],Tableau25[],12,FALSE)</f>
        <v>0</v>
      </c>
      <c r="M28" s="252">
        <f>VLOOKUP(Tableau1[[#This Row],[PARCS]],Tableau25[],13,FALSE)</f>
        <v>29006853.624175392</v>
      </c>
      <c r="N28" s="354">
        <f>VLOOKUP(Tableau1[[#This Row],[PARCS]],Tableau254[],10,FALSE)</f>
        <v>117337.09799999998</v>
      </c>
      <c r="O28" s="252">
        <f>VLOOKUP(Tableau1[[#This Row],[PARCS]],Tableau254[],12,FALSE)</f>
        <v>0</v>
      </c>
      <c r="P28" s="252">
        <f>VLOOKUP(Tableau1[[#This Row],[PARCS]],Tableau254[],13,FALSE)</f>
        <v>14633109.491579996</v>
      </c>
      <c r="Q28" s="354">
        <f>VLOOKUP(Tableau1[[#This Row],[PARCS]],Tableau2546[],10,FALSE)</f>
        <v>132960.95126763891</v>
      </c>
      <c r="R28" s="252">
        <f>VLOOKUP(Tableau1[[#This Row],[PARCS]],Tableau2546[],12,FALSE)</f>
        <v>0</v>
      </c>
      <c r="S28" s="355">
        <f>VLOOKUP(Tableau1[[#This Row],[PARCS]],Tableau2546[],13,FALSE)</f>
        <v>16996099.238401927</v>
      </c>
      <c r="T28" s="252">
        <f t="shared" si="2"/>
        <v>-251331.3884200044</v>
      </c>
      <c r="U28" s="351">
        <f t="shared" si="3"/>
        <v>-1.688551087986883E-2</v>
      </c>
      <c r="V28" s="252">
        <f>Tableau1[[#This Row],[CA7]]-Tableau1[[#This Row],[CA4]]</f>
        <v>2362989.7468219306</v>
      </c>
      <c r="W28" s="351">
        <f>(Tableau1[[#This Row],[CA7]]-Tableau1[[#This Row],[CA4]])/Tableau1[[#This Row],[CA4]]</f>
        <v>0.16148240728886865</v>
      </c>
      <c r="X28" s="6" t="s">
        <v>463</v>
      </c>
    </row>
    <row r="29" spans="1:24" ht="15.75" customHeight="1">
      <c r="A29" s="345" t="s">
        <v>464</v>
      </c>
      <c r="B29" s="346" t="str">
        <f>VLOOKUP(Tableau1[[#This Row],[PARCS]],Tableau106[],3,FALSE)</f>
        <v>A281</v>
      </c>
      <c r="C29" s="346" t="str">
        <f>VLOOKUP(Tableau1[[#This Row],[PARCS]],Tableau106[],2,FALSE)</f>
        <v>FR86E05E</v>
      </c>
      <c r="D29" s="352" t="str">
        <f>VLOOKUP(Tableau1[[#This Row],[PARCS]],Tableau106[],8,FALSE)</f>
        <v>EOLIEN</v>
      </c>
      <c r="E29" s="352" t="str">
        <f>VLOOKUP(A29,Tableau106[],6,FALSE)</f>
        <v>S</v>
      </c>
      <c r="F29" s="353" t="str">
        <f>VLOOKUP(Tableau1[[#This Row],[PARCS]],Tableau106[],5,FALSE)</f>
        <v>JAVI</v>
      </c>
      <c r="G29" s="346" t="str">
        <f>VLOOKUP(Tableau1[[#This Row],[PARCS]],Tableau106[],7,FALSE)</f>
        <v>PARTNER</v>
      </c>
      <c r="H29" s="346" t="str">
        <f>VLOOKUP(Tableau1[[#This Row],[PARCS]],Tableau106[],9,FALSE)</f>
        <v>PiM</v>
      </c>
      <c r="I29" s="347">
        <v>29789.513999999999</v>
      </c>
      <c r="J29" s="348">
        <v>2807194.2</v>
      </c>
      <c r="K29" s="354">
        <f>VLOOKUP(Tableau1[[#This Row],[PARCS]],Tableau25[],10,FALSE)</f>
        <v>30370.7</v>
      </c>
      <c r="L29" s="252">
        <f>VLOOKUP(Tableau1[[#This Row],[PARCS]],Tableau25[],12,FALSE)</f>
        <v>0</v>
      </c>
      <c r="M29" s="252">
        <f>VLOOKUP(Tableau1[[#This Row],[PARCS]],Tableau25[],13,FALSE)</f>
        <v>2337502.5129935602</v>
      </c>
      <c r="N29" s="354">
        <f>VLOOKUP(Tableau1[[#This Row],[PARCS]],Tableau254[],10,FALSE)</f>
        <v>29043.242999999999</v>
      </c>
      <c r="O29" s="252">
        <f>VLOOKUP(Tableau1[[#This Row],[PARCS]],Tableau254[],12,FALSE)</f>
        <v>550000</v>
      </c>
      <c r="P29" s="252">
        <f>VLOOKUP(Tableau1[[#This Row],[PARCS]],Tableau254[],13,FALSE)</f>
        <v>2295403.6672619996</v>
      </c>
      <c r="Q29" s="354">
        <f>VLOOKUP(Tableau1[[#This Row],[PARCS]],Tableau2546[],10,FALSE)</f>
        <v>31050</v>
      </c>
      <c r="R29" s="252">
        <f>VLOOKUP(Tableau1[[#This Row],[PARCS]],Tableau2546[],12,FALSE)</f>
        <v>0</v>
      </c>
      <c r="S29" s="355">
        <f>VLOOKUP(Tableau1[[#This Row],[PARCS]],Tableau2546[],13,FALSE)</f>
        <v>2515355.8424999998</v>
      </c>
      <c r="T29" s="252">
        <f t="shared" si="2"/>
        <v>-511790.53273800062</v>
      </c>
      <c r="U29" s="351">
        <f t="shared" si="3"/>
        <v>-0.18231390359028263</v>
      </c>
      <c r="V29" s="252">
        <f>Tableau1[[#This Row],[CA7]]-Tableau1[[#This Row],[CA4]]</f>
        <v>219952.17523800023</v>
      </c>
      <c r="W29" s="351">
        <f>(Tableau1[[#This Row],[CA7]]-Tableau1[[#This Row],[CA4]])/Tableau1[[#This Row],[CA4]]</f>
        <v>9.5822873499354172E-2</v>
      </c>
      <c r="X29" s="6" t="s">
        <v>465</v>
      </c>
    </row>
    <row r="30" spans="1:24" ht="15.75" customHeight="1">
      <c r="A30" s="345" t="s">
        <v>466</v>
      </c>
      <c r="B30" s="346" t="str">
        <f>VLOOKUP(Tableau1[[#This Row],[PARCS]],Tableau106[],3,FALSE)</f>
        <v>A047</v>
      </c>
      <c r="C30" s="346" t="str">
        <f>VLOOKUP(Tableau1[[#This Row],[PARCS]],Tableau106[],2,FALSE)</f>
        <v>FR97S76E</v>
      </c>
      <c r="D30" s="352" t="str">
        <f>VLOOKUP(Tableau1[[#This Row],[PARCS]],Tableau106[],8,FALSE)</f>
        <v>SOLAIRE DOM</v>
      </c>
      <c r="E30" s="352" t="str">
        <f>VLOOKUP(A30,Tableau106[],6,FALSE)</f>
        <v>DOM</v>
      </c>
      <c r="F30" s="353" t="str">
        <f>VLOOKUP(Tableau1[[#This Row],[PARCS]],Tableau106[],5,FALSE)</f>
        <v>CANO</v>
      </c>
      <c r="G30" s="346" t="str">
        <f>VLOOKUP(Tableau1[[#This Row],[PARCS]],Tableau106[],7,FALSE)</f>
        <v>GROUPE</v>
      </c>
      <c r="H30" s="346" t="str">
        <f>VLOOKUP(Tableau1[[#This Row],[PARCS]],Tableau106[],9,FALSE)</f>
        <v>DoJ</v>
      </c>
      <c r="I30" s="347">
        <v>312.50700000000001</v>
      </c>
      <c r="J30" s="348">
        <v>149551.72</v>
      </c>
      <c r="K30" s="354">
        <f>VLOOKUP(Tableau1[[#This Row],[PARCS]],Tableau25[],10,FALSE)</f>
        <v>465</v>
      </c>
      <c r="L30" s="252">
        <f>VLOOKUP(Tableau1[[#This Row],[PARCS]],Tableau25[],12,FALSE)</f>
        <v>0</v>
      </c>
      <c r="M30" s="252">
        <f>VLOOKUP(Tableau1[[#This Row],[PARCS]],Tableau25[],13,FALSE)</f>
        <v>230239.03161599999</v>
      </c>
      <c r="N30" s="354">
        <f>VLOOKUP(Tableau1[[#This Row],[PARCS]],Tableau254[],10,FALSE)</f>
        <v>623.94200000000001</v>
      </c>
      <c r="O30" s="252">
        <f>VLOOKUP(Tableau1[[#This Row],[PARCS]],Tableau254[],12,FALSE)</f>
        <v>0</v>
      </c>
      <c r="P30" s="252">
        <f>VLOOKUP(Tableau1[[#This Row],[PARCS]],Tableau254[],13,FALSE)</f>
        <v>320569.54470199998</v>
      </c>
      <c r="Q30" s="354">
        <f>VLOOKUP(Tableau1[[#This Row],[PARCS]],Tableau2546[],10,FALSE)</f>
        <v>656.57904901840823</v>
      </c>
      <c r="R30" s="252">
        <f>VLOOKUP(Tableau1[[#This Row],[PARCS]],Tableau2546[],12,FALSE)</f>
        <v>0</v>
      </c>
      <c r="S30" s="355">
        <f>VLOOKUP(Tableau1[[#This Row],[PARCS]],Tableau2546[],13,FALSE)</f>
        <v>345771.2863933199</v>
      </c>
      <c r="T30" s="252">
        <f t="shared" si="2"/>
        <v>171017.82470199998</v>
      </c>
      <c r="U30" s="351">
        <f t="shared" si="3"/>
        <v>1.1435363277801149</v>
      </c>
      <c r="V30" s="252">
        <f>Tableau1[[#This Row],[CA7]]-Tableau1[[#This Row],[CA4]]</f>
        <v>25201.741691319912</v>
      </c>
      <c r="W30" s="351">
        <f>(Tableau1[[#This Row],[CA7]]-Tableau1[[#This Row],[CA4]])/Tableau1[[#This Row],[CA4]]</f>
        <v>7.8615520743704273E-2</v>
      </c>
    </row>
    <row r="31" spans="1:24" ht="15.75" customHeight="1">
      <c r="A31" s="345" t="s">
        <v>467</v>
      </c>
      <c r="B31" s="346" t="str">
        <f>VLOOKUP(Tableau1[[#This Row],[PARCS]],Tableau106[],3,FALSE)</f>
        <v>A420</v>
      </c>
      <c r="C31" s="346" t="str">
        <f>VLOOKUP(Tableau1[[#This Row],[PARCS]],Tableau106[],2,FALSE)</f>
        <v>FR28E02E</v>
      </c>
      <c r="D31" s="352" t="str">
        <f>VLOOKUP(Tableau1[[#This Row],[PARCS]],Tableau106[],8,FALSE)</f>
        <v>EOLIEN</v>
      </c>
      <c r="E31" s="352" t="str">
        <f>VLOOKUP(A31,Tableau106[],6,FALSE)</f>
        <v>N</v>
      </c>
      <c r="F31" s="353" t="str">
        <f>VLOOKUP(Tableau1[[#This Row],[PARCS]],Tableau106[],5,FALSE)</f>
        <v>GUIL</v>
      </c>
      <c r="G31" s="346" t="str">
        <f>VLOOKUP(Tableau1[[#This Row],[PARCS]],Tableau106[],7,FALSE)</f>
        <v>GROUPE</v>
      </c>
      <c r="H31" s="346" t="str">
        <f>VLOOKUP(Tableau1[[#This Row],[PARCS]],Tableau106[],9,FALSE)</f>
        <v>AlY</v>
      </c>
      <c r="I31" s="347">
        <v>39848.896000000001</v>
      </c>
      <c r="J31" s="348">
        <v>4379304.76</v>
      </c>
      <c r="K31" s="354">
        <f>VLOOKUP(Tableau1[[#This Row],[PARCS]],Tableau25[],10,FALSE)</f>
        <v>43476.001153263103</v>
      </c>
      <c r="L31" s="252">
        <f>VLOOKUP(Tableau1[[#This Row],[PARCS]],Tableau25[],12,FALSE)</f>
        <v>0</v>
      </c>
      <c r="M31" s="252">
        <f>VLOOKUP(Tableau1[[#This Row],[PARCS]],Tableau25[],13,FALSE)</f>
        <v>3880458.307435696</v>
      </c>
      <c r="N31" s="354">
        <f>VLOOKUP(Tableau1[[#This Row],[PARCS]],Tableau254[],10,FALSE)</f>
        <v>47656.538799999995</v>
      </c>
      <c r="O31" s="252">
        <f>VLOOKUP(Tableau1[[#This Row],[PARCS]],Tableau254[],12,FALSE)</f>
        <v>0</v>
      </c>
      <c r="P31" s="252">
        <f>VLOOKUP(Tableau1[[#This Row],[PARCS]],Tableau254[],13,FALSE)</f>
        <v>4345323.2077839989</v>
      </c>
      <c r="Q31" s="354">
        <f>VLOOKUP(Tableau1[[#This Row],[PARCS]],Tableau2546[],10,FALSE)</f>
        <v>42508.588327789977</v>
      </c>
      <c r="R31" s="252">
        <f>VLOOKUP(Tableau1[[#This Row],[PARCS]],Tableau2546[],12,FALSE)</f>
        <v>0</v>
      </c>
      <c r="S31" s="355">
        <f>VLOOKUP(Tableau1[[#This Row],[PARCS]],Tableau2546[],13,FALSE)</f>
        <v>3972831.4108210872</v>
      </c>
      <c r="T31" s="252">
        <f t="shared" si="2"/>
        <v>-33981.552216000855</v>
      </c>
      <c r="U31" s="351">
        <f t="shared" si="3"/>
        <v>-7.7595769370480752E-3</v>
      </c>
      <c r="V31" s="252">
        <f>Tableau1[[#This Row],[CA7]]-Tableau1[[#This Row],[CA4]]</f>
        <v>-372491.79696291173</v>
      </c>
      <c r="W31" s="351">
        <f>(Tableau1[[#This Row],[CA7]]-Tableau1[[#This Row],[CA4]])/Tableau1[[#This Row],[CA4]]</f>
        <v>-8.572246048249027E-2</v>
      </c>
    </row>
    <row r="32" spans="1:24" ht="15.75" customHeight="1">
      <c r="A32" s="345" t="s">
        <v>468</v>
      </c>
      <c r="B32" s="346" t="str">
        <f>VLOOKUP(Tableau1[[#This Row],[PARCS]],Tableau106[],3,FALSE)</f>
        <v>A893</v>
      </c>
      <c r="C32" s="346" t="str">
        <f>VLOOKUP(Tableau1[[#This Row],[PARCS]],Tableau106[],2,FALSE)</f>
        <v>FR50E99E</v>
      </c>
      <c r="D32" s="352" t="str">
        <f>VLOOKUP(Tableau1[[#This Row],[PARCS]],Tableau106[],8,FALSE)</f>
        <v>EOLIEN</v>
      </c>
      <c r="E32" s="352" t="str">
        <f>VLOOKUP(A32,Tableau106[],6,FALSE)</f>
        <v>N</v>
      </c>
      <c r="F32" s="353" t="str">
        <f>VLOOKUP(Tableau1[[#This Row],[PARCS]],Tableau106[],5,FALSE)</f>
        <v>CLIT</v>
      </c>
      <c r="G32" s="346" t="str">
        <f>VLOOKUP(Tableau1[[#This Row],[PARCS]],Tableau106[],7,FALSE)</f>
        <v>GROUPE</v>
      </c>
      <c r="H32" s="346" t="str">
        <f>VLOOKUP(Tableau1[[#This Row],[PARCS]],Tableau106[],9,FALSE)</f>
        <v>AnN</v>
      </c>
      <c r="I32" s="347">
        <v>4230.6809999999996</v>
      </c>
      <c r="J32" s="348">
        <v>297567.28999999998</v>
      </c>
      <c r="K32" s="354">
        <f>VLOOKUP(Tableau1[[#This Row],[PARCS]],Tableau25[],10,FALSE)</f>
        <v>5041.9243699999934</v>
      </c>
      <c r="L32" s="252">
        <f>VLOOKUP(Tableau1[[#This Row],[PARCS]],Tableau25[],12,FALSE)</f>
        <v>0</v>
      </c>
      <c r="M32" s="252">
        <f>VLOOKUP(Tableau1[[#This Row],[PARCS]],Tableau25[],13,FALSE)</f>
        <v>294851.73715759959</v>
      </c>
      <c r="N32" s="354">
        <f>VLOOKUP(Tableau1[[#This Row],[PARCS]],Tableau254[],10,FALSE)</f>
        <v>5092.7309999999998</v>
      </c>
      <c r="O32" s="252">
        <f>VLOOKUP(Tableau1[[#This Row],[PARCS]],Tableau254[],12,FALSE)</f>
        <v>0</v>
      </c>
      <c r="P32" s="252">
        <f>VLOOKUP(Tableau1[[#This Row],[PARCS]],Tableau254[],13,FALSE)</f>
        <v>297822.90888000006</v>
      </c>
      <c r="Q32" s="354">
        <f>VLOOKUP(Tableau1[[#This Row],[PARCS]],Tableau2546[],10,FALSE)</f>
        <v>5392.0461176714962</v>
      </c>
      <c r="R32" s="252">
        <f>VLOOKUP(Tableau1[[#This Row],[PARCS]],Tableau2546[],12,FALSE)</f>
        <v>0</v>
      </c>
      <c r="S32" s="355">
        <f>VLOOKUP(Tableau1[[#This Row],[PARCS]],Tableau2546[],13,FALSE)</f>
        <v>315326.85696142906</v>
      </c>
      <c r="T32" s="252">
        <f t="shared" si="2"/>
        <v>255.61888000008184</v>
      </c>
      <c r="U32" s="351">
        <f t="shared" si="3"/>
        <v>8.5902882672380374E-4</v>
      </c>
      <c r="V32" s="252">
        <f>Tableau1[[#This Row],[CA7]]-Tableau1[[#This Row],[CA4]]</f>
        <v>17503.948081429</v>
      </c>
      <c r="W32" s="351">
        <f>(Tableau1[[#This Row],[CA7]]-Tableau1[[#This Row],[CA4]])/Tableau1[[#This Row],[CA4]]</f>
        <v>5.8773007581098324E-2</v>
      </c>
    </row>
    <row r="33" spans="1:24" ht="15.75" customHeight="1">
      <c r="A33" s="345" t="s">
        <v>469</v>
      </c>
      <c r="B33" s="346" t="str">
        <f>VLOOKUP(Tableau1[[#This Row],[PARCS]],Tableau106[],3,FALSE)</f>
        <v>A039</v>
      </c>
      <c r="C33" s="346" t="str">
        <f>VLOOKUP(Tableau1[[#This Row],[PARCS]],Tableau106[],2,FALSE)</f>
        <v>FR11E99E</v>
      </c>
      <c r="D33" s="352" t="str">
        <f>VLOOKUP(Tableau1[[#This Row],[PARCS]],Tableau106[],8,FALSE)</f>
        <v>EOLIEN</v>
      </c>
      <c r="E33" s="352" t="str">
        <f>VLOOKUP(A33,Tableau106[],6,FALSE)</f>
        <v>S</v>
      </c>
      <c r="F33" s="353" t="str">
        <f>VLOOKUP(Tableau1[[#This Row],[PARCS]],Tableau106[],5,FALSE)</f>
        <v>LUCO</v>
      </c>
      <c r="G33" s="346" t="str">
        <f>VLOOKUP(Tableau1[[#This Row],[PARCS]],Tableau106[],7,FALSE)</f>
        <v>GROUPE</v>
      </c>
      <c r="H33" s="346" t="str">
        <f>VLOOKUP(Tableau1[[#This Row],[PARCS]],Tableau106[],9,FALSE)</f>
        <v>SaH</v>
      </c>
      <c r="I33" s="347">
        <v>19727.701000000001</v>
      </c>
      <c r="J33" s="348">
        <v>2368190.42</v>
      </c>
      <c r="K33" s="354">
        <f>VLOOKUP(Tableau1[[#This Row],[PARCS]],Tableau25[],10,FALSE)</f>
        <v>27392.7229999999</v>
      </c>
      <c r="L33" s="252">
        <f>VLOOKUP(Tableau1[[#This Row],[PARCS]],Tableau25[],12,FALSE)</f>
        <v>0</v>
      </c>
      <c r="M33" s="252">
        <f>VLOOKUP(Tableau1[[#This Row],[PARCS]],Tableau25[],13,FALSE)</f>
        <v>3967850.3636693782</v>
      </c>
      <c r="N33" s="354">
        <f>VLOOKUP(Tableau1[[#This Row],[PARCS]],Tableau254[],10,FALSE)</f>
        <v>26154.122199999998</v>
      </c>
      <c r="O33" s="252">
        <f>VLOOKUP(Tableau1[[#This Row],[PARCS]],Tableau254[],12,FALSE)</f>
        <v>1640.98</v>
      </c>
      <c r="P33" s="252">
        <f>VLOOKUP(Tableau1[[#This Row],[PARCS]],Tableau254[],13,FALSE)</f>
        <v>2092329.7759999998</v>
      </c>
      <c r="Q33" s="354">
        <f>VLOOKUP(Tableau1[[#This Row],[PARCS]],Tableau2546[],10,FALSE)</f>
        <v>25098.18950117756</v>
      </c>
      <c r="R33" s="252">
        <f>VLOOKUP(Tableau1[[#This Row],[PARCS]],Tableau2546[],12,FALSE)</f>
        <v>0</v>
      </c>
      <c r="S33" s="355">
        <f>VLOOKUP(Tableau1[[#This Row],[PARCS]],Tableau2546[],13,FALSE)</f>
        <v>2058051.5390965599</v>
      </c>
      <c r="T33" s="252">
        <f t="shared" si="2"/>
        <v>-275860.64400000009</v>
      </c>
      <c r="U33" s="351">
        <f t="shared" si="3"/>
        <v>-0.11648583731708538</v>
      </c>
      <c r="V33" s="252">
        <f>Tableau1[[#This Row],[CA7]]-Tableau1[[#This Row],[CA4]]</f>
        <v>-34278.236903439974</v>
      </c>
      <c r="W33" s="351">
        <f>(Tableau1[[#This Row],[CA7]]-Tableau1[[#This Row],[CA4]])/Tableau1[[#This Row],[CA4]]</f>
        <v>-1.638280795724812E-2</v>
      </c>
      <c r="X33" s="6" t="s">
        <v>470</v>
      </c>
    </row>
    <row r="34" spans="1:24" ht="15.75" customHeight="1">
      <c r="A34" s="345" t="s">
        <v>471</v>
      </c>
      <c r="B34" s="346" t="str">
        <f>VLOOKUP(Tableau1[[#This Row],[PARCS]],Tableau106[],3,FALSE)</f>
        <v>A043</v>
      </c>
      <c r="C34" s="346" t="str">
        <f>VLOOKUP(Tableau1[[#This Row],[PARCS]],Tableau106[],2,FALSE)</f>
        <v>FR97S77E</v>
      </c>
      <c r="D34" s="352" t="str">
        <f>VLOOKUP(Tableau1[[#This Row],[PARCS]],Tableau106[],8,FALSE)</f>
        <v>SOLAIRE DOM</v>
      </c>
      <c r="E34" s="352" t="str">
        <f>VLOOKUP(A34,Tableau106[],6,FALSE)</f>
        <v>DOM</v>
      </c>
      <c r="F34" s="353" t="str">
        <f>VLOOKUP(Tableau1[[#This Row],[PARCS]],Tableau106[],5,FALSE)</f>
        <v>CESA</v>
      </c>
      <c r="G34" s="346" t="str">
        <f>VLOOKUP(Tableau1[[#This Row],[PARCS]],Tableau106[],7,FALSE)</f>
        <v>GROUPE</v>
      </c>
      <c r="H34" s="346" t="str">
        <f>VLOOKUP(Tableau1[[#This Row],[PARCS]],Tableau106[],9,FALSE)</f>
        <v>DoJ</v>
      </c>
      <c r="I34" s="347">
        <v>643.37800000000004</v>
      </c>
      <c r="J34" s="348">
        <v>314416.64000000001</v>
      </c>
      <c r="K34" s="354">
        <f>VLOOKUP(Tableau1[[#This Row],[PARCS]],Tableau25[],10,FALSE)</f>
        <v>636</v>
      </c>
      <c r="L34" s="252">
        <f>VLOOKUP(Tableau1[[#This Row],[PARCS]],Tableau25[],12,FALSE)</f>
        <v>0</v>
      </c>
      <c r="M34" s="252">
        <f>VLOOKUP(Tableau1[[#This Row],[PARCS]],Tableau25[],13,FALSE)</f>
        <v>314908.90262400004</v>
      </c>
      <c r="N34" s="354">
        <f>VLOOKUP(Tableau1[[#This Row],[PARCS]],Tableau254[],10,FALSE)</f>
        <v>750.74900000000002</v>
      </c>
      <c r="O34" s="252">
        <f>VLOOKUP(Tableau1[[#This Row],[PARCS]],Tableau254[],12,FALSE)</f>
        <v>0</v>
      </c>
      <c r="P34" s="252">
        <f>VLOOKUP(Tableau1[[#This Row],[PARCS]],Tableau254[],13,FALSE)</f>
        <v>385720.57196899998</v>
      </c>
      <c r="Q34" s="354">
        <f>VLOOKUP(Tableau1[[#This Row],[PARCS]],Tableau2546[],10,FALSE)</f>
        <v>865.67250206586141</v>
      </c>
      <c r="R34" s="252">
        <f>VLOOKUP(Tableau1[[#This Row],[PARCS]],Tableau2546[],12,FALSE)</f>
        <v>0</v>
      </c>
      <c r="S34" s="355">
        <f>VLOOKUP(Tableau1[[#This Row],[PARCS]],Tableau2546[],13,FALSE)</f>
        <v>455885.23587849777</v>
      </c>
      <c r="T34" s="252">
        <f t="shared" si="2"/>
        <v>71303.931968999968</v>
      </c>
      <c r="U34" s="351">
        <f t="shared" si="3"/>
        <v>0.22678167405198391</v>
      </c>
      <c r="V34" s="252">
        <f>Tableau1[[#This Row],[CA7]]-Tableau1[[#This Row],[CA4]]</f>
        <v>70164.663909497787</v>
      </c>
      <c r="W34" s="351">
        <f>(Tableau1[[#This Row],[CA7]]-Tableau1[[#This Row],[CA4]])/Tableau1[[#This Row],[CA4]]</f>
        <v>0.1819054232739675</v>
      </c>
    </row>
    <row r="35" spans="1:24" ht="15.75" customHeight="1">
      <c r="A35" s="345" t="s">
        <v>83</v>
      </c>
      <c r="B35" s="346" t="str">
        <f>VLOOKUP(Tableau1[[#This Row],[PARCS]],Tableau106[],3,FALSE)</f>
        <v>A253</v>
      </c>
      <c r="C35" s="346" t="str">
        <f>VLOOKUP(Tableau1[[#This Row],[PARCS]],Tableau106[],2,FALSE)</f>
        <v>FR21S01E</v>
      </c>
      <c r="D35" s="352" t="str">
        <f>VLOOKUP(Tableau1[[#This Row],[PARCS]],Tableau106[],8,FALSE)</f>
        <v>SOLAIRE</v>
      </c>
      <c r="E35" s="352" t="str">
        <f>VLOOKUP(A35,Tableau106[],6,FALSE)</f>
        <v>N</v>
      </c>
      <c r="F35" s="353" t="str">
        <f>VLOOKUP(Tableau1[[#This Row],[PARCS]],Tableau106[],5,FALSE)</f>
        <v>DIJO</v>
      </c>
      <c r="G35" s="346" t="str">
        <f>VLOOKUP(Tableau1[[#This Row],[PARCS]],Tableau106[],7,FALSE)</f>
        <v>GROUPE</v>
      </c>
      <c r="H35" s="346" t="str">
        <f>VLOOKUP(Tableau1[[#This Row],[PARCS]],Tableau106[],9,FALSE)</f>
        <v>LoG</v>
      </c>
      <c r="I35" s="347">
        <v>20446.048999999999</v>
      </c>
      <c r="J35" s="348">
        <v>5753486.25</v>
      </c>
      <c r="K35" s="354">
        <f>VLOOKUP(Tableau1[[#This Row],[PARCS]],Tableau25[],10,FALSE)</f>
        <v>15603</v>
      </c>
      <c r="L35" s="252">
        <f>VLOOKUP(Tableau1[[#This Row],[PARCS]],Tableau25[],12,FALSE)</f>
        <v>0</v>
      </c>
      <c r="M35" s="252">
        <f>VLOOKUP(Tableau1[[#This Row],[PARCS]],Tableau25[],13,FALSE)</f>
        <v>805458.62770800001</v>
      </c>
      <c r="N35" s="354">
        <f>VLOOKUP(Tableau1[[#This Row],[PARCS]],Tableau254[],10,FALSE)</f>
        <v>15956.51</v>
      </c>
      <c r="O35" s="252">
        <f>VLOOKUP(Tableau1[[#This Row],[PARCS]],Tableau254[],12,FALSE)</f>
        <v>0</v>
      </c>
      <c r="P35" s="252">
        <f>VLOOKUP(Tableau1[[#This Row],[PARCS]],Tableau254[],13,FALSE)</f>
        <v>855109.3709000001</v>
      </c>
      <c r="Q35" s="354">
        <f>VLOOKUP(Tableau1[[#This Row],[PARCS]],Tableau2546[],10,FALSE)</f>
        <v>15603</v>
      </c>
      <c r="R35" s="252">
        <f>VLOOKUP(Tableau1[[#This Row],[PARCS]],Tableau2546[],12,FALSE)</f>
        <v>0</v>
      </c>
      <c r="S35" s="355">
        <f>VLOOKUP(Tableau1[[#This Row],[PARCS]],Tableau2546[],13,FALSE)</f>
        <v>857068.88925000001</v>
      </c>
      <c r="T35" s="252">
        <f t="shared" si="2"/>
        <v>-4898376.8790999996</v>
      </c>
      <c r="U35" s="351">
        <f t="shared" si="3"/>
        <v>-0.85137543851782027</v>
      </c>
      <c r="V35" s="252">
        <f>Tableau1[[#This Row],[CA7]]-Tableau1[[#This Row],[CA4]]</f>
        <v>1959.5183499999112</v>
      </c>
      <c r="W35" s="351">
        <f>(Tableau1[[#This Row],[CA7]]-Tableau1[[#This Row],[CA4]])/Tableau1[[#This Row],[CA4]]</f>
        <v>2.2915411954116745E-3</v>
      </c>
    </row>
    <row r="36" spans="1:24" ht="15.75" customHeight="1">
      <c r="A36" s="345" t="s">
        <v>472</v>
      </c>
      <c r="B36" s="346" t="str">
        <f>VLOOKUP(Tableau1[[#This Row],[PARCS]],Tableau106[],3,FALSE)</f>
        <v>A257</v>
      </c>
      <c r="C36" s="346" t="str">
        <f>VLOOKUP(Tableau1[[#This Row],[PARCS]],Tableau106[],2,FALSE)</f>
        <v>FR71S06E</v>
      </c>
      <c r="D36" s="352" t="str">
        <f>VLOOKUP(Tableau1[[#This Row],[PARCS]],Tableau106[],8,FALSE)</f>
        <v>SOLAIRE</v>
      </c>
      <c r="E36" s="352" t="str">
        <f>VLOOKUP(A36,Tableau106[],6,FALSE)</f>
        <v>N</v>
      </c>
      <c r="F36" s="353" t="str">
        <f>VLOOKUP(Tableau1[[#This Row],[PARCS]],Tableau106[],5,FALSE)</f>
        <v>CHAG</v>
      </c>
      <c r="G36" s="346" t="str">
        <f>VLOOKUP(Tableau1[[#This Row],[PARCS]],Tableau106[],7,FALSE)</f>
        <v>GROUPE</v>
      </c>
      <c r="H36" s="346" t="str">
        <f>VLOOKUP(Tableau1[[#This Row],[PARCS]],Tableau106[],9,FALSE)</f>
        <v>LoG</v>
      </c>
      <c r="I36" s="347"/>
      <c r="J36" s="348"/>
      <c r="K36" s="354">
        <f>VLOOKUP(Tableau1[[#This Row],[PARCS]],Tableau25[],10,FALSE)</f>
        <v>4717.96</v>
      </c>
      <c r="L36" s="252">
        <f>VLOOKUP(Tableau1[[#This Row],[PARCS]],Tableau25[],12,FALSE)</f>
        <v>0</v>
      </c>
      <c r="M36" s="252">
        <f>VLOOKUP(Tableau1[[#This Row],[PARCS]],Tableau25[],13,FALSE)</f>
        <v>358225.09703343996</v>
      </c>
      <c r="N36" s="354">
        <f>VLOOKUP(Tableau1[[#This Row],[PARCS]],Tableau254[],10,FALSE)</f>
        <v>4828</v>
      </c>
      <c r="O36" s="252">
        <f>VLOOKUP(Tableau1[[#This Row],[PARCS]],Tableau254[],12,FALSE)</f>
        <v>0</v>
      </c>
      <c r="P36" s="252">
        <f>VLOOKUP(Tableau1[[#This Row],[PARCS]],Tableau254[],13,FALSE)</f>
        <v>825318.43666666665</v>
      </c>
      <c r="Q36" s="354">
        <f>VLOOKUP(Tableau1[[#This Row],[PARCS]],Tableau2546[],10,FALSE)</f>
        <v>4827.68</v>
      </c>
      <c r="R36" s="252">
        <f>VLOOKUP(Tableau1[[#This Row],[PARCS]],Tableau2546[],12,FALSE)</f>
        <v>0</v>
      </c>
      <c r="S36" s="355">
        <f>VLOOKUP(Tableau1[[#This Row],[PARCS]],Tableau2546[],13,FALSE)</f>
        <v>845895.3278966666</v>
      </c>
      <c r="T36" s="252">
        <f t="shared" si="2"/>
        <v>825318.43666666665</v>
      </c>
      <c r="U36" s="351" t="str">
        <f t="shared" si="3"/>
        <v/>
      </c>
      <c r="V36" s="252">
        <f>Tableau1[[#This Row],[CA7]]-Tableau1[[#This Row],[CA4]]</f>
        <v>20576.89122999995</v>
      </c>
      <c r="W36" s="351">
        <f>(Tableau1[[#This Row],[CA7]]-Tableau1[[#This Row],[CA4]])/Tableau1[[#This Row],[CA4]]</f>
        <v>2.4932062966031423E-2</v>
      </c>
    </row>
    <row r="37" spans="1:24" ht="15.75" customHeight="1">
      <c r="A37" s="345" t="s">
        <v>473</v>
      </c>
      <c r="B37" s="346" t="str">
        <f>VLOOKUP(Tableau1[[#This Row],[PARCS]],Tableau106[],3,FALSE)</f>
        <v>A177</v>
      </c>
      <c r="C37" s="346" t="str">
        <f>VLOOKUP(Tableau1[[#This Row],[PARCS]],Tableau106[],2,FALSE)</f>
        <v>FR88E99E</v>
      </c>
      <c r="D37" s="352" t="str">
        <f>VLOOKUP(Tableau1[[#This Row],[PARCS]],Tableau106[],8,FALSE)</f>
        <v>EOLIEN</v>
      </c>
      <c r="E37" s="352" t="str">
        <f>VLOOKUP(A37,Tableau106[],6,FALSE)</f>
        <v>N</v>
      </c>
      <c r="F37" s="353" t="str">
        <f>VLOOKUP(Tableau1[[#This Row],[PARCS]],Tableau106[],5,FALSE)</f>
        <v>BDBS</v>
      </c>
      <c r="G37" s="346" t="str">
        <f>VLOOKUP(Tableau1[[#This Row],[PARCS]],Tableau106[],7,FALSE)</f>
        <v>GROUPE</v>
      </c>
      <c r="H37" s="346" t="str">
        <f>VLOOKUP(Tableau1[[#This Row],[PARCS]],Tableau106[],9,FALSE)</f>
        <v>AyB</v>
      </c>
      <c r="I37" s="347">
        <v>39870.305999999997</v>
      </c>
      <c r="J37" s="348">
        <v>3611789.73</v>
      </c>
      <c r="K37" s="354">
        <f>VLOOKUP(Tableau1[[#This Row],[PARCS]],Tableau25[],10,FALSE)</f>
        <v>36186.863093915752</v>
      </c>
      <c r="L37" s="252">
        <f>VLOOKUP(Tableau1[[#This Row],[PARCS]],Tableau25[],12,FALSE)</f>
        <v>0</v>
      </c>
      <c r="M37" s="252">
        <f>VLOOKUP(Tableau1[[#This Row],[PARCS]],Tableau25[],13,FALSE)</f>
        <v>3364386.110796601</v>
      </c>
      <c r="N37" s="354">
        <f>VLOOKUP(Tableau1[[#This Row],[PARCS]],Tableau254[],10,FALSE)</f>
        <v>39807.184000000001</v>
      </c>
      <c r="O37" s="252">
        <f>VLOOKUP(Tableau1[[#This Row],[PARCS]],Tableau254[],12,FALSE)</f>
        <v>0</v>
      </c>
      <c r="P37" s="252">
        <f>VLOOKUP(Tableau1[[#This Row],[PARCS]],Tableau254[],13,FALSE)</f>
        <v>3774915.2587199998</v>
      </c>
      <c r="Q37" s="354">
        <f>VLOOKUP(Tableau1[[#This Row],[PARCS]],Tableau2546[],10,FALSE)</f>
        <v>33188.374383182978</v>
      </c>
      <c r="R37" s="252">
        <f>VLOOKUP(Tableau1[[#This Row],[PARCS]],Tableau2546[],12,FALSE)</f>
        <v>0</v>
      </c>
      <c r="S37" s="355">
        <f>VLOOKUP(Tableau1[[#This Row],[PARCS]],Tableau2546[],13,FALSE)</f>
        <v>3225934.8813261725</v>
      </c>
      <c r="T37" s="252">
        <f t="shared" si="2"/>
        <v>163125.52871999983</v>
      </c>
      <c r="U37" s="351">
        <f t="shared" si="3"/>
        <v>4.5164735744458701E-2</v>
      </c>
      <c r="V37" s="252">
        <f>Tableau1[[#This Row],[CA7]]-Tableau1[[#This Row],[CA4]]</f>
        <v>-548980.37739382731</v>
      </c>
      <c r="W37" s="351">
        <f>(Tableau1[[#This Row],[CA7]]-Tableau1[[#This Row],[CA4]])/Tableau1[[#This Row],[CA4]]</f>
        <v>-0.14542853011751469</v>
      </c>
    </row>
    <row r="38" spans="1:24" ht="15.75" customHeight="1">
      <c r="A38" s="345" t="s">
        <v>474</v>
      </c>
      <c r="B38" s="346" t="str">
        <f>VLOOKUP(Tableau1[[#This Row],[PARCS]],Tableau106[],3,FALSE)</f>
        <v>A530</v>
      </c>
      <c r="C38" s="346" t="str">
        <f>VLOOKUP(Tableau1[[#This Row],[PARCS]],Tableau106[],2,FALSE)</f>
        <v>FR51E02E</v>
      </c>
      <c r="D38" s="352" t="str">
        <f>VLOOKUP(Tableau1[[#This Row],[PARCS]],Tableau106[],8,FALSE)</f>
        <v>EOLIEN</v>
      </c>
      <c r="E38" s="352" t="str">
        <f>VLOOKUP(A38,Tableau106[],6,FALSE)</f>
        <v>N</v>
      </c>
      <c r="F38" s="353" t="str">
        <f>VLOOKUP(Tableau1[[#This Row],[PARCS]],Tableau106[],5,FALSE)</f>
        <v>VANA</v>
      </c>
      <c r="G38" s="346" t="str">
        <f>VLOOKUP(Tableau1[[#This Row],[PARCS]],Tableau106[],7,FALSE)</f>
        <v>GROUPE</v>
      </c>
      <c r="H38" s="346" t="str">
        <f>VLOOKUP(Tableau1[[#This Row],[PARCS]],Tableau106[],9,FALSE)</f>
        <v>BaB</v>
      </c>
      <c r="I38" s="347">
        <v>12935.715</v>
      </c>
      <c r="J38" s="348">
        <v>579748.21</v>
      </c>
      <c r="K38" s="354">
        <f>VLOOKUP(Tableau1[[#This Row],[PARCS]],Tableau25[],10,FALSE)</f>
        <v>13790.137405642066</v>
      </c>
      <c r="L38" s="252">
        <f>VLOOKUP(Tableau1[[#This Row],[PARCS]],Tableau25[],12,FALSE)</f>
        <v>0</v>
      </c>
      <c r="M38" s="252">
        <f>VLOOKUP(Tableau1[[#This Row],[PARCS]],Tableau25[],13,FALSE)</f>
        <v>620556.18325389293</v>
      </c>
      <c r="N38" s="354">
        <f>VLOOKUP(Tableau1[[#This Row],[PARCS]],Tableau254[],10,FALSE)</f>
        <v>13707.387200000001</v>
      </c>
      <c r="O38" s="252">
        <f>VLOOKUP(Tableau1[[#This Row],[PARCS]],Tableau254[],12,FALSE)</f>
        <v>0</v>
      </c>
      <c r="P38" s="252">
        <f>VLOOKUP(Tableau1[[#This Row],[PARCS]],Tableau254[],13,FALSE)</f>
        <v>616832.424</v>
      </c>
      <c r="Q38" s="354">
        <f>VLOOKUP(Tableau1[[#This Row],[PARCS]],Tableau2546[],10,FALSE)</f>
        <v>14059.844479125</v>
      </c>
      <c r="R38" s="252">
        <f>VLOOKUP(Tableau1[[#This Row],[PARCS]],Tableau2546[],12,FALSE)</f>
        <v>0</v>
      </c>
      <c r="S38" s="355">
        <f>VLOOKUP(Tableau1[[#This Row],[PARCS]],Tableau2546[],13,FALSE)</f>
        <v>632693.00156062504</v>
      </c>
      <c r="T38" s="252">
        <f t="shared" ref="T38:T69" si="4">P38-J38</f>
        <v>37084.214000000036</v>
      </c>
      <c r="U38" s="351">
        <f t="shared" ref="U38:U69" si="5">IFERROR((P38-J38)/J38,"")</f>
        <v>6.3966068993986269E-2</v>
      </c>
      <c r="V38" s="252">
        <f>Tableau1[[#This Row],[CA7]]-Tableau1[[#This Row],[CA4]]</f>
        <v>15860.577560625039</v>
      </c>
      <c r="W38" s="351">
        <f>(Tableau1[[#This Row],[CA7]]-Tableau1[[#This Row],[CA4]])/Tableau1[[#This Row],[CA4]]</f>
        <v>2.5712943975566758E-2</v>
      </c>
    </row>
    <row r="39" spans="1:24" ht="15.75" customHeight="1">
      <c r="A39" s="345" t="s">
        <v>475</v>
      </c>
      <c r="B39" s="346" t="str">
        <f>VLOOKUP(Tableau1[[#This Row],[PARCS]],Tableau106[],3,FALSE)</f>
        <v>A540</v>
      </c>
      <c r="C39" s="346" t="str">
        <f>VLOOKUP(Tableau1[[#This Row],[PARCS]],Tableau106[],2,FALSE)</f>
        <v>FR56E04E</v>
      </c>
      <c r="D39" s="352" t="str">
        <f>VLOOKUP(Tableau1[[#This Row],[PARCS]],Tableau106[],8,FALSE)</f>
        <v>EOLIEN</v>
      </c>
      <c r="E39" s="352" t="str">
        <f>VLOOKUP(A39,Tableau106[],6,FALSE)</f>
        <v>N</v>
      </c>
      <c r="F39" s="353" t="str">
        <f>VLOOKUP(Tableau1[[#This Row],[PARCS]],Tableau106[],5,FALSE)</f>
        <v>MAUR</v>
      </c>
      <c r="G39" s="346" t="str">
        <f>VLOOKUP(Tableau1[[#This Row],[PARCS]],Tableau106[],7,FALSE)</f>
        <v>EGM</v>
      </c>
      <c r="H39" s="346" t="str">
        <f>VLOOKUP(Tableau1[[#This Row],[PARCS]],Tableau106[],9,FALSE)</f>
        <v>DeN</v>
      </c>
      <c r="I39" s="347">
        <v>13450.968000000001</v>
      </c>
      <c r="J39" s="348">
        <v>2364989.59</v>
      </c>
      <c r="K39" s="354">
        <f>VLOOKUP(Tableau1[[#This Row],[PARCS]],Tableau25[],10,FALSE)</f>
        <v>13280.0535</v>
      </c>
      <c r="L39" s="252">
        <f>VLOOKUP(Tableau1[[#This Row],[PARCS]],Tableau25[],12,FALSE)</f>
        <v>0</v>
      </c>
      <c r="M39" s="252">
        <f>VLOOKUP(Tableau1[[#This Row],[PARCS]],Tableau25[],13,FALSE)</f>
        <v>2927980.8836586</v>
      </c>
      <c r="N39" s="354">
        <f>VLOOKUP(Tableau1[[#This Row],[PARCS]],Tableau254[],10,FALSE)</f>
        <v>14975.695489193886</v>
      </c>
      <c r="O39" s="252">
        <f>VLOOKUP(Tableau1[[#This Row],[PARCS]],Tableau254[],12,FALSE)</f>
        <v>10065.83</v>
      </c>
      <c r="P39" s="252">
        <f>VLOOKUP(Tableau1[[#This Row],[PARCS]],Tableau254[],13,FALSE)</f>
        <v>2522841.2293863893</v>
      </c>
      <c r="Q39" s="354">
        <f>VLOOKUP(Tableau1[[#This Row],[PARCS]],Tableau2546[],10,FALSE)</f>
        <v>13280.054</v>
      </c>
      <c r="R39" s="252">
        <f>VLOOKUP(Tableau1[[#This Row],[PARCS]],Tableau2546[],12,FALSE)</f>
        <v>0</v>
      </c>
      <c r="S39" s="355">
        <f>VLOOKUP(Tableau1[[#This Row],[PARCS]],Tableau2546[],13,FALSE)</f>
        <v>2293119.1728924564</v>
      </c>
      <c r="T39" s="252">
        <f t="shared" si="4"/>
        <v>157851.6393863894</v>
      </c>
      <c r="U39" s="351">
        <f t="shared" si="5"/>
        <v>6.6745173024795185E-2</v>
      </c>
      <c r="V39" s="252">
        <f>Tableau1[[#This Row],[CA7]]-Tableau1[[#This Row],[CA4]]</f>
        <v>-229722.05649393285</v>
      </c>
      <c r="W39" s="351">
        <f>(Tableau1[[#This Row],[CA7]]-Tableau1[[#This Row],[CA4]])/Tableau1[[#This Row],[CA4]]</f>
        <v>-9.1056882144662871E-2</v>
      </c>
    </row>
    <row r="40" spans="1:24" ht="15.75" customHeight="1">
      <c r="A40" s="345" t="s">
        <v>476</v>
      </c>
      <c r="B40" s="346" t="str">
        <f>VLOOKUP(Tableau1[[#This Row],[PARCS]],Tableau106[],3,FALSE)</f>
        <v>A290</v>
      </c>
      <c r="C40" s="346" t="str">
        <f>VLOOKUP(Tableau1[[#This Row],[PARCS]],Tableau106[],2,FALSE)</f>
        <v>FR86S03E</v>
      </c>
      <c r="D40" s="352" t="str">
        <f>VLOOKUP(Tableau1[[#This Row],[PARCS]],Tableau106[],8,FALSE)</f>
        <v>SOLAIRE</v>
      </c>
      <c r="E40" s="352" t="str">
        <f>VLOOKUP(A40,Tableau106[],6,FALSE)</f>
        <v>N</v>
      </c>
      <c r="F40" s="353" t="str">
        <f>VLOOKUP(Tableau1[[#This Row],[PARCS]],Tableau106[],5,FALSE)</f>
        <v>CIVA</v>
      </c>
      <c r="G40" s="346" t="str">
        <f>VLOOKUP(Tableau1[[#This Row],[PARCS]],Tableau106[],7,FALSE)</f>
        <v>GROUPE</v>
      </c>
      <c r="H40" s="346" t="str">
        <f>VLOOKUP(Tableau1[[#This Row],[PARCS]],Tableau106[],9,FALSE)</f>
        <v>ArB</v>
      </c>
      <c r="I40" s="347"/>
      <c r="J40" s="348"/>
      <c r="K40" s="354">
        <f>VLOOKUP(Tableau1[[#This Row],[PARCS]],Tableau25[],10,FALSE)</f>
        <v>5941</v>
      </c>
      <c r="L40" s="252">
        <f>VLOOKUP(Tableau1[[#This Row],[PARCS]],Tableau25[],12,FALSE)</f>
        <v>0</v>
      </c>
      <c r="M40" s="252">
        <f>VLOOKUP(Tableau1[[#This Row],[PARCS]],Tableau25[],13,FALSE)</f>
        <v>400720.45</v>
      </c>
      <c r="N40" s="354">
        <f>VLOOKUP(Tableau1[[#This Row],[PARCS]],Tableau254[],10,FALSE)</f>
        <v>5941</v>
      </c>
      <c r="O40" s="252">
        <f>VLOOKUP(Tableau1[[#This Row],[PARCS]],Tableau254[],12,FALSE)</f>
        <v>0</v>
      </c>
      <c r="P40" s="252">
        <f>VLOOKUP(Tableau1[[#This Row],[PARCS]],Tableau254[],13,FALSE)</f>
        <v>1040209.6900000001</v>
      </c>
      <c r="Q40" s="354">
        <f>VLOOKUP(Tableau1[[#This Row],[PARCS]],Tableau2546[],10,FALSE)</f>
        <v>5941</v>
      </c>
      <c r="R40" s="252">
        <f>VLOOKUP(Tableau1[[#This Row],[PARCS]],Tableau2546[],12,FALSE)</f>
        <v>0</v>
      </c>
      <c r="S40" s="355">
        <f>VLOOKUP(Tableau1[[#This Row],[PARCS]],Tableau2546[],13,FALSE)</f>
        <v>1066214.9322499998</v>
      </c>
      <c r="T40" s="252">
        <f t="shared" si="4"/>
        <v>1040209.6900000001</v>
      </c>
      <c r="U40" s="351" t="str">
        <f t="shared" si="5"/>
        <v/>
      </c>
      <c r="V40" s="252">
        <f>Tableau1[[#This Row],[CA7]]-Tableau1[[#This Row],[CA4]]</f>
        <v>26005.242249999777</v>
      </c>
      <c r="W40" s="351">
        <f>(Tableau1[[#This Row],[CA7]]-Tableau1[[#This Row],[CA4]])/Tableau1[[#This Row],[CA4]]</f>
        <v>2.4999999999999786E-2</v>
      </c>
    </row>
    <row r="41" spans="1:24" ht="15.75" customHeight="1">
      <c r="A41" s="345" t="s">
        <v>477</v>
      </c>
      <c r="B41" s="346" t="str">
        <f>VLOOKUP(Tableau1[[#This Row],[PARCS]],Tableau106[],3,FALSE)</f>
        <v>A531</v>
      </c>
      <c r="C41" s="346" t="str">
        <f>VLOOKUP(Tableau1[[#This Row],[PARCS]],Tableau106[],2,FALSE)</f>
        <v>FR62E01E</v>
      </c>
      <c r="D41" s="352" t="str">
        <f>VLOOKUP(Tableau1[[#This Row],[PARCS]],Tableau106[],8,FALSE)</f>
        <v>EOLIEN</v>
      </c>
      <c r="E41" s="352" t="str">
        <f>VLOOKUP(A41,Tableau106[],6,FALSE)</f>
        <v>N</v>
      </c>
      <c r="F41" s="353" t="str">
        <f>VLOOKUP(Tableau1[[#This Row],[PARCS]],Tableau106[],5,FALSE)</f>
        <v>HENI</v>
      </c>
      <c r="G41" s="346" t="str">
        <f>VLOOKUP(Tableau1[[#This Row],[PARCS]],Tableau106[],7,FALSE)</f>
        <v>GROUPE</v>
      </c>
      <c r="H41" s="346" t="str">
        <f>VLOOKUP(Tableau1[[#This Row],[PARCS]],Tableau106[],9,FALSE)</f>
        <v>NiL</v>
      </c>
      <c r="I41" s="347">
        <v>12053.397999999999</v>
      </c>
      <c r="J41" s="348">
        <v>1167336.73</v>
      </c>
      <c r="K41" s="354">
        <f>VLOOKUP(Tableau1[[#This Row],[PARCS]],Tableau25[],10,FALSE)</f>
        <v>13663.93483699999</v>
      </c>
      <c r="L41" s="252">
        <f>VLOOKUP(Tableau1[[#This Row],[PARCS]],Tableau25[],12,FALSE)</f>
        <v>0</v>
      </c>
      <c r="M41" s="252">
        <f>VLOOKUP(Tableau1[[#This Row],[PARCS]],Tableau25[],13,FALSE)</f>
        <v>1355102.548029419</v>
      </c>
      <c r="N41" s="354">
        <f>VLOOKUP(Tableau1[[#This Row],[PARCS]],Tableau254[],10,FALSE)</f>
        <v>12328.922999999999</v>
      </c>
      <c r="O41" s="252">
        <f>VLOOKUP(Tableau1[[#This Row],[PARCS]],Tableau254[],12,FALSE)</f>
        <v>0</v>
      </c>
      <c r="P41" s="252">
        <f>VLOOKUP(Tableau1[[#This Row],[PARCS]],Tableau254[],13,FALSE)</f>
        <v>1246515.7599149998</v>
      </c>
      <c r="Q41" s="354">
        <f>VLOOKUP(Tableau1[[#This Row],[PARCS]],Tableau2546[],10,FALSE)</f>
        <v>11688.495232982226</v>
      </c>
      <c r="R41" s="252">
        <f>VLOOKUP(Tableau1[[#This Row],[PARCS]],Tableau2546[],12,FALSE)</f>
        <v>0</v>
      </c>
      <c r="S41" s="355">
        <f>VLOOKUP(Tableau1[[#This Row],[PARCS]],Tableau2546[],13,FALSE)</f>
        <v>1211309.4432939347</v>
      </c>
      <c r="T41" s="252">
        <f t="shared" si="4"/>
        <v>79179.029914999846</v>
      </c>
      <c r="U41" s="351">
        <f t="shared" si="5"/>
        <v>6.7828783143831894E-2</v>
      </c>
      <c r="V41" s="252">
        <f>Tableau1[[#This Row],[CA7]]-Tableau1[[#This Row],[CA4]]</f>
        <v>-35206.31662106514</v>
      </c>
      <c r="W41" s="351">
        <f>(Tableau1[[#This Row],[CA7]]-Tableau1[[#This Row],[CA4]])/Tableau1[[#This Row],[CA4]]</f>
        <v>-2.8243779784594032E-2</v>
      </c>
    </row>
    <row r="42" spans="1:24" ht="15.75" customHeight="1">
      <c r="A42" s="345" t="s">
        <v>478</v>
      </c>
      <c r="B42" s="346" t="str">
        <f>VLOOKUP(Tableau1[[#This Row],[PARCS]],Tableau106[],3,FALSE)</f>
        <v>A530</v>
      </c>
      <c r="C42" s="346" t="str">
        <f>VLOOKUP(Tableau1[[#This Row],[PARCS]],Tableau106[],2,FALSE)</f>
        <v>FR57E02E</v>
      </c>
      <c r="D42" s="352" t="str">
        <f>VLOOKUP(Tableau1[[#This Row],[PARCS]],Tableau106[],8,FALSE)</f>
        <v>EOLIEN</v>
      </c>
      <c r="E42" s="352" t="str">
        <f>VLOOKUP(A42,Tableau106[],6,FALSE)</f>
        <v>N</v>
      </c>
      <c r="F42" s="353" t="str">
        <f>VLOOKUP(Tableau1[[#This Row],[PARCS]],Tableau106[],5,FALSE)</f>
        <v>NIED</v>
      </c>
      <c r="G42" s="346" t="str">
        <f>VLOOKUP(Tableau1[[#This Row],[PARCS]],Tableau106[],7,FALSE)</f>
        <v>GROUPE</v>
      </c>
      <c r="H42" s="346" t="str">
        <f>VLOOKUP(Tableau1[[#This Row],[PARCS]],Tableau106[],9,FALSE)</f>
        <v>HuB</v>
      </c>
      <c r="I42" s="347">
        <v>18803.805</v>
      </c>
      <c r="J42" s="348">
        <v>2457935.65</v>
      </c>
      <c r="K42" s="354">
        <f>VLOOKUP(Tableau1[[#This Row],[PARCS]],Tableau25[],10,FALSE)</f>
        <v>20462.312943157845</v>
      </c>
      <c r="L42" s="252">
        <f>VLOOKUP(Tableau1[[#This Row],[PARCS]],Tableau25[],12,FALSE)</f>
        <v>0</v>
      </c>
      <c r="M42" s="252">
        <f>VLOOKUP(Tableau1[[#This Row],[PARCS]],Tableau25[],13,FALSE)</f>
        <v>4685869.6639831467</v>
      </c>
      <c r="N42" s="354">
        <f>VLOOKUP(Tableau1[[#This Row],[PARCS]],Tableau254[],10,FALSE)</f>
        <v>15605.804624999999</v>
      </c>
      <c r="O42" s="252">
        <f>VLOOKUP(Tableau1[[#This Row],[PARCS]],Tableau254[],12,FALSE)</f>
        <v>0</v>
      </c>
      <c r="P42" s="252">
        <f>VLOOKUP(Tableau1[[#This Row],[PARCS]],Tableau254[],13,FALSE)</f>
        <v>2630046.25345125</v>
      </c>
      <c r="Q42" s="354">
        <f>VLOOKUP(Tableau1[[#This Row],[PARCS]],Tableau2546[],10,FALSE)</f>
        <v>22799.196203452993</v>
      </c>
      <c r="R42" s="252">
        <f>VLOOKUP(Tableau1[[#This Row],[PARCS]],Tableau2546[],12,FALSE)</f>
        <v>0</v>
      </c>
      <c r="S42" s="355">
        <f>VLOOKUP(Tableau1[[#This Row],[PARCS]],Tableau2546[],13,FALSE)</f>
        <v>3938407.2495721309</v>
      </c>
      <c r="T42" s="252">
        <f t="shared" si="4"/>
        <v>172110.60345125012</v>
      </c>
      <c r="U42" s="351">
        <f t="shared" si="5"/>
        <v>7.0022420420668918E-2</v>
      </c>
      <c r="V42" s="252">
        <f>Tableau1[[#This Row],[CA7]]-Tableau1[[#This Row],[CA4]]</f>
        <v>1308360.9961208808</v>
      </c>
      <c r="W42" s="351">
        <f>(Tableau1[[#This Row],[CA7]]-Tableau1[[#This Row],[CA4]])/Tableau1[[#This Row],[CA4]]</f>
        <v>0.49746691504151236</v>
      </c>
    </row>
    <row r="43" spans="1:24" ht="15.75" customHeight="1">
      <c r="A43" s="345" t="s">
        <v>479</v>
      </c>
      <c r="B43" s="346" t="str">
        <f>VLOOKUP(Tableau1[[#This Row],[PARCS]],Tableau106[],3,FALSE)</f>
        <v>A541</v>
      </c>
      <c r="C43" s="346" t="str">
        <f>VLOOKUP(Tableau1[[#This Row],[PARCS]],Tableau106[],2,FALSE)</f>
        <v>FR57E04E</v>
      </c>
      <c r="D43" s="352" t="str">
        <f>VLOOKUP(Tableau1[[#This Row],[PARCS]],Tableau106[],8,FALSE)</f>
        <v>EOLIEN</v>
      </c>
      <c r="E43" s="352" t="str">
        <f>VLOOKUP(A43,Tableau106[],6,FALSE)</f>
        <v>N</v>
      </c>
      <c r="F43" s="353" t="str">
        <f>VLOOKUP(Tableau1[[#This Row],[PARCS]],Tableau106[],5,FALSE)</f>
        <v>AMEL</v>
      </c>
      <c r="G43" s="346" t="str">
        <f>VLOOKUP(Tableau1[[#This Row],[PARCS]],Tableau106[],7,FALSE)</f>
        <v>EGM</v>
      </c>
      <c r="H43" s="346" t="str">
        <f>VLOOKUP(Tableau1[[#This Row],[PARCS]],Tableau106[],9,FALSE)</f>
        <v>NoS</v>
      </c>
      <c r="I43" s="347">
        <v>23019.333999999999</v>
      </c>
      <c r="J43" s="348">
        <v>3741963.26</v>
      </c>
      <c r="K43" s="354">
        <f>VLOOKUP(Tableau1[[#This Row],[PARCS]],Tableau25[],10,FALSE)</f>
        <v>21514</v>
      </c>
      <c r="L43" s="252">
        <f>VLOOKUP(Tableau1[[#This Row],[PARCS]],Tableau25[],12,FALSE)</f>
        <v>0</v>
      </c>
      <c r="M43" s="252">
        <f>VLOOKUP(Tableau1[[#This Row],[PARCS]],Tableau25[],13,FALSE)</f>
        <v>4743398.1144000003</v>
      </c>
      <c r="N43" s="354">
        <f>VLOOKUP(Tableau1[[#This Row],[PARCS]],Tableau254[],10,FALSE)</f>
        <v>23898.352999999999</v>
      </c>
      <c r="O43" s="252">
        <f>VLOOKUP(Tableau1[[#This Row],[PARCS]],Tableau254[],12,FALSE)</f>
        <v>0</v>
      </c>
      <c r="P43" s="252">
        <f>VLOOKUP(Tableau1[[#This Row],[PARCS]],Tableau254[],13,FALSE)</f>
        <v>4021957.7842055499</v>
      </c>
      <c r="Q43" s="354">
        <f>VLOOKUP(Tableau1[[#This Row],[PARCS]],Tableau2546[],10,FALSE)</f>
        <v>21514</v>
      </c>
      <c r="R43" s="252">
        <f>VLOOKUP(Tableau1[[#This Row],[PARCS]],Tableau2546[],12,FALSE)</f>
        <v>0</v>
      </c>
      <c r="S43" s="355">
        <f>VLOOKUP(Tableau1[[#This Row],[PARCS]],Tableau2546[],13,FALSE)</f>
        <v>3711201.7620475003</v>
      </c>
      <c r="T43" s="252">
        <f t="shared" si="4"/>
        <v>279994.52420555009</v>
      </c>
      <c r="U43" s="351">
        <f t="shared" si="5"/>
        <v>7.4825567423008346E-2</v>
      </c>
      <c r="V43" s="252">
        <f>Tableau1[[#This Row],[CA7]]-Tableau1[[#This Row],[CA4]]</f>
        <v>-310756.02215804951</v>
      </c>
      <c r="W43" s="351">
        <f>(Tableau1[[#This Row],[CA7]]-Tableau1[[#This Row],[CA4]])/Tableau1[[#This Row],[CA4]]</f>
        <v>-7.7264864235623149E-2</v>
      </c>
    </row>
    <row r="44" spans="1:24" ht="15.75" customHeight="1">
      <c r="A44" s="345" t="s">
        <v>480</v>
      </c>
      <c r="B44" s="346" t="str">
        <f>VLOOKUP(Tableau1[[#This Row],[PARCS]],Tableau106[],3,FALSE)</f>
        <v>A540</v>
      </c>
      <c r="C44" s="346" t="str">
        <f>VLOOKUP(Tableau1[[#This Row],[PARCS]],Tableau106[],2,FALSE)</f>
        <v>FR35E02E</v>
      </c>
      <c r="D44" s="352" t="str">
        <f>VLOOKUP(Tableau1[[#This Row],[PARCS]],Tableau106[],8,FALSE)</f>
        <v>EOLIEN</v>
      </c>
      <c r="E44" s="352" t="str">
        <f>VLOOKUP(A44,Tableau106[],6,FALSE)</f>
        <v>N</v>
      </c>
      <c r="F44" s="353" t="str">
        <f>VLOOKUP(Tableau1[[#This Row],[PARCS]],Tableau106[],5,FALSE)</f>
        <v>NOUR</v>
      </c>
      <c r="G44" s="346" t="str">
        <f>VLOOKUP(Tableau1[[#This Row],[PARCS]],Tableau106[],7,FALSE)</f>
        <v>EGM</v>
      </c>
      <c r="H44" s="346" t="str">
        <f>VLOOKUP(Tableau1[[#This Row],[PARCS]],Tableau106[],9,FALSE)</f>
        <v>MaA</v>
      </c>
      <c r="I44" s="347">
        <v>14001.087</v>
      </c>
      <c r="J44" s="348">
        <v>2503483.1</v>
      </c>
      <c r="K44" s="354">
        <f>VLOOKUP(Tableau1[[#This Row],[PARCS]],Tableau25[],10,FALSE)</f>
        <v>15577.644</v>
      </c>
      <c r="L44" s="252">
        <f>VLOOKUP(Tableau1[[#This Row],[PARCS]],Tableau25[],12,FALSE)</f>
        <v>0</v>
      </c>
      <c r="M44" s="252">
        <f>VLOOKUP(Tableau1[[#This Row],[PARCS]],Tableau25[],13,FALSE)</f>
        <v>1418158.7777558691</v>
      </c>
      <c r="N44" s="354">
        <f>VLOOKUP(Tableau1[[#This Row],[PARCS]],Tableau254[],10,FALSE)</f>
        <v>16031.366977611669</v>
      </c>
      <c r="O44" s="252">
        <f>VLOOKUP(Tableau1[[#This Row],[PARCS]],Tableau254[],12,FALSE)</f>
        <v>9311</v>
      </c>
      <c r="P44" s="252">
        <f>VLOOKUP(Tableau1[[#This Row],[PARCS]],Tableau254[],13,FALSE)</f>
        <v>2699733.9001883082</v>
      </c>
      <c r="Q44" s="354">
        <f>VLOOKUP(Tableau1[[#This Row],[PARCS]],Tableau2546[],10,FALSE)</f>
        <v>15577.644</v>
      </c>
      <c r="R44" s="252">
        <f>VLOOKUP(Tableau1[[#This Row],[PARCS]],Tableau2546[],12,FALSE)</f>
        <v>0</v>
      </c>
      <c r="S44" s="355">
        <f>VLOOKUP(Tableau1[[#This Row],[PARCS]],Tableau2546[],13,FALSE)</f>
        <v>2688908.6246894477</v>
      </c>
      <c r="T44" s="252">
        <f t="shared" si="4"/>
        <v>196250.80018830812</v>
      </c>
      <c r="U44" s="351">
        <f t="shared" si="5"/>
        <v>7.8391102455737813E-2</v>
      </c>
      <c r="V44" s="252">
        <f>Tableau1[[#This Row],[CA7]]-Tableau1[[#This Row],[CA4]]</f>
        <v>-10825.275498860516</v>
      </c>
      <c r="W44" s="351">
        <f>(Tableau1[[#This Row],[CA7]]-Tableau1[[#This Row],[CA4]])/Tableau1[[#This Row],[CA4]]</f>
        <v>-4.0097564793720765E-3</v>
      </c>
    </row>
    <row r="45" spans="1:24" ht="15.75" customHeight="1">
      <c r="A45" s="345" t="s">
        <v>481</v>
      </c>
      <c r="B45" s="346" t="str">
        <f>VLOOKUP(Tableau1[[#This Row],[PARCS]],Tableau106[],3,FALSE)</f>
        <v>A313</v>
      </c>
      <c r="C45" s="346" t="str">
        <f>VLOOKUP(Tableau1[[#This Row],[PARCS]],Tableau106[],2,FALSE)</f>
        <v>FR21S03E</v>
      </c>
      <c r="D45" s="352" t="str">
        <f>VLOOKUP(Tableau1[[#This Row],[PARCS]],Tableau106[],8,FALSE)</f>
        <v>SOLAIRE</v>
      </c>
      <c r="E45" s="352" t="str">
        <f>VLOOKUP(A45,Tableau106[],6,FALSE)</f>
        <v>N</v>
      </c>
      <c r="F45" s="353" t="str">
        <f>VLOOKUP(Tableau1[[#This Row],[PARCS]],Tableau106[],5,FALSE)</f>
        <v>COLB</v>
      </c>
      <c r="G45" s="346" t="str">
        <f>VLOOKUP(Tableau1[[#This Row],[PARCS]],Tableau106[],7,FALSE)</f>
        <v>GROUPE</v>
      </c>
      <c r="H45" s="346" t="str">
        <f>VLOOKUP(Tableau1[[#This Row],[PARCS]],Tableau106[],9,FALSE)</f>
        <v>LoG</v>
      </c>
      <c r="I45" s="347"/>
      <c r="J45" s="348"/>
      <c r="K45" s="354">
        <f>VLOOKUP(Tableau1[[#This Row],[PARCS]],Tableau25[],10,FALSE)</f>
        <v>5440</v>
      </c>
      <c r="L45" s="252">
        <f>VLOOKUP(Tableau1[[#This Row],[PARCS]],Tableau25[],12,FALSE)</f>
        <v>0</v>
      </c>
      <c r="M45" s="252">
        <f>VLOOKUP(Tableau1[[#This Row],[PARCS]],Tableau25[],13,FALSE)</f>
        <v>378132.48511999997</v>
      </c>
      <c r="N45" s="354">
        <f>VLOOKUP(Tableau1[[#This Row],[PARCS]],Tableau254[],10,FALSE)</f>
        <v>5440</v>
      </c>
      <c r="O45" s="252">
        <f>VLOOKUP(Tableau1[[#This Row],[PARCS]],Tableau254[],12,FALSE)</f>
        <v>0</v>
      </c>
      <c r="P45" s="252">
        <f>VLOOKUP(Tableau1[[#This Row],[PARCS]],Tableau254[],13,FALSE)</f>
        <v>929251.73333333316</v>
      </c>
      <c r="Q45" s="354">
        <f>VLOOKUP(Tableau1[[#This Row],[PARCS]],Tableau2546[],10,FALSE)</f>
        <v>5440</v>
      </c>
      <c r="R45" s="252">
        <f>VLOOKUP(Tableau1[[#This Row],[PARCS]],Tableau2546[],12,FALSE)</f>
        <v>0</v>
      </c>
      <c r="S45" s="355">
        <f>VLOOKUP(Tableau1[[#This Row],[PARCS]],Tableau2546[],13,FALSE)</f>
        <v>952483.02666666638</v>
      </c>
      <c r="T45" s="252">
        <f t="shared" si="4"/>
        <v>929251.73333333316</v>
      </c>
      <c r="U45" s="351" t="str">
        <f t="shared" si="5"/>
        <v/>
      </c>
      <c r="V45" s="252">
        <f>Tableau1[[#This Row],[CA7]]-Tableau1[[#This Row],[CA4]]</f>
        <v>23231.293333333218</v>
      </c>
      <c r="W45" s="351">
        <f>(Tableau1[[#This Row],[CA7]]-Tableau1[[#This Row],[CA4]])/Tableau1[[#This Row],[CA4]]</f>
        <v>2.499999999999988E-2</v>
      </c>
    </row>
    <row r="46" spans="1:24" ht="15.75" customHeight="1">
      <c r="A46" s="345" t="s">
        <v>482</v>
      </c>
      <c r="B46" s="346" t="str">
        <f>VLOOKUP(Tableau1[[#This Row],[PARCS]],Tableau106[],3,FALSE)</f>
        <v>A418</v>
      </c>
      <c r="C46" s="346" t="str">
        <f>VLOOKUP(Tableau1[[#This Row],[PARCS]],Tableau106[],2,FALSE)</f>
        <v>FR87E03E</v>
      </c>
      <c r="D46" s="352" t="str">
        <f>VLOOKUP(Tableau1[[#This Row],[PARCS]],Tableau106[],8,FALSE)</f>
        <v>EOLIEN</v>
      </c>
      <c r="E46" s="352" t="str">
        <f>VLOOKUP(A46,Tableau106[],6,FALSE)</f>
        <v>S</v>
      </c>
      <c r="F46" s="353" t="str">
        <f>VLOOKUP(Tableau1[[#This Row],[PARCS]],Tableau106[],5,FALSE)</f>
        <v>ROUS</v>
      </c>
      <c r="G46" s="346" t="str">
        <f>VLOOKUP(Tableau1[[#This Row],[PARCS]],Tableau106[],7,FALSE)</f>
        <v>GROUPE</v>
      </c>
      <c r="H46" s="346" t="str">
        <f>VLOOKUP(Tableau1[[#This Row],[PARCS]],Tableau106[],9,FALSE)</f>
        <v>KéC</v>
      </c>
      <c r="I46" s="347">
        <v>34841.67</v>
      </c>
      <c r="J46" s="348">
        <v>2646703.7999999998</v>
      </c>
      <c r="K46" s="354">
        <f>VLOOKUP(Tableau1[[#This Row],[PARCS]],Tableau25[],10,FALSE)</f>
        <v>29190</v>
      </c>
      <c r="L46" s="252">
        <f>VLOOKUP(Tableau1[[#This Row],[PARCS]],Tableau25[],12,FALSE)</f>
        <v>0</v>
      </c>
      <c r="M46" s="252">
        <f>VLOOKUP(Tableau1[[#This Row],[PARCS]],Tableau25[],13,FALSE)</f>
        <v>2261730.3345839996</v>
      </c>
      <c r="N46" s="354">
        <f>VLOOKUP(Tableau1[[#This Row],[PARCS]],Tableau254[],10,FALSE)</f>
        <v>29779.931</v>
      </c>
      <c r="O46" s="252">
        <f>VLOOKUP(Tableau1[[#This Row],[PARCS]],Tableau254[],12,FALSE)</f>
        <v>0</v>
      </c>
      <c r="P46" s="252">
        <f>VLOOKUP(Tableau1[[#This Row],[PARCS]],Tableau254[],13,FALSE)</f>
        <v>2353627.066654</v>
      </c>
      <c r="Q46" s="354">
        <f>VLOOKUP(Tableau1[[#This Row],[PARCS]],Tableau2546[],10,FALSE)</f>
        <v>25020</v>
      </c>
      <c r="R46" s="252">
        <f>VLOOKUP(Tableau1[[#This Row],[PARCS]],Tableau2546[],12,FALSE)</f>
        <v>0</v>
      </c>
      <c r="S46" s="355">
        <f>VLOOKUP(Tableau1[[#This Row],[PARCS]],Tableau2546[],13,FALSE)</f>
        <v>2026866.4469999997</v>
      </c>
      <c r="T46" s="252">
        <f t="shared" si="4"/>
        <v>-293076.73334599985</v>
      </c>
      <c r="U46" s="351">
        <f t="shared" si="5"/>
        <v>-0.11073272851537065</v>
      </c>
      <c r="V46" s="252">
        <f>Tableau1[[#This Row],[CA7]]-Tableau1[[#This Row],[CA4]]</f>
        <v>-326760.61965400027</v>
      </c>
      <c r="W46" s="351">
        <f>(Tableau1[[#This Row],[CA7]]-Tableau1[[#This Row],[CA4]])/Tableau1[[#This Row],[CA4]]</f>
        <v>-0.13883279313172361</v>
      </c>
      <c r="X46" s="6" t="s">
        <v>483</v>
      </c>
    </row>
    <row r="47" spans="1:24" ht="15.75" customHeight="1">
      <c r="A47" s="345" t="s">
        <v>484</v>
      </c>
      <c r="B47" s="346" t="str">
        <f>VLOOKUP(Tableau1[[#This Row],[PARCS]],Tableau106[],3,FALSE)</f>
        <v>A542</v>
      </c>
      <c r="C47" s="346" t="str">
        <f>VLOOKUP(Tableau1[[#This Row],[PARCS]],Tableau106[],2,FALSE)</f>
        <v>FR11E03E</v>
      </c>
      <c r="D47" s="352" t="str">
        <f>VLOOKUP(Tableau1[[#This Row],[PARCS]],Tableau106[],8,FALSE)</f>
        <v>EOLIEN</v>
      </c>
      <c r="E47" s="352" t="str">
        <f>VLOOKUP(A47,Tableau106[],6,FALSE)</f>
        <v>S</v>
      </c>
      <c r="F47" s="353" t="str">
        <f>VLOOKUP(Tableau1[[#This Row],[PARCS]],Tableau106[],5,FALSE)</f>
        <v>FITO</v>
      </c>
      <c r="G47" s="346" t="str">
        <f>VLOOKUP(Tableau1[[#This Row],[PARCS]],Tableau106[],7,FALSE)</f>
        <v>EGM</v>
      </c>
      <c r="H47" s="346" t="str">
        <f>VLOOKUP(Tableau1[[#This Row],[PARCS]],Tableau106[],9,FALSE)</f>
        <v>StE</v>
      </c>
      <c r="I47" s="347">
        <v>21268.661</v>
      </c>
      <c r="J47" s="348">
        <v>1061071.6000000001</v>
      </c>
      <c r="K47" s="354">
        <f>VLOOKUP(Tableau1[[#This Row],[PARCS]],Tableau25[],10,FALSE)</f>
        <v>21714</v>
      </c>
      <c r="L47" s="252">
        <f>VLOOKUP(Tableau1[[#This Row],[PARCS]],Tableau25[],12,FALSE)</f>
        <v>0</v>
      </c>
      <c r="M47" s="252">
        <f>VLOOKUP(Tableau1[[#This Row],[PARCS]],Tableau25[],13,FALSE)</f>
        <v>1085700</v>
      </c>
      <c r="N47" s="354">
        <f>VLOOKUP(Tableau1[[#This Row],[PARCS]],Tableau254[],10,FALSE)</f>
        <v>20313.539067056765</v>
      </c>
      <c r="O47" s="252">
        <f>VLOOKUP(Tableau1[[#This Row],[PARCS]],Tableau254[],12,FALSE)</f>
        <v>70000</v>
      </c>
      <c r="P47" s="252">
        <f>VLOOKUP(Tableau1[[#This Row],[PARCS]],Tableau254[],13,FALSE)</f>
        <v>1015676.9533528383</v>
      </c>
      <c r="Q47" s="354">
        <f>VLOOKUP(Tableau1[[#This Row],[PARCS]],Tableau2546[],10,FALSE)</f>
        <v>17971</v>
      </c>
      <c r="R47" s="252">
        <f>VLOOKUP(Tableau1[[#This Row],[PARCS]],Tableau2546[],12,FALSE)</f>
        <v>0</v>
      </c>
      <c r="S47" s="355">
        <f>VLOOKUP(Tableau1[[#This Row],[PARCS]],Tableau2546[],13,FALSE)</f>
        <v>898550</v>
      </c>
      <c r="T47" s="252">
        <f t="shared" si="4"/>
        <v>-45394.646647161804</v>
      </c>
      <c r="U47" s="351">
        <f t="shared" si="5"/>
        <v>-4.2781888278945364E-2</v>
      </c>
      <c r="V47" s="252">
        <f>Tableau1[[#This Row],[CA7]]-Tableau1[[#This Row],[CA4]]</f>
        <v>-117126.95335283829</v>
      </c>
      <c r="W47" s="351">
        <f>(Tableau1[[#This Row],[CA7]]-Tableau1[[#This Row],[CA4]])/Tableau1[[#This Row],[CA4]]</f>
        <v>-0.11531910118290269</v>
      </c>
    </row>
    <row r="48" spans="1:24" ht="15.75" customHeight="1">
      <c r="A48" s="345" t="s">
        <v>349</v>
      </c>
      <c r="B48" s="346" t="str">
        <f>VLOOKUP(Tableau1[[#This Row],[PARCS]],Tableau106[],3,FALSE)</f>
        <v>F099</v>
      </c>
      <c r="C48" s="346" t="str">
        <f>VLOOKUP(Tableau1[[#This Row],[PARCS]],Tableau106[],2,FALSE)</f>
        <v>FR12E93E</v>
      </c>
      <c r="D48" s="352" t="str">
        <f>VLOOKUP(Tableau1[[#This Row],[PARCS]],Tableau106[],8,FALSE)</f>
        <v>EOLIEN</v>
      </c>
      <c r="E48" s="352" t="str">
        <f>VLOOKUP(A48,Tableau106[],6,FALSE)</f>
        <v>S</v>
      </c>
      <c r="F48" s="353" t="str">
        <f>VLOOKUP(Tableau1[[#This Row],[PARCS]],Tableau106[],5,FALSE)</f>
        <v>FAYD</v>
      </c>
      <c r="G48" s="346" t="str">
        <f>VLOOKUP(Tableau1[[#This Row],[PARCS]],Tableau106[],7,FALSE)</f>
        <v>FUTUREN</v>
      </c>
      <c r="H48" s="346" t="str">
        <f>VLOOKUP(Tableau1[[#This Row],[PARCS]],Tableau106[],9,FALSE)</f>
        <v>OdP</v>
      </c>
      <c r="I48" s="347">
        <v>22792.948</v>
      </c>
      <c r="J48" s="348">
        <v>1987286.2</v>
      </c>
      <c r="K48" s="354">
        <f>VLOOKUP(Tableau1[[#This Row],[PARCS]],Tableau25[],10,FALSE)</f>
        <v>23819.267539199947</v>
      </c>
      <c r="L48" s="252">
        <f>VLOOKUP(Tableau1[[#This Row],[PARCS]],Tableau25[],12,FALSE)</f>
        <v>0</v>
      </c>
      <c r="M48" s="252">
        <f>VLOOKUP(Tableau1[[#This Row],[PARCS]],Tableau25[],13,FALSE)</f>
        <v>2100769.674540469</v>
      </c>
      <c r="N48" s="354">
        <f>VLOOKUP(Tableau1[[#This Row],[PARCS]],Tableau254[],10,FALSE)</f>
        <v>20975.239333333335</v>
      </c>
      <c r="O48" s="252">
        <f>VLOOKUP(Tableau1[[#This Row],[PARCS]],Tableau254[],12,FALSE)</f>
        <v>0</v>
      </c>
      <c r="P48" s="252">
        <f>VLOOKUP(Tableau1[[#This Row],[PARCS]],Tableau254[],13,FALSE)</f>
        <v>1904153.2019193333</v>
      </c>
      <c r="Q48" s="354">
        <f>VLOOKUP(Tableau1[[#This Row],[PARCS]],Tableau2546[],10,FALSE)</f>
        <v>24997.746212728965</v>
      </c>
      <c r="R48" s="252">
        <f>VLOOKUP(Tableau1[[#This Row],[PARCS]],Tableau2546[],12,FALSE)</f>
        <v>0</v>
      </c>
      <c r="S48" s="355">
        <f>VLOOKUP(Tableau1[[#This Row],[PARCS]],Tableau2546[],13,FALSE)</f>
        <v>2326053.4089111914</v>
      </c>
      <c r="T48" s="252">
        <f t="shared" si="4"/>
        <v>-83132.998080666643</v>
      </c>
      <c r="U48" s="351">
        <f t="shared" si="5"/>
        <v>-4.1832423573749292E-2</v>
      </c>
      <c r="V48" s="252">
        <f>Tableau1[[#This Row],[CA7]]-Tableau1[[#This Row],[CA4]]</f>
        <v>421900.20699185808</v>
      </c>
      <c r="W48" s="351">
        <f>(Tableau1[[#This Row],[CA7]]-Tableau1[[#This Row],[CA4]])/Tableau1[[#This Row],[CA4]]</f>
        <v>0.22156841506586469</v>
      </c>
    </row>
    <row r="49" spans="1:24" ht="15.75" customHeight="1">
      <c r="A49" s="345" t="s">
        <v>485</v>
      </c>
      <c r="B49" s="346" t="str">
        <f>VLOOKUP(Tableau1[[#This Row],[PARCS]],Tableau106[],3,FALSE)</f>
        <v>A534</v>
      </c>
      <c r="C49" s="346" t="str">
        <f>VLOOKUP(Tableau1[[#This Row],[PARCS]],Tableau106[],2,FALSE)</f>
        <v>FR62E03E</v>
      </c>
      <c r="D49" s="352" t="str">
        <f>VLOOKUP(Tableau1[[#This Row],[PARCS]],Tableau106[],8,FALSE)</f>
        <v>EOLIEN</v>
      </c>
      <c r="E49" s="352" t="str">
        <f>VLOOKUP(A49,Tableau106[],6,FALSE)</f>
        <v>N</v>
      </c>
      <c r="F49" s="353" t="str">
        <f>VLOOKUP(Tableau1[[#This Row],[PARCS]],Tableau106[],5,FALSE)</f>
        <v>CARN</v>
      </c>
      <c r="G49" s="346" t="str">
        <f>VLOOKUP(Tableau1[[#This Row],[PARCS]],Tableau106[],7,FALSE)</f>
        <v>GROUPE</v>
      </c>
      <c r="H49" s="346" t="str">
        <f>VLOOKUP(Tableau1[[#This Row],[PARCS]],Tableau106[],9,FALSE)</f>
        <v>NiL</v>
      </c>
      <c r="I49" s="347">
        <v>48740.124000000003</v>
      </c>
      <c r="J49" s="348">
        <v>4426788.5</v>
      </c>
      <c r="K49" s="354">
        <f>VLOOKUP(Tableau1[[#This Row],[PARCS]],Tableau25[],10,FALSE)</f>
        <v>44495.851332947313</v>
      </c>
      <c r="L49" s="252">
        <f>VLOOKUP(Tableau1[[#This Row],[PARCS]],Tableau25[],12,FALSE)</f>
        <v>0</v>
      </c>
      <c r="M49" s="252">
        <f>VLOOKUP(Tableau1[[#This Row],[PARCS]],Tableau25[],13,FALSE)</f>
        <v>4140552.7957939128</v>
      </c>
      <c r="N49" s="354">
        <f>VLOOKUP(Tableau1[[#This Row],[PARCS]],Tableau254[],10,FALSE)</f>
        <v>51275.476000000002</v>
      </c>
      <c r="O49" s="252">
        <f>VLOOKUP(Tableau1[[#This Row],[PARCS]],Tableau254[],12,FALSE)</f>
        <v>0</v>
      </c>
      <c r="P49" s="252">
        <f>VLOOKUP(Tableau1[[#This Row],[PARCS]],Tableau254[],13,FALSE)</f>
        <v>4868965.3745320002</v>
      </c>
      <c r="Q49" s="354">
        <f>VLOOKUP(Tableau1[[#This Row],[PARCS]],Tableau2546[],10,FALSE)</f>
        <v>50627.685930755964</v>
      </c>
      <c r="R49" s="252">
        <f>VLOOKUP(Tableau1[[#This Row],[PARCS]],Tableau2546[],12,FALSE)</f>
        <v>0</v>
      </c>
      <c r="S49" s="355">
        <f>VLOOKUP(Tableau1[[#This Row],[PARCS]],Tableau2546[],13,FALSE)</f>
        <v>4927639.5022499627</v>
      </c>
      <c r="T49" s="252">
        <f t="shared" si="4"/>
        <v>442176.87453200016</v>
      </c>
      <c r="U49" s="351">
        <f t="shared" si="5"/>
        <v>9.988660504833248E-2</v>
      </c>
      <c r="V49" s="252">
        <f>Tableau1[[#This Row],[CA7]]-Tableau1[[#This Row],[CA4]]</f>
        <v>58674.127717962489</v>
      </c>
      <c r="W49" s="351">
        <f>(Tableau1[[#This Row],[CA7]]-Tableau1[[#This Row],[CA4]])/Tableau1[[#This Row],[CA4]]</f>
        <v>1.2050635649386228E-2</v>
      </c>
    </row>
    <row r="50" spans="1:24" ht="15.75" customHeight="1">
      <c r="A50" s="345" t="s">
        <v>214</v>
      </c>
      <c r="B50" s="346" t="str">
        <f>VLOOKUP(Tableau1[[#This Row],[PARCS]],Tableau106[],3,FALSE)</f>
        <v>F240</v>
      </c>
      <c r="C50" s="346" t="str">
        <f>VLOOKUP(Tableau1[[#This Row],[PARCS]],Tableau106[],2,FALSE)</f>
        <v>FR80E93E</v>
      </c>
      <c r="D50" s="352" t="str">
        <f>VLOOKUP(Tableau1[[#This Row],[PARCS]],Tableau106[],8,FALSE)</f>
        <v>EOLIEN</v>
      </c>
      <c r="E50" s="352" t="str">
        <f>VLOOKUP(A50,Tableau106[],6,FALSE)</f>
        <v>N</v>
      </c>
      <c r="F50" s="353" t="str">
        <f>VLOOKUP(Tableau1[[#This Row],[PARCS]],Tableau106[],5,FALSE)</f>
        <v>MAG1, MAG3</v>
      </c>
      <c r="G50" s="346" t="str">
        <f>VLOOKUP(Tableau1[[#This Row],[PARCS]],Tableau106[],7,FALSE)</f>
        <v>FUTUREN</v>
      </c>
      <c r="H50" s="346" t="str">
        <f>VLOOKUP(Tableau1[[#This Row],[PARCS]],Tableau106[],9,FALSE)</f>
        <v>AlY</v>
      </c>
      <c r="I50" s="347">
        <v>25686.131000000001</v>
      </c>
      <c r="J50" s="348">
        <v>2390231.35</v>
      </c>
      <c r="K50" s="354">
        <f>VLOOKUP(Tableau1[[#This Row],[PARCS]],Tableau25[],10,FALSE)</f>
        <v>29669</v>
      </c>
      <c r="L50" s="252">
        <f>VLOOKUP(Tableau1[[#This Row],[PARCS]],Tableau25[],12,FALSE)</f>
        <v>0</v>
      </c>
      <c r="M50" s="252">
        <f>VLOOKUP(Tableau1[[#This Row],[PARCS]],Tableau25[],13,FALSE)</f>
        <v>2841531.1483039996</v>
      </c>
      <c r="N50" s="354">
        <f>VLOOKUP(Tableau1[[#This Row],[PARCS]],Tableau254[],10,FALSE)</f>
        <v>27083.269738500003</v>
      </c>
      <c r="O50" s="252">
        <f>VLOOKUP(Tableau1[[#This Row],[PARCS]],Tableau254[],12,FALSE)</f>
        <v>50550</v>
      </c>
      <c r="P50" s="252">
        <f>VLOOKUP(Tableau1[[#This Row],[PARCS]],Tableau254[],13,FALSE)</f>
        <v>2643056.2937802156</v>
      </c>
      <c r="Q50" s="354">
        <f>VLOOKUP(Tableau1[[#This Row],[PARCS]],Tableau2546[],10,FALSE)</f>
        <v>26189.340905093552</v>
      </c>
      <c r="R50" s="252">
        <f>VLOOKUP(Tableau1[[#This Row],[PARCS]],Tableau2546[],12,FALSE)</f>
        <v>0</v>
      </c>
      <c r="S50" s="355">
        <f>VLOOKUP(Tableau1[[#This Row],[PARCS]],Tableau2546[],13,FALSE)</f>
        <v>2619713.2234012815</v>
      </c>
      <c r="T50" s="252">
        <f t="shared" si="4"/>
        <v>252824.94378021546</v>
      </c>
      <c r="U50" s="351">
        <f t="shared" si="5"/>
        <v>0.10577425644601952</v>
      </c>
      <c r="V50" s="252">
        <f>Tableau1[[#This Row],[CA7]]-Tableau1[[#This Row],[CA4]]</f>
        <v>-23343.070378934033</v>
      </c>
      <c r="W50" s="351">
        <f>(Tableau1[[#This Row],[CA7]]-Tableau1[[#This Row],[CA4]])/Tableau1[[#This Row],[CA4]]</f>
        <v>-8.8318475977474335E-3</v>
      </c>
    </row>
    <row r="51" spans="1:24" ht="15.75" customHeight="1">
      <c r="A51" s="345" t="s">
        <v>486</v>
      </c>
      <c r="B51" s="346" t="str">
        <f>VLOOKUP(Tableau1[[#This Row],[PARCS]],Tableau106[],3,FALSE)</f>
        <v>A290</v>
      </c>
      <c r="C51" s="346" t="str">
        <f>VLOOKUP(Tableau1[[#This Row],[PARCS]],Tableau106[],2,FALSE)</f>
        <v>FR38S07E</v>
      </c>
      <c r="D51" s="352" t="str">
        <f>VLOOKUP(Tableau1[[#This Row],[PARCS]],Tableau106[],8,FALSE)</f>
        <v>SOLAIRE</v>
      </c>
      <c r="E51" s="352" t="str">
        <f>VLOOKUP(A51,Tableau106[],6,FALSE)</f>
        <v>S</v>
      </c>
      <c r="F51" s="353" t="str">
        <f>VLOOKUP(Tableau1[[#This Row],[PARCS]],Tableau106[],5,FALSE)</f>
        <v>CRMA</v>
      </c>
      <c r="G51" s="346" t="str">
        <f>VLOOKUP(Tableau1[[#This Row],[PARCS]],Tableau106[],7,FALSE)</f>
        <v>GROUPE</v>
      </c>
      <c r="H51" s="346" t="str">
        <f>VLOOKUP(Tableau1[[#This Row],[PARCS]],Tableau106[],9,FALSE)</f>
        <v>ZaA</v>
      </c>
      <c r="I51" s="347"/>
      <c r="J51" s="348"/>
      <c r="K51" s="354">
        <f>VLOOKUP(Tableau1[[#This Row],[PARCS]],Tableau25[],10,FALSE)</f>
        <v>11891</v>
      </c>
      <c r="L51" s="252">
        <f>VLOOKUP(Tableau1[[#This Row],[PARCS]],Tableau25[],12,FALSE)</f>
        <v>0</v>
      </c>
      <c r="M51" s="252">
        <f>VLOOKUP(Tableau1[[#This Row],[PARCS]],Tableau25[],13,FALSE)</f>
        <v>686396.41694799997</v>
      </c>
      <c r="N51" s="354">
        <f>VLOOKUP(Tableau1[[#This Row],[PARCS]],Tableau254[],10,FALSE)</f>
        <v>11891</v>
      </c>
      <c r="O51" s="252">
        <f>VLOOKUP(Tableau1[[#This Row],[PARCS]],Tableau254[],12,FALSE)</f>
        <v>0</v>
      </c>
      <c r="P51" s="252">
        <f>VLOOKUP(Tableau1[[#This Row],[PARCS]],Tableau254[],13,FALSE)</f>
        <v>2081995.19</v>
      </c>
      <c r="Q51" s="354">
        <f>VLOOKUP(Tableau1[[#This Row],[PARCS]],Tableau2546[],10,FALSE)</f>
        <v>11891</v>
      </c>
      <c r="R51" s="252">
        <f>VLOOKUP(Tableau1[[#This Row],[PARCS]],Tableau2546[],12,FALSE)</f>
        <v>0</v>
      </c>
      <c r="S51" s="355">
        <f>VLOOKUP(Tableau1[[#This Row],[PARCS]],Tableau2546[],13,FALSE)</f>
        <v>2134045.0697499998</v>
      </c>
      <c r="T51" s="252">
        <f t="shared" si="4"/>
        <v>2081995.19</v>
      </c>
      <c r="U51" s="351" t="str">
        <f t="shared" si="5"/>
        <v/>
      </c>
      <c r="V51" s="252">
        <f>Tableau1[[#This Row],[CA7]]-Tableau1[[#This Row],[CA4]]</f>
        <v>52049.879749999847</v>
      </c>
      <c r="W51" s="351">
        <f>(Tableau1[[#This Row],[CA7]]-Tableau1[[#This Row],[CA4]])/Tableau1[[#This Row],[CA4]]</f>
        <v>2.4999999999999929E-2</v>
      </c>
    </row>
    <row r="52" spans="1:24" ht="15.75" customHeight="1">
      <c r="A52" s="345" t="s">
        <v>487</v>
      </c>
      <c r="B52" s="346" t="str">
        <f>VLOOKUP(Tableau1[[#This Row],[PARCS]],Tableau106[],3,FALSE)</f>
        <v>A385</v>
      </c>
      <c r="C52" s="346" t="str">
        <f>VLOOKUP(Tableau1[[#This Row],[PARCS]],Tableau106[],2,FALSE)</f>
        <v>FR28S02E</v>
      </c>
      <c r="D52" s="352" t="str">
        <f>VLOOKUP(Tableau1[[#This Row],[PARCS]],Tableau106[],8,FALSE)</f>
        <v>SOLAIRE</v>
      </c>
      <c r="E52" s="352" t="str">
        <f>VLOOKUP(A52,Tableau106[],6,FALSE)</f>
        <v>N</v>
      </c>
      <c r="F52" s="353" t="str">
        <f>VLOOKUP(Tableau1[[#This Row],[PARCS]],Tableau106[],5,FALSE)</f>
        <v>CY11, CY12, CY13</v>
      </c>
      <c r="G52" s="346" t="str">
        <f>VLOOKUP(Tableau1[[#This Row],[PARCS]],Tableau106[],7,FALSE)</f>
        <v>GROUPE</v>
      </c>
      <c r="H52" s="346" t="str">
        <f>VLOOKUP(Tableau1[[#This Row],[PARCS]],Tableau106[],9,FALSE)</f>
        <v>LoG</v>
      </c>
      <c r="I52" s="347">
        <v>41609.105000000003</v>
      </c>
      <c r="J52" s="348">
        <v>15007864.580000002</v>
      </c>
      <c r="K52" s="354">
        <f>VLOOKUP(Tableau1[[#This Row],[PARCS]],Tableau25[],10,FALSE)</f>
        <v>39640.620076031999</v>
      </c>
      <c r="L52" s="252">
        <f>VLOOKUP(Tableau1[[#This Row],[PARCS]],Tableau25[],12,FALSE)</f>
        <v>0</v>
      </c>
      <c r="M52" s="252">
        <f>VLOOKUP(Tableau1[[#This Row],[PARCS]],Tableau25[],13,FALSE)</f>
        <v>14410621.783306569</v>
      </c>
      <c r="N52" s="354">
        <f>VLOOKUP(Tableau1[[#This Row],[PARCS]],Tableau254[],10,FALSE)</f>
        <v>38881.294999999998</v>
      </c>
      <c r="O52" s="252">
        <f>VLOOKUP(Tableau1[[#This Row],[PARCS]],Tableau254[],12,FALSE)</f>
        <v>0</v>
      </c>
      <c r="P52" s="252">
        <f>VLOOKUP(Tableau1[[#This Row],[PARCS]],Tableau254[],13,FALSE)</f>
        <v>14071529.473449999</v>
      </c>
      <c r="Q52" s="354">
        <f>VLOOKUP(Tableau1[[#This Row],[PARCS]],Tableau2546[],10,FALSE)</f>
        <v>39888</v>
      </c>
      <c r="R52" s="252">
        <f>VLOOKUP(Tableau1[[#This Row],[PARCS]],Tableau2546[],12,FALSE)</f>
        <v>0</v>
      </c>
      <c r="S52" s="355">
        <f>VLOOKUP(Tableau1[[#This Row],[PARCS]],Tableau2546[],13,FALSE)</f>
        <v>14796762.731999999</v>
      </c>
      <c r="T52" s="252">
        <f t="shared" si="4"/>
        <v>-936335.10655000247</v>
      </c>
      <c r="U52" s="351">
        <f t="shared" si="5"/>
        <v>-6.2389629221321394E-2</v>
      </c>
      <c r="V52" s="252">
        <f>Tableau1[[#This Row],[CA7]]-Tableau1[[#This Row],[CA4]]</f>
        <v>725233.25854999945</v>
      </c>
      <c r="W52" s="351">
        <f>(Tableau1[[#This Row],[CA7]]-Tableau1[[#This Row],[CA4]])/Tableau1[[#This Row],[CA4]]</f>
        <v>5.1539049818170882E-2</v>
      </c>
    </row>
    <row r="53" spans="1:24" ht="15.75" customHeight="1">
      <c r="A53" s="345" t="s">
        <v>488</v>
      </c>
      <c r="B53" s="346" t="str">
        <f>VLOOKUP(Tableau1[[#This Row],[PARCS]],Tableau106[],3,FALSE)</f>
        <v>A540</v>
      </c>
      <c r="C53" s="346" t="str">
        <f>VLOOKUP(Tableau1[[#This Row],[PARCS]],Tableau106[],2,FALSE)</f>
        <v>FR02E06E</v>
      </c>
      <c r="D53" s="352" t="str">
        <f>VLOOKUP(Tableau1[[#This Row],[PARCS]],Tableau106[],8,FALSE)</f>
        <v>EOLIEN</v>
      </c>
      <c r="E53" s="352" t="str">
        <f>VLOOKUP(A53,Tableau106[],6,FALSE)</f>
        <v>N</v>
      </c>
      <c r="F53" s="353" t="str">
        <f>VLOOKUP(Tableau1[[#This Row],[PARCS]],Tableau106[],5,FALSE)</f>
        <v>VISE</v>
      </c>
      <c r="G53" s="346" t="str">
        <f>VLOOKUP(Tableau1[[#This Row],[PARCS]],Tableau106[],7,FALSE)</f>
        <v>EGM</v>
      </c>
      <c r="H53" s="346" t="str">
        <f>VLOOKUP(Tableau1[[#This Row],[PARCS]],Tableau106[],9,FALSE)</f>
        <v>NoS</v>
      </c>
      <c r="I53" s="347">
        <v>10863.316000000001</v>
      </c>
      <c r="J53" s="348">
        <v>1787483.19</v>
      </c>
      <c r="K53" s="354">
        <f>VLOOKUP(Tableau1[[#This Row],[PARCS]],Tableau25[],10,FALSE)</f>
        <v>11439.54</v>
      </c>
      <c r="L53" s="252">
        <f>VLOOKUP(Tableau1[[#This Row],[PARCS]],Tableau25[],12,FALSE)</f>
        <v>0</v>
      </c>
      <c r="M53" s="252">
        <f>VLOOKUP(Tableau1[[#This Row],[PARCS]],Tableau25[],13,FALSE)</f>
        <v>2522185.2033840003</v>
      </c>
      <c r="N53" s="354">
        <f>VLOOKUP(Tableau1[[#This Row],[PARCS]],Tableau254[],10,FALSE)</f>
        <v>11799.359789656055</v>
      </c>
      <c r="O53" s="252">
        <f>VLOOKUP(Tableau1[[#This Row],[PARCS]],Tableau254[],12,FALSE)</f>
        <v>0</v>
      </c>
      <c r="P53" s="252">
        <f>VLOOKUP(Tableau1[[#This Row],[PARCS]],Tableau254[],13,FALSE)</f>
        <v>1985021.6365815648</v>
      </c>
      <c r="Q53" s="354">
        <f>VLOOKUP(Tableau1[[#This Row],[PARCS]],Tableau2546[],10,FALSE)</f>
        <v>11439.54</v>
      </c>
      <c r="R53" s="252">
        <f>VLOOKUP(Tableau1[[#This Row],[PARCS]],Tableau2546[],12,FALSE)</f>
        <v>0</v>
      </c>
      <c r="S53" s="355">
        <f>VLOOKUP(Tableau1[[#This Row],[PARCS]],Tableau2546[],13,FALSE)</f>
        <v>1972600.9027420501</v>
      </c>
      <c r="T53" s="252">
        <f t="shared" si="4"/>
        <v>197538.44658156484</v>
      </c>
      <c r="U53" s="351">
        <f t="shared" si="5"/>
        <v>0.11051205834364509</v>
      </c>
      <c r="V53" s="252">
        <f>Tableau1[[#This Row],[CA7]]-Tableau1[[#This Row],[CA4]]</f>
        <v>-12420.733839514665</v>
      </c>
      <c r="W53" s="351">
        <f>(Tableau1[[#This Row],[CA7]]-Tableau1[[#This Row],[CA4]])/Tableau1[[#This Row],[CA4]]</f>
        <v>-6.2572284405446555E-3</v>
      </c>
    </row>
    <row r="54" spans="1:24" ht="15.75" customHeight="1">
      <c r="A54" s="345" t="s">
        <v>489</v>
      </c>
      <c r="B54" s="346" t="str">
        <f>VLOOKUP(Tableau1[[#This Row],[PARCS]],Tableau106[],3,FALSE)</f>
        <v>A905</v>
      </c>
      <c r="C54" s="346" t="str">
        <f>VLOOKUP(Tableau1[[#This Row],[PARCS]],Tableau106[],2,FALSE)</f>
        <v>FR69E01E</v>
      </c>
      <c r="D54" s="352" t="str">
        <f>VLOOKUP(Tableau1[[#This Row],[PARCS]],Tableau106[],8,FALSE)</f>
        <v>EOLIEN</v>
      </c>
      <c r="E54" s="352" t="str">
        <f>VLOOKUP(A54,Tableau106[],6,FALSE)</f>
        <v>S</v>
      </c>
      <c r="F54" s="353" t="str">
        <f>VLOOKUP(Tableau1[[#This Row],[PARCS]],Tableau106[],5,FALSE)</f>
        <v>BVER</v>
      </c>
      <c r="G54" s="346" t="str">
        <f>VLOOKUP(Tableau1[[#This Row],[PARCS]],Tableau106[],7,FALSE)</f>
        <v>GROUPE</v>
      </c>
      <c r="H54" s="346" t="str">
        <f>VLOOKUP(Tableau1[[#This Row],[PARCS]],Tableau106[],9,FALSE)</f>
        <v>KéC</v>
      </c>
      <c r="I54" s="347">
        <v>21282.597000000002</v>
      </c>
      <c r="J54" s="348">
        <v>1610209.6</v>
      </c>
      <c r="K54" s="354">
        <f>VLOOKUP(Tableau1[[#This Row],[PARCS]],Tableau25[],10,FALSE)</f>
        <v>19660</v>
      </c>
      <c r="L54" s="252">
        <f>VLOOKUP(Tableau1[[#This Row],[PARCS]],Tableau25[],12,FALSE)</f>
        <v>0</v>
      </c>
      <c r="M54" s="252">
        <f>VLOOKUP(Tableau1[[#This Row],[PARCS]],Tableau25[],13,FALSE)</f>
        <v>1519705.842256</v>
      </c>
      <c r="N54" s="354">
        <f>VLOOKUP(Tableau1[[#This Row],[PARCS]],Tableau254[],10,FALSE)</f>
        <v>19685.065999999999</v>
      </c>
      <c r="O54" s="252">
        <f>VLOOKUP(Tableau1[[#This Row],[PARCS]],Tableau254[],12,FALSE)</f>
        <v>0</v>
      </c>
      <c r="P54" s="252">
        <f>VLOOKUP(Tableau1[[#This Row],[PARCS]],Tableau254[],13,FALSE)</f>
        <v>1564057.2339639999</v>
      </c>
      <c r="Q54" s="354">
        <f>VLOOKUP(Tableau1[[#This Row],[PARCS]],Tableau2546[],10,FALSE)</f>
        <v>19660</v>
      </c>
      <c r="R54" s="252">
        <f>VLOOKUP(Tableau1[[#This Row],[PARCS]],Tableau2546[],12,FALSE)</f>
        <v>0</v>
      </c>
      <c r="S54" s="355">
        <f>VLOOKUP(Tableau1[[#This Row],[PARCS]],Tableau2546[],13,FALSE)</f>
        <v>1601117.2809999997</v>
      </c>
      <c r="T54" s="252">
        <f t="shared" si="4"/>
        <v>-46152.366036000196</v>
      </c>
      <c r="U54" s="351">
        <f t="shared" si="5"/>
        <v>-2.8662334416587873E-2</v>
      </c>
      <c r="V54" s="252">
        <f>Tableau1[[#This Row],[CA7]]-Tableau1[[#This Row],[CA4]]</f>
        <v>37060.047035999829</v>
      </c>
      <c r="W54" s="351">
        <f>(Tableau1[[#This Row],[CA7]]-Tableau1[[#This Row],[CA4]])/Tableau1[[#This Row],[CA4]]</f>
        <v>2.3694815145653962E-2</v>
      </c>
      <c r="X54" s="6" t="s">
        <v>490</v>
      </c>
    </row>
    <row r="55" spans="1:24" ht="15.75" customHeight="1">
      <c r="A55" s="345" t="s">
        <v>491</v>
      </c>
      <c r="B55" s="346" t="str">
        <f>VLOOKUP(Tableau1[[#This Row],[PARCS]],Tableau106[],3,FALSE)</f>
        <v>A266</v>
      </c>
      <c r="C55" s="346" t="str">
        <f>VLOOKUP(Tableau1[[#This Row],[PARCS]],Tableau106[],2,FALSE)</f>
        <v>FR71S05E</v>
      </c>
      <c r="D55" s="352" t="str">
        <f>VLOOKUP(Tableau1[[#This Row],[PARCS]],Tableau106[],8,FALSE)</f>
        <v>SOLAIRE</v>
      </c>
      <c r="E55" s="352" t="str">
        <f>VLOOKUP(A55,Tableau106[],6,FALSE)</f>
        <v>N</v>
      </c>
      <c r="F55" s="353" t="str">
        <f>VLOOKUP(Tableau1[[#This Row],[PARCS]],Tableau106[],5,FALSE)</f>
        <v>EPIN</v>
      </c>
      <c r="G55" s="346" t="str">
        <f>VLOOKUP(Tableau1[[#This Row],[PARCS]],Tableau106[],7,FALSE)</f>
        <v>GROUPE</v>
      </c>
      <c r="H55" s="346" t="str">
        <f>VLOOKUP(Tableau1[[#This Row],[PARCS]],Tableau106[],9,FALSE)</f>
        <v>LoG</v>
      </c>
      <c r="I55" s="347"/>
      <c r="J55" s="348"/>
      <c r="K55" s="354">
        <f>VLOOKUP(Tableau1[[#This Row],[PARCS]],Tableau25[],10,FALSE)</f>
        <v>3119</v>
      </c>
      <c r="L55" s="252">
        <f>VLOOKUP(Tableau1[[#This Row],[PARCS]],Tableau25[],12,FALSE)</f>
        <v>0</v>
      </c>
      <c r="M55" s="252">
        <f>VLOOKUP(Tableau1[[#This Row],[PARCS]],Tableau25[],13,FALSE)</f>
        <v>201113.11999999997</v>
      </c>
      <c r="N55" s="354">
        <f>VLOOKUP(Tableau1[[#This Row],[PARCS]],Tableau254[],10,FALSE)</f>
        <v>3119</v>
      </c>
      <c r="O55" s="252">
        <f>VLOOKUP(Tableau1[[#This Row],[PARCS]],Tableau254[],12,FALSE)</f>
        <v>0</v>
      </c>
      <c r="P55" s="252">
        <f>VLOOKUP(Tableau1[[#This Row],[PARCS]],Tableau254[],13,FALSE)</f>
        <v>546105.71</v>
      </c>
      <c r="Q55" s="354">
        <f>VLOOKUP(Tableau1[[#This Row],[PARCS]],Tableau2546[],10,FALSE)</f>
        <v>3119</v>
      </c>
      <c r="R55" s="252">
        <f>VLOOKUP(Tableau1[[#This Row],[PARCS]],Tableau2546[],12,FALSE)</f>
        <v>0</v>
      </c>
      <c r="S55" s="355">
        <f>VLOOKUP(Tableau1[[#This Row],[PARCS]],Tableau2546[],13,FALSE)</f>
        <v>559758.35274999996</v>
      </c>
      <c r="T55" s="252">
        <f t="shared" si="4"/>
        <v>546105.71</v>
      </c>
      <c r="U55" s="351" t="str">
        <f t="shared" si="5"/>
        <v/>
      </c>
      <c r="V55" s="252">
        <f>Tableau1[[#This Row],[CA7]]-Tableau1[[#This Row],[CA4]]</f>
        <v>13652.642749999999</v>
      </c>
      <c r="W55" s="351">
        <f>(Tableau1[[#This Row],[CA7]]-Tableau1[[#This Row],[CA4]])/Tableau1[[#This Row],[CA4]]</f>
        <v>2.5000000000000001E-2</v>
      </c>
    </row>
    <row r="56" spans="1:24" ht="15.75" customHeight="1">
      <c r="A56" s="345" t="s">
        <v>492</v>
      </c>
      <c r="B56" s="346" t="str">
        <f>VLOOKUP(Tableau1[[#This Row],[PARCS]],Tableau106[],3,FALSE)</f>
        <v>A540</v>
      </c>
      <c r="C56" s="346" t="str">
        <f>VLOOKUP(Tableau1[[#This Row],[PARCS]],Tableau106[],2,FALSE)</f>
        <v>FR79E01E</v>
      </c>
      <c r="D56" s="352" t="str">
        <f>VLOOKUP(Tableau1[[#This Row],[PARCS]],Tableau106[],8,FALSE)</f>
        <v>EOLIEN</v>
      </c>
      <c r="E56" s="352" t="str">
        <f>VLOOKUP(A56,Tableau106[],6,FALSE)</f>
        <v>N</v>
      </c>
      <c r="F56" s="353" t="str">
        <f>VLOOKUP(Tableau1[[#This Row],[PARCS]],Tableau106[],5,FALSE)</f>
        <v>PAMP</v>
      </c>
      <c r="G56" s="346" t="str">
        <f>VLOOKUP(Tableau1[[#This Row],[PARCS]],Tableau106[],7,FALSE)</f>
        <v>EGM</v>
      </c>
      <c r="H56" s="346" t="str">
        <f>VLOOKUP(Tableau1[[#This Row],[PARCS]],Tableau106[],9,FALSE)</f>
        <v>DeN</v>
      </c>
      <c r="I56" s="347">
        <v>21735.606</v>
      </c>
      <c r="J56" s="348">
        <v>2063604.08</v>
      </c>
      <c r="K56" s="354">
        <f>VLOOKUP(Tableau1[[#This Row],[PARCS]],Tableau25[],10,FALSE)</f>
        <v>22055.7</v>
      </c>
      <c r="L56" s="252">
        <f>VLOOKUP(Tableau1[[#This Row],[PARCS]],Tableau25[],12,FALSE)</f>
        <v>0</v>
      </c>
      <c r="M56" s="252">
        <f>VLOOKUP(Tableau1[[#This Row],[PARCS]],Tableau25[],13,FALSE)</f>
        <v>2147998.8355843201</v>
      </c>
      <c r="N56" s="354">
        <f>VLOOKUP(Tableau1[[#This Row],[PARCS]],Tableau254[],10,FALSE)</f>
        <v>23227.769097592496</v>
      </c>
      <c r="O56" s="252">
        <f>VLOOKUP(Tableau1[[#This Row],[PARCS]],Tableau254[],12,FALSE)</f>
        <v>49999.29</v>
      </c>
      <c r="P56" s="252">
        <f>VLOOKUP(Tableau1[[#This Row],[PARCS]],Tableau254[],13,FALSE)</f>
        <v>2305054.1219377862</v>
      </c>
      <c r="Q56" s="354">
        <f>VLOOKUP(Tableau1[[#This Row],[PARCS]],Tableau2546[],10,FALSE)</f>
        <v>22055.7</v>
      </c>
      <c r="R56" s="252">
        <f>VLOOKUP(Tableau1[[#This Row],[PARCS]],Tableau2546[],12,FALSE)</f>
        <v>0</v>
      </c>
      <c r="S56" s="355">
        <f>VLOOKUP(Tableau1[[#This Row],[PARCS]],Tableau2546[],13,FALSE)</f>
        <v>2243460.0384224998</v>
      </c>
      <c r="T56" s="252">
        <f t="shared" si="4"/>
        <v>241450.04193778615</v>
      </c>
      <c r="U56" s="351">
        <f t="shared" si="5"/>
        <v>0.11700405338304339</v>
      </c>
      <c r="V56" s="252">
        <f>Tableau1[[#This Row],[CA7]]-Tableau1[[#This Row],[CA4]]</f>
        <v>-61594.083515286446</v>
      </c>
      <c r="W56" s="351">
        <f>(Tableau1[[#This Row],[CA7]]-Tableau1[[#This Row],[CA4]])/Tableau1[[#This Row],[CA4]]</f>
        <v>-2.6721317703163622E-2</v>
      </c>
    </row>
    <row r="57" spans="1:24" ht="15.75" customHeight="1">
      <c r="A57" s="345" t="s">
        <v>228</v>
      </c>
      <c r="B57" s="346" t="str">
        <f>VLOOKUP(Tableau1[[#This Row],[PARCS]],Tableau106[],3,FALSE)</f>
        <v>F159</v>
      </c>
      <c r="C57" s="346" t="str">
        <f>VLOOKUP(Tableau1[[#This Row],[PARCS]],Tableau106[],2,FALSE)</f>
        <v>FR02E13E</v>
      </c>
      <c r="D57" s="352" t="str">
        <f>VLOOKUP(Tableau1[[#This Row],[PARCS]],Tableau106[],8,FALSE)</f>
        <v>EOLIEN</v>
      </c>
      <c r="E57" s="352" t="str">
        <f>VLOOKUP(A57,Tableau106[],6,FALSE)</f>
        <v>N</v>
      </c>
      <c r="F57" s="353" t="str">
        <f>VLOOKUP(Tableau1[[#This Row],[PARCS]],Tableau106[],5,FALSE)</f>
        <v>MAZU</v>
      </c>
      <c r="G57" s="346" t="str">
        <f>VLOOKUP(Tableau1[[#This Row],[PARCS]],Tableau106[],7,FALSE)</f>
        <v>FUTUREN</v>
      </c>
      <c r="H57" s="346" t="str">
        <f>VLOOKUP(Tableau1[[#This Row],[PARCS]],Tableau106[],9,FALSE)</f>
        <v>NiD</v>
      </c>
      <c r="I57" s="347">
        <v>26931.433000000001</v>
      </c>
      <c r="J57" s="348">
        <v>2305321.9</v>
      </c>
      <c r="K57" s="354">
        <f>VLOOKUP(Tableau1[[#This Row],[PARCS]],Tableau25[],10,FALSE)</f>
        <v>27930.916531563107</v>
      </c>
      <c r="L57" s="252">
        <f>VLOOKUP(Tableau1[[#This Row],[PARCS]],Tableau25[],12,FALSE)</f>
        <v>0</v>
      </c>
      <c r="M57" s="252">
        <f>VLOOKUP(Tableau1[[#This Row],[PARCS]],Tableau25[],13,FALSE)</f>
        <v>2455614.0303114438</v>
      </c>
      <c r="N57" s="354">
        <f>VLOOKUP(Tableau1[[#This Row],[PARCS]],Tableau254[],10,FALSE)</f>
        <v>28549.341999999997</v>
      </c>
      <c r="O57" s="252">
        <f>VLOOKUP(Tableau1[[#This Row],[PARCS]],Tableau254[],12,FALSE)</f>
        <v>212</v>
      </c>
      <c r="P57" s="252">
        <f>VLOOKUP(Tableau1[[#This Row],[PARCS]],Tableau254[],13,FALSE)</f>
        <v>2581488.6023239996</v>
      </c>
      <c r="Q57" s="354">
        <f>VLOOKUP(Tableau1[[#This Row],[PARCS]],Tableau2546[],10,FALSE)</f>
        <v>28129.243746779968</v>
      </c>
      <c r="R57" s="252">
        <f>VLOOKUP(Tableau1[[#This Row],[PARCS]],Tableau2546[],12,FALSE)</f>
        <v>0</v>
      </c>
      <c r="S57" s="355">
        <f>VLOOKUP(Tableau1[[#This Row],[PARCS]],Tableau2546[],13,FALSE)</f>
        <v>2607090.0400231215</v>
      </c>
      <c r="T57" s="252">
        <f t="shared" si="4"/>
        <v>276166.70232399972</v>
      </c>
      <c r="U57" s="351">
        <f t="shared" si="5"/>
        <v>0.11979528859895867</v>
      </c>
      <c r="V57" s="252">
        <f>Tableau1[[#This Row],[CA7]]-Tableau1[[#This Row],[CA4]]</f>
        <v>25601.437699121889</v>
      </c>
      <c r="W57" s="351">
        <f>(Tableau1[[#This Row],[CA7]]-Tableau1[[#This Row],[CA4]])/Tableau1[[#This Row],[CA4]]</f>
        <v>9.9173157983630262E-3</v>
      </c>
    </row>
    <row r="58" spans="1:24" ht="15.75" customHeight="1">
      <c r="A58" s="345" t="s">
        <v>493</v>
      </c>
      <c r="B58" s="346" t="str">
        <f>VLOOKUP(Tableau1[[#This Row],[PARCS]],Tableau106[],3,FALSE)</f>
        <v>A353</v>
      </c>
      <c r="C58" s="346" t="str">
        <f>VLOOKUP(Tableau1[[#This Row],[PARCS]],Tableau106[],2,FALSE)</f>
        <v>FR13S08E</v>
      </c>
      <c r="D58" s="352" t="str">
        <f>VLOOKUP(Tableau1[[#This Row],[PARCS]],Tableau106[],8,FALSE)</f>
        <v>SOLAIRE</v>
      </c>
      <c r="E58" s="352" t="str">
        <f>VLOOKUP(A58,Tableau106[],6,FALSE)</f>
        <v>S</v>
      </c>
      <c r="F58" s="353" t="str">
        <f>VLOOKUP(Tableau1[[#This Row],[PARCS]],Tableau106[],5,FALSE)</f>
        <v>EYGU</v>
      </c>
      <c r="G58" s="346" t="str">
        <f>VLOOKUP(Tableau1[[#This Row],[PARCS]],Tableau106[],7,FALSE)</f>
        <v>GROUPE</v>
      </c>
      <c r="H58" s="346" t="str">
        <f>VLOOKUP(Tableau1[[#This Row],[PARCS]],Tableau106[],9,FALSE)</f>
        <v>ArB</v>
      </c>
      <c r="I58" s="347"/>
      <c r="J58" s="348"/>
      <c r="K58" s="354">
        <f>VLOOKUP(Tableau1[[#This Row],[PARCS]],Tableau25[],10,FALSE)</f>
        <v>14747</v>
      </c>
      <c r="L58" s="252">
        <f>VLOOKUP(Tableau1[[#This Row],[PARCS]],Tableau25[],12,FALSE)</f>
        <v>0</v>
      </c>
      <c r="M58" s="252">
        <f>VLOOKUP(Tableau1[[#This Row],[PARCS]],Tableau25[],13,FALSE)</f>
        <v>1081939.6097200001</v>
      </c>
      <c r="N58" s="354">
        <f>VLOOKUP(Tableau1[[#This Row],[PARCS]],Tableau254[],10,FALSE)</f>
        <v>16125.839400000001</v>
      </c>
      <c r="O58" s="252">
        <f>VLOOKUP(Tableau1[[#This Row],[PARCS]],Tableau254[],12,FALSE)</f>
        <v>0</v>
      </c>
      <c r="P58" s="252">
        <f>VLOOKUP(Tableau1[[#This Row],[PARCS]],Tableau254[],13,FALSE)</f>
        <v>2756618.1780335</v>
      </c>
      <c r="Q58" s="354">
        <f>VLOOKUP(Tableau1[[#This Row],[PARCS]],Tableau2546[],10,FALSE)</f>
        <v>14747.2</v>
      </c>
      <c r="R58" s="252">
        <f>VLOOKUP(Tableau1[[#This Row],[PARCS]],Tableau2546[],12,FALSE)</f>
        <v>0</v>
      </c>
      <c r="S58" s="355">
        <f>VLOOKUP(Tableau1[[#This Row],[PARCS]],Tableau2546[],13,FALSE)</f>
        <v>2583971.5100333332</v>
      </c>
      <c r="T58" s="252">
        <f t="shared" si="4"/>
        <v>2756618.1780335</v>
      </c>
      <c r="U58" s="351" t="str">
        <f t="shared" si="5"/>
        <v/>
      </c>
      <c r="V58" s="252">
        <f>Tableau1[[#This Row],[CA7]]-Tableau1[[#This Row],[CA4]]</f>
        <v>-172646.66800016677</v>
      </c>
      <c r="W58" s="351">
        <f>(Tableau1[[#This Row],[CA7]]-Tableau1[[#This Row],[CA4]])/Tableau1[[#This Row],[CA4]]</f>
        <v>-6.2629880835846641E-2</v>
      </c>
    </row>
    <row r="59" spans="1:24" ht="15.75" customHeight="1">
      <c r="A59" s="345" t="s">
        <v>118</v>
      </c>
      <c r="B59" s="346" t="str">
        <f>VLOOKUP(Tableau1[[#This Row],[PARCS]],Tableau106[],3,FALSE)</f>
        <v>F142</v>
      </c>
      <c r="C59" s="346" t="str">
        <f>VLOOKUP(Tableau1[[#This Row],[PARCS]],Tableau106[],2,FALSE)</f>
        <v>FR55E14E</v>
      </c>
      <c r="D59" s="352" t="str">
        <f>VLOOKUP(Tableau1[[#This Row],[PARCS]],Tableau106[],8,FALSE)</f>
        <v>EOLIEN</v>
      </c>
      <c r="E59" s="352" t="str">
        <f>VLOOKUP(A59,Tableau106[],6,FALSE)</f>
        <v>N</v>
      </c>
      <c r="F59" s="353" t="str">
        <f>VLOOKUP(Tableau1[[#This Row],[PARCS]],Tableau106[],5,FALSE)</f>
        <v>DEM1, DEM2</v>
      </c>
      <c r="G59" s="346" t="str">
        <f>VLOOKUP(Tableau1[[#This Row],[PARCS]],Tableau106[],7,FALSE)</f>
        <v>FUTUREN</v>
      </c>
      <c r="H59" s="346" t="str">
        <f>VLOOKUP(Tableau1[[#This Row],[PARCS]],Tableau106[],9,FALSE)</f>
        <v>NiL</v>
      </c>
      <c r="I59" s="347">
        <v>47681.512000000002</v>
      </c>
      <c r="J59" s="348">
        <v>4131029.72</v>
      </c>
      <c r="K59" s="354">
        <f>VLOOKUP(Tableau1[[#This Row],[PARCS]],Tableau25[],10,FALSE)</f>
        <v>48082</v>
      </c>
      <c r="L59" s="252">
        <f>VLOOKUP(Tableau1[[#This Row],[PARCS]],Tableau25[],12,FALSE)</f>
        <v>0</v>
      </c>
      <c r="M59" s="252">
        <f>VLOOKUP(Tableau1[[#This Row],[PARCS]],Tableau25[],13,FALSE)</f>
        <v>4277739.3738879999</v>
      </c>
      <c r="N59" s="354">
        <f>VLOOKUP(Tableau1[[#This Row],[PARCS]],Tableau254[],10,FALSE)</f>
        <v>51024.272749999996</v>
      </c>
      <c r="O59" s="252">
        <f>VLOOKUP(Tableau1[[#This Row],[PARCS]],Tableau254[],12,FALSE)</f>
        <v>0</v>
      </c>
      <c r="P59" s="252">
        <f>VLOOKUP(Tableau1[[#This Row],[PARCS]],Tableau254[],13,FALSE)</f>
        <v>4627901.5384249995</v>
      </c>
      <c r="Q59" s="354">
        <f>VLOOKUP(Tableau1[[#This Row],[PARCS]],Tableau2546[],10,FALSE)</f>
        <v>46301.305267679985</v>
      </c>
      <c r="R59" s="252">
        <f>VLOOKUP(Tableau1[[#This Row],[PARCS]],Tableau2546[],12,FALSE)</f>
        <v>0</v>
      </c>
      <c r="S59" s="355">
        <f>VLOOKUP(Tableau1[[#This Row],[PARCS]],Tableau2546[],13,FALSE)</f>
        <v>4304516.5974730393</v>
      </c>
      <c r="T59" s="252">
        <f t="shared" si="4"/>
        <v>496871.81842499925</v>
      </c>
      <c r="U59" s="351">
        <f t="shared" si="5"/>
        <v>0.12027795782234151</v>
      </c>
      <c r="V59" s="252">
        <f>Tableau1[[#This Row],[CA7]]-Tableau1[[#This Row],[CA4]]</f>
        <v>-323384.94095196016</v>
      </c>
      <c r="W59" s="351">
        <f>(Tableau1[[#This Row],[CA7]]-Tableau1[[#This Row],[CA4]])/Tableau1[[#This Row],[CA4]]</f>
        <v>-6.9877230158621059E-2</v>
      </c>
    </row>
    <row r="60" spans="1:24" ht="15.75" customHeight="1">
      <c r="A60" s="345" t="s">
        <v>131</v>
      </c>
      <c r="B60" s="346" t="str">
        <f>VLOOKUP(Tableau1[[#This Row],[PARCS]],Tableau106[],3,FALSE)</f>
        <v>A257</v>
      </c>
      <c r="C60" s="346" t="str">
        <f>VLOOKUP(Tableau1[[#This Row],[PARCS]],Tableau106[],2,FALSE)</f>
        <v>FR11S07E</v>
      </c>
      <c r="D60" s="352" t="str">
        <f>VLOOKUP(Tableau1[[#This Row],[PARCS]],Tableau106[],8,FALSE)</f>
        <v>SOLAIRE</v>
      </c>
      <c r="E60" s="352" t="str">
        <f>VLOOKUP(A60,Tableau106[],6,FALSE)</f>
        <v>S</v>
      </c>
      <c r="F60" s="353" t="str">
        <f>VLOOKUP(Tableau1[[#This Row],[PARCS]],Tableau106[],5,FALSE)</f>
        <v>FEND</v>
      </c>
      <c r="G60" s="346" t="str">
        <f>VLOOKUP(Tableau1[[#This Row],[PARCS]],Tableau106[],7,FALSE)</f>
        <v>GROUPE</v>
      </c>
      <c r="H60" s="346" t="str">
        <f>VLOOKUP(Tableau1[[#This Row],[PARCS]],Tableau106[],9,FALSE)</f>
        <v>BaA</v>
      </c>
      <c r="I60" s="347">
        <v>7318.3320000000003</v>
      </c>
      <c r="J60" s="348">
        <v>303737.40000000002</v>
      </c>
      <c r="K60" s="354">
        <f>VLOOKUP(Tableau1[[#This Row],[PARCS]],Tableau25[],10,FALSE)</f>
        <v>6061</v>
      </c>
      <c r="L60" s="252">
        <f>VLOOKUP(Tableau1[[#This Row],[PARCS]],Tableau25[],12,FALSE)</f>
        <v>0</v>
      </c>
      <c r="M60" s="252">
        <f>VLOOKUP(Tableau1[[#This Row],[PARCS]],Tableau25[],13,FALSE)</f>
        <v>360397.78312119999</v>
      </c>
      <c r="N60" s="354">
        <f>VLOOKUP(Tableau1[[#This Row],[PARCS]],Tableau254[],10,FALSE)</f>
        <v>5767.1693940000014</v>
      </c>
      <c r="O60" s="252">
        <f>VLOOKUP(Tableau1[[#This Row],[PARCS]],Tableau254[],12,FALSE)</f>
        <v>0</v>
      </c>
      <c r="P60" s="252">
        <f>VLOOKUP(Tableau1[[#This Row],[PARCS]],Tableau254[],13,FALSE)</f>
        <v>419734.58849532012</v>
      </c>
      <c r="Q60" s="354">
        <f>VLOOKUP(Tableau1[[#This Row],[PARCS]],Tableau2546[],10,FALSE)</f>
        <v>5420</v>
      </c>
      <c r="R60" s="252">
        <f>VLOOKUP(Tableau1[[#This Row],[PARCS]],Tableau2546[],12,FALSE)</f>
        <v>0</v>
      </c>
      <c r="S60" s="355">
        <f>VLOOKUP(Tableau1[[#This Row],[PARCS]],Tableau2546[],13,FALSE)</f>
        <v>404329.29</v>
      </c>
      <c r="T60" s="252">
        <f t="shared" si="4"/>
        <v>115997.18849532009</v>
      </c>
      <c r="U60" s="351">
        <f t="shared" si="5"/>
        <v>0.38189958989350697</v>
      </c>
      <c r="V60" s="252">
        <f>Tableau1[[#This Row],[CA7]]-Tableau1[[#This Row],[CA4]]</f>
        <v>-15405.298495320138</v>
      </c>
      <c r="W60" s="351">
        <f>(Tableau1[[#This Row],[CA7]]-Tableau1[[#This Row],[CA4]])/Tableau1[[#This Row],[CA4]]</f>
        <v>-3.6702475606181548E-2</v>
      </c>
    </row>
    <row r="61" spans="1:24" ht="15.75" customHeight="1">
      <c r="A61" s="345" t="s">
        <v>494</v>
      </c>
      <c r="B61" s="346" t="str">
        <f>VLOOKUP(Tableau1[[#This Row],[PARCS]],Tableau106[],3,FALSE)</f>
        <v>A530</v>
      </c>
      <c r="C61" s="346" t="str">
        <f>VLOOKUP(Tableau1[[#This Row],[PARCS]],Tableau106[],2,FALSE)</f>
        <v>FR57E01E</v>
      </c>
      <c r="D61" s="352" t="str">
        <f>VLOOKUP(Tableau1[[#This Row],[PARCS]],Tableau106[],8,FALSE)</f>
        <v>EOLIEN</v>
      </c>
      <c r="E61" s="352" t="str">
        <f>VLOOKUP(A61,Tableau106[],6,FALSE)</f>
        <v>N</v>
      </c>
      <c r="F61" s="353" t="str">
        <f>VLOOKUP(Tableau1[[#This Row],[PARCS]],Tableau106[],5,FALSE)</f>
        <v>BAMB</v>
      </c>
      <c r="G61" s="346" t="str">
        <f>VLOOKUP(Tableau1[[#This Row],[PARCS]],Tableau106[],7,FALSE)</f>
        <v>GROUPE</v>
      </c>
      <c r="H61" s="346" t="str">
        <f>VLOOKUP(Tableau1[[#This Row],[PARCS]],Tableau106[],9,FALSE)</f>
        <v>HuB</v>
      </c>
      <c r="I61" s="347">
        <v>15985.937</v>
      </c>
      <c r="J61" s="348">
        <v>741779.32</v>
      </c>
      <c r="K61" s="354">
        <f>VLOOKUP(Tableau1[[#This Row],[PARCS]],Tableau25[],10,FALSE)</f>
        <v>17487.764962210491</v>
      </c>
      <c r="L61" s="252">
        <f>VLOOKUP(Tableau1[[#This Row],[PARCS]],Tableau25[],12,FALSE)</f>
        <v>0</v>
      </c>
      <c r="M61" s="252">
        <f>VLOOKUP(Tableau1[[#This Row],[PARCS]],Tableau25[],13,FALSE)</f>
        <v>813181.07074278779</v>
      </c>
      <c r="N61" s="354">
        <f>VLOOKUP(Tableau1[[#This Row],[PARCS]],Tableau254[],10,FALSE)</f>
        <v>18003.737000000001</v>
      </c>
      <c r="O61" s="252">
        <f>VLOOKUP(Tableau1[[#This Row],[PARCS]],Tableau254[],12,FALSE)</f>
        <v>0</v>
      </c>
      <c r="P61" s="252">
        <f>VLOOKUP(Tableau1[[#This Row],[PARCS]],Tableau254[],13,FALSE)</f>
        <v>837173.7705000001</v>
      </c>
      <c r="Q61" s="354">
        <f>VLOOKUP(Tableau1[[#This Row],[PARCS]],Tableau2546[],10,FALSE)</f>
        <v>14801.237754798572</v>
      </c>
      <c r="R61" s="252">
        <f>VLOOKUP(Tableau1[[#This Row],[PARCS]],Tableau2546[],12,FALSE)</f>
        <v>0</v>
      </c>
      <c r="S61" s="355">
        <f>VLOOKUP(Tableau1[[#This Row],[PARCS]],Tableau2546[],13,FALSE)</f>
        <v>688257.55559813359</v>
      </c>
      <c r="T61" s="252">
        <f t="shared" si="4"/>
        <v>95394.450500000152</v>
      </c>
      <c r="U61" s="351">
        <f t="shared" si="5"/>
        <v>0.12860219734893683</v>
      </c>
      <c r="V61" s="252">
        <f>Tableau1[[#This Row],[CA7]]-Tableau1[[#This Row],[CA4]]</f>
        <v>-148916.21490186651</v>
      </c>
      <c r="W61" s="351">
        <f>(Tableau1[[#This Row],[CA7]]-Tableau1[[#This Row],[CA4]])/Tableau1[[#This Row],[CA4]]</f>
        <v>-0.17787969493230377</v>
      </c>
    </row>
    <row r="62" spans="1:24" ht="15.75" customHeight="1">
      <c r="A62" s="345" t="s">
        <v>495</v>
      </c>
      <c r="B62" s="346" t="str">
        <f>VLOOKUP(Tableau1[[#This Row],[PARCS]],Tableau106[],3,FALSE)</f>
        <v>A366</v>
      </c>
      <c r="C62" s="346" t="str">
        <f>VLOOKUP(Tableau1[[#This Row],[PARCS]],Tableau106[],2,FALSE)</f>
        <v>FR48E96E</v>
      </c>
      <c r="D62" s="352" t="str">
        <f>VLOOKUP(Tableau1[[#This Row],[PARCS]],Tableau106[],8,FALSE)</f>
        <v>EOLIEN</v>
      </c>
      <c r="E62" s="352" t="str">
        <f>VLOOKUP(A62,Tableau106[],6,FALSE)</f>
        <v>S</v>
      </c>
      <c r="F62" s="353" t="str">
        <f>VLOOKUP(Tableau1[[#This Row],[PARCS]],Tableau106[],5,FALSE)</f>
        <v>TAIL</v>
      </c>
      <c r="G62" s="346" t="str">
        <f>VLOOKUP(Tableau1[[#This Row],[PARCS]],Tableau106[],7,FALSE)</f>
        <v>GROUPE</v>
      </c>
      <c r="H62" s="346" t="str">
        <f>VLOOKUP(Tableau1[[#This Row],[PARCS]],Tableau106[],9,FALSE)</f>
        <v>StE</v>
      </c>
      <c r="I62" s="347">
        <v>59726.694000000003</v>
      </c>
      <c r="J62" s="348">
        <v>5182897.5</v>
      </c>
      <c r="K62" s="354">
        <f>VLOOKUP(Tableau1[[#This Row],[PARCS]],Tableau25[],10,FALSE)</f>
        <v>56178.1345</v>
      </c>
      <c r="L62" s="252">
        <f>VLOOKUP(Tableau1[[#This Row],[PARCS]],Tableau25[],12,FALSE)</f>
        <v>0</v>
      </c>
      <c r="M62" s="252">
        <f>VLOOKUP(Tableau1[[#This Row],[PARCS]],Tableau25[],13,FALSE)</f>
        <v>5026390.9482500339</v>
      </c>
      <c r="N62" s="354">
        <f>VLOOKUP(Tableau1[[#This Row],[PARCS]],Tableau254[],10,FALSE)</f>
        <v>55398.967750000003</v>
      </c>
      <c r="O62" s="252">
        <f>VLOOKUP(Tableau1[[#This Row],[PARCS]],Tableau254[],12,FALSE)</f>
        <v>0</v>
      </c>
      <c r="P62" s="252">
        <f>VLOOKUP(Tableau1[[#This Row],[PARCS]],Tableau254[],13,FALSE)</f>
        <v>5051998.0660257498</v>
      </c>
      <c r="Q62" s="354">
        <f>VLOOKUP(Tableau1[[#This Row],[PARCS]],Tableau2546[],10,FALSE)</f>
        <v>57360.987666666661</v>
      </c>
      <c r="R62" s="252">
        <f>VLOOKUP(Tableau1[[#This Row],[PARCS]],Tableau2546[],12,FALSE)</f>
        <v>0</v>
      </c>
      <c r="S62" s="355">
        <f>VLOOKUP(Tableau1[[#This Row],[PARCS]],Tableau2546[],13,FALSE)</f>
        <v>5361693.56199349</v>
      </c>
      <c r="T62" s="252">
        <f t="shared" si="4"/>
        <v>-130899.43397425022</v>
      </c>
      <c r="U62" s="351">
        <f t="shared" si="5"/>
        <v>-2.5256033709763741E-2</v>
      </c>
      <c r="V62" s="252">
        <f>Tableau1[[#This Row],[CA7]]-Tableau1[[#This Row],[CA4]]</f>
        <v>309695.49596774019</v>
      </c>
      <c r="W62" s="351">
        <f>(Tableau1[[#This Row],[CA7]]-Tableau1[[#This Row],[CA4]])/Tableau1[[#This Row],[CA4]]</f>
        <v>6.1301586406062904E-2</v>
      </c>
    </row>
    <row r="63" spans="1:24" ht="15.75" customHeight="1">
      <c r="A63" s="345" t="s">
        <v>496</v>
      </c>
      <c r="B63" s="346" t="str">
        <f>VLOOKUP(Tableau1[[#This Row],[PARCS]],Tableau106[],3,FALSE)</f>
        <v>F032</v>
      </c>
      <c r="C63" s="346" t="str">
        <f>VLOOKUP(Tableau1[[#This Row],[PARCS]],Tableau106[],2,FALSE)</f>
        <v>FR80E96E</v>
      </c>
      <c r="D63" s="352" t="str">
        <f>VLOOKUP(Tableau1[[#This Row],[PARCS]],Tableau106[],8,FALSE)</f>
        <v>EOLIEN</v>
      </c>
      <c r="E63" s="352" t="str">
        <f>VLOOKUP(A63,Tableau106[],6,FALSE)</f>
        <v>N</v>
      </c>
      <c r="F63" s="353" t="str">
        <f>VLOOKUP(Tableau1[[#This Row],[PARCS]],Tableau106[],5,FALSE)</f>
        <v>CEFF</v>
      </c>
      <c r="G63" s="346" t="str">
        <f>VLOOKUP(Tableau1[[#This Row],[PARCS]],Tableau106[],7,FALSE)</f>
        <v>FUTUREN</v>
      </c>
      <c r="H63" s="346" t="str">
        <f>VLOOKUP(Tableau1[[#This Row],[PARCS]],Tableau106[],9,FALSE)</f>
        <v>NiD</v>
      </c>
      <c r="I63" s="347">
        <v>17590.521000000001</v>
      </c>
      <c r="J63" s="348">
        <v>791303.6</v>
      </c>
      <c r="K63" s="354">
        <f>VLOOKUP(Tableau1[[#This Row],[PARCS]],Tableau25[],10,FALSE)</f>
        <v>18809.854801010468</v>
      </c>
      <c r="L63" s="252">
        <f>VLOOKUP(Tableau1[[#This Row],[PARCS]],Tableau25[],12,FALSE)</f>
        <v>0</v>
      </c>
      <c r="M63" s="252">
        <f>VLOOKUP(Tableau1[[#This Row],[PARCS]],Tableau25[],13,FALSE)</f>
        <v>846443.46604547102</v>
      </c>
      <c r="N63" s="354">
        <f>VLOOKUP(Tableau1[[#This Row],[PARCS]],Tableau254[],10,FALSE)</f>
        <v>19900.394875000002</v>
      </c>
      <c r="O63" s="252">
        <f>VLOOKUP(Tableau1[[#This Row],[PARCS]],Tableau254[],12,FALSE)</f>
        <v>0</v>
      </c>
      <c r="P63" s="252">
        <f>VLOOKUP(Tableau1[[#This Row],[PARCS]],Tableau254[],13,FALSE)</f>
        <v>895517.76937500003</v>
      </c>
      <c r="Q63" s="354">
        <f>VLOOKUP(Tableau1[[#This Row],[PARCS]],Tableau2546[],10,FALSE)</f>
        <v>18131.316917537992</v>
      </c>
      <c r="R63" s="252">
        <f>VLOOKUP(Tableau1[[#This Row],[PARCS]],Tableau2546[],12,FALSE)</f>
        <v>0</v>
      </c>
      <c r="S63" s="355">
        <f>VLOOKUP(Tableau1[[#This Row],[PARCS]],Tableau2546[],13,FALSE)</f>
        <v>2719697.5376306986</v>
      </c>
      <c r="T63" s="252">
        <f t="shared" si="4"/>
        <v>104214.16937500006</v>
      </c>
      <c r="U63" s="351">
        <f t="shared" si="5"/>
        <v>0.13169934949746223</v>
      </c>
      <c r="V63" s="252">
        <f>Tableau1[[#This Row],[CA7]]-Tableau1[[#This Row],[CA4]]</f>
        <v>1824179.7682556985</v>
      </c>
      <c r="W63" s="351">
        <f>(Tableau1[[#This Row],[CA7]]-Tableau1[[#This Row],[CA4]])/Tableau1[[#This Row],[CA4]]</f>
        <v>2.0370112471680271</v>
      </c>
    </row>
    <row r="64" spans="1:24" ht="15.75" customHeight="1">
      <c r="A64" s="345" t="s">
        <v>497</v>
      </c>
      <c r="B64" s="346" t="str">
        <f>VLOOKUP(Tableau1[[#This Row],[PARCS]],Tableau106[],3,FALSE)</f>
        <v>A895</v>
      </c>
      <c r="C64" s="346" t="str">
        <f>VLOOKUP(Tableau1[[#This Row],[PARCS]],Tableau106[],2,FALSE)</f>
        <v>FR80E97E</v>
      </c>
      <c r="D64" s="352" t="str">
        <f>VLOOKUP(Tableau1[[#This Row],[PARCS]],Tableau106[],8,FALSE)</f>
        <v>EOLIEN</v>
      </c>
      <c r="E64" s="352" t="str">
        <f>VLOOKUP(A64,Tableau106[],6,FALSE)</f>
        <v>N</v>
      </c>
      <c r="F64" s="353" t="str">
        <f>VLOOKUP(Tableau1[[#This Row],[PARCS]],Tableau106[],5,FALSE)</f>
        <v>LEPI</v>
      </c>
      <c r="G64" s="346" t="str">
        <f>VLOOKUP(Tableau1[[#This Row],[PARCS]],Tableau106[],7,FALSE)</f>
        <v>GROUPE</v>
      </c>
      <c r="H64" s="346" t="str">
        <f>VLOOKUP(Tableau1[[#This Row],[PARCS]],Tableau106[],9,FALSE)</f>
        <v>NiD</v>
      </c>
      <c r="I64" s="347">
        <v>15994.531000000001</v>
      </c>
      <c r="J64" s="348">
        <v>719347.4</v>
      </c>
      <c r="K64" s="354">
        <f>VLOOKUP(Tableau1[[#This Row],[PARCS]],Tableau25[],10,FALSE)</f>
        <v>17965.629792636781</v>
      </c>
      <c r="L64" s="252">
        <f>VLOOKUP(Tableau1[[#This Row],[PARCS]],Tableau25[],12,FALSE)</f>
        <v>0</v>
      </c>
      <c r="M64" s="252">
        <f>VLOOKUP(Tableau1[[#This Row],[PARCS]],Tableau25[],13,FALSE)</f>
        <v>808453.34066865512</v>
      </c>
      <c r="N64" s="354">
        <f>VLOOKUP(Tableau1[[#This Row],[PARCS]],Tableau254[],10,FALSE)</f>
        <v>18094.784812499998</v>
      </c>
      <c r="O64" s="252">
        <f>VLOOKUP(Tableau1[[#This Row],[PARCS]],Tableau254[],12,FALSE)</f>
        <v>0</v>
      </c>
      <c r="P64" s="252">
        <f>VLOOKUP(Tableau1[[#This Row],[PARCS]],Tableau254[],13,FALSE)</f>
        <v>814265.31656249997</v>
      </c>
      <c r="Q64" s="354">
        <f>VLOOKUP(Tableau1[[#This Row],[PARCS]],Tableau2546[],10,FALSE)</f>
        <v>17804.658754125572</v>
      </c>
      <c r="R64" s="252">
        <f>VLOOKUP(Tableau1[[#This Row],[PARCS]],Tableau2546[],12,FALSE)</f>
        <v>0</v>
      </c>
      <c r="S64" s="355">
        <f>VLOOKUP(Tableau1[[#This Row],[PARCS]],Tableau2546[],13,FALSE)</f>
        <v>2670698.8131188359</v>
      </c>
      <c r="T64" s="252">
        <f t="shared" si="4"/>
        <v>94917.916562499944</v>
      </c>
      <c r="U64" s="351">
        <f t="shared" si="5"/>
        <v>0.13195003771821506</v>
      </c>
      <c r="V64" s="252">
        <f>Tableau1[[#This Row],[CA7]]-Tableau1[[#This Row],[CA4]]</f>
        <v>1856433.4965563361</v>
      </c>
      <c r="W64" s="351">
        <f>(Tableau1[[#This Row],[CA7]]-Tableau1[[#This Row],[CA4]])/Tableau1[[#This Row],[CA4]]</f>
        <v>2.2798877206184467</v>
      </c>
    </row>
    <row r="65" spans="1:24" ht="15.75" customHeight="1">
      <c r="A65" s="345" t="s">
        <v>498</v>
      </c>
      <c r="B65" s="346" t="str">
        <f>VLOOKUP(Tableau1[[#This Row],[PARCS]],Tableau106[],3,FALSE)</f>
        <v>A037</v>
      </c>
      <c r="C65" s="346" t="str">
        <f>VLOOKUP(Tableau1[[#This Row],[PARCS]],Tableau106[],2,FALSE)</f>
        <v>FR13S15E</v>
      </c>
      <c r="D65" s="352" t="str">
        <f>VLOOKUP(Tableau1[[#This Row],[PARCS]],Tableau106[],8,FALSE)</f>
        <v>SOLAIRE</v>
      </c>
      <c r="E65" s="352" t="str">
        <f>VLOOKUP(A65,Tableau106[],6,FALSE)</f>
        <v>S</v>
      </c>
      <c r="F65" s="353" t="str">
        <f>VLOOKUP(Tableau1[[#This Row],[PARCS]],Tableau106[],5,FALSE)</f>
        <v>FOST</v>
      </c>
      <c r="G65" s="346" t="str">
        <f>VLOOKUP(Tableau1[[#This Row],[PARCS]],Tableau106[],7,FALSE)</f>
        <v>GROUPE</v>
      </c>
      <c r="H65" s="346" t="str">
        <f>VLOOKUP(Tableau1[[#This Row],[PARCS]],Tableau106[],9,FALSE)</f>
        <v>ArB</v>
      </c>
      <c r="I65" s="347">
        <v>15273.584999999999</v>
      </c>
      <c r="J65" s="348">
        <v>2705500.44</v>
      </c>
      <c r="K65" s="354">
        <f>VLOOKUP(Tableau1[[#This Row],[PARCS]],Tableau25[],10,FALSE)</f>
        <v>11284</v>
      </c>
      <c r="L65" s="252">
        <f>VLOOKUP(Tableau1[[#This Row],[PARCS]],Tableau25[],12,FALSE)</f>
        <v>0</v>
      </c>
      <c r="M65" s="252">
        <f>VLOOKUP(Tableau1[[#This Row],[PARCS]],Tableau25[],13,FALSE)</f>
        <v>707521.42406400002</v>
      </c>
      <c r="N65" s="354">
        <f>VLOOKUP(Tableau1[[#This Row],[PARCS]],Tableau254[],10,FALSE)</f>
        <v>14261.5658</v>
      </c>
      <c r="O65" s="252">
        <f>VLOOKUP(Tableau1[[#This Row],[PARCS]],Tableau254[],12,FALSE)</f>
        <v>0</v>
      </c>
      <c r="P65" s="252">
        <f>VLOOKUP(Tableau1[[#This Row],[PARCS]],Tableau254[],13,FALSE)</f>
        <v>890263.98349919997</v>
      </c>
      <c r="Q65" s="354">
        <f>VLOOKUP(Tableau1[[#This Row],[PARCS]],Tableau2546[],10,FALSE)</f>
        <v>11284.211900264569</v>
      </c>
      <c r="R65" s="252">
        <f>VLOOKUP(Tableau1[[#This Row],[PARCS]],Tableau2546[],12,FALSE)</f>
        <v>0</v>
      </c>
      <c r="S65" s="355">
        <f>VLOOKUP(Tableau1[[#This Row],[PARCS]],Tableau2546[],13,FALSE)</f>
        <v>722015.78475366824</v>
      </c>
      <c r="T65" s="252">
        <f t="shared" si="4"/>
        <v>-1815236.4565007999</v>
      </c>
      <c r="U65" s="351">
        <f t="shared" si="5"/>
        <v>-0.67094295371868429</v>
      </c>
      <c r="V65" s="252">
        <f>Tableau1[[#This Row],[CA7]]-Tableau1[[#This Row],[CA4]]</f>
        <v>-168248.19874553173</v>
      </c>
      <c r="W65" s="351">
        <f>(Tableau1[[#This Row],[CA7]]-Tableau1[[#This Row],[CA4]])/Tableau1[[#This Row],[CA4]]</f>
        <v>-0.18898686441770776</v>
      </c>
    </row>
    <row r="66" spans="1:24" ht="15.75" customHeight="1">
      <c r="A66" s="345" t="s">
        <v>499</v>
      </c>
      <c r="B66" s="346" t="str">
        <f>VLOOKUP(Tableau1[[#This Row],[PARCS]],Tableau106[],3,FALSE)</f>
        <v>A540</v>
      </c>
      <c r="C66" s="346" t="str">
        <f>VLOOKUP(Tableau1[[#This Row],[PARCS]],Tableau106[],2,FALSE)</f>
        <v>FR22E03E</v>
      </c>
      <c r="D66" s="352" t="str">
        <f>VLOOKUP(Tableau1[[#This Row],[PARCS]],Tableau106[],8,FALSE)</f>
        <v>EOLIEN</v>
      </c>
      <c r="E66" s="352" t="str">
        <f>VLOOKUP(A66,Tableau106[],6,FALSE)</f>
        <v>N</v>
      </c>
      <c r="F66" s="353" t="str">
        <f>VLOOKUP(Tableau1[[#This Row],[PARCS]],Tableau106[],5,FALSE)</f>
        <v>LDTE</v>
      </c>
      <c r="G66" s="346" t="str">
        <f>VLOOKUP(Tableau1[[#This Row],[PARCS]],Tableau106[],7,FALSE)</f>
        <v>EGM</v>
      </c>
      <c r="H66" s="346" t="str">
        <f>VLOOKUP(Tableau1[[#This Row],[PARCS]],Tableau106[],9,FALSE)</f>
        <v>BoK</v>
      </c>
      <c r="I66" s="347">
        <v>15996.272999999999</v>
      </c>
      <c r="J66" s="348">
        <v>1583285.26</v>
      </c>
      <c r="K66" s="354">
        <f>VLOOKUP(Tableau1[[#This Row],[PARCS]],Tableau25[],10,FALSE)</f>
        <v>12900.412</v>
      </c>
      <c r="L66" s="252">
        <f>VLOOKUP(Tableau1[[#This Row],[PARCS]],Tableau25[],12,FALSE)</f>
        <v>0</v>
      </c>
      <c r="M66" s="252">
        <f>VLOOKUP(Tableau1[[#This Row],[PARCS]],Tableau25[],13,FALSE)</f>
        <v>1310813.2060348191</v>
      </c>
      <c r="N66" s="354">
        <f>VLOOKUP(Tableau1[[#This Row],[PARCS]],Tableau254[],10,FALSE)</f>
        <v>14408.864361404983</v>
      </c>
      <c r="O66" s="252">
        <f>VLOOKUP(Tableau1[[#This Row],[PARCS]],Tableau254[],12,FALSE)</f>
        <v>0</v>
      </c>
      <c r="P66" s="252">
        <f>VLOOKUP(Tableau1[[#This Row],[PARCS]],Tableau254[],13,FALSE)</f>
        <v>1797553.8586331429</v>
      </c>
      <c r="Q66" s="354">
        <f>VLOOKUP(Tableau1[[#This Row],[PARCS]],Tableau2546[],10,FALSE)</f>
        <v>12900.412</v>
      </c>
      <c r="R66" s="252">
        <f>VLOOKUP(Tableau1[[#This Row],[PARCS]],Tableau2546[],12,FALSE)</f>
        <v>0</v>
      </c>
      <c r="S66" s="355">
        <f>VLOOKUP(Tableau1[[#This Row],[PARCS]],Tableau2546[],13,FALSE)</f>
        <v>1649603.6333326665</v>
      </c>
      <c r="T66" s="252">
        <f t="shared" si="4"/>
        <v>214268.59863314289</v>
      </c>
      <c r="U66" s="351">
        <f t="shared" si="5"/>
        <v>0.13533164493247596</v>
      </c>
      <c r="V66" s="252">
        <f>Tableau1[[#This Row],[CA7]]-Tableau1[[#This Row],[CA4]]</f>
        <v>-147950.22530047642</v>
      </c>
      <c r="W66" s="351">
        <f>(Tableau1[[#This Row],[CA7]]-Tableau1[[#This Row],[CA4]])/Tableau1[[#This Row],[CA4]]</f>
        <v>-8.2306421356953124E-2</v>
      </c>
    </row>
    <row r="67" spans="1:24" ht="15.75" customHeight="1">
      <c r="A67" s="345" t="s">
        <v>500</v>
      </c>
      <c r="B67" s="346" t="str">
        <f>VLOOKUP(Tableau1[[#This Row],[PARCS]],Tableau106[],3,FALSE)</f>
        <v>A191</v>
      </c>
      <c r="C67" s="346" t="str">
        <f>VLOOKUP(Tableau1[[#This Row],[PARCS]],Tableau106[],2,FALSE)</f>
        <v>FR40S04E</v>
      </c>
      <c r="D67" s="352" t="str">
        <f>VLOOKUP(Tableau1[[#This Row],[PARCS]],Tableau106[],8,FALSE)</f>
        <v>SOLAIRE</v>
      </c>
      <c r="E67" s="352" t="str">
        <f>VLOOKUP(A67,Tableau106[],6,FALSE)</f>
        <v>S</v>
      </c>
      <c r="F67" s="353" t="str">
        <f>VLOOKUP(Tableau1[[#This Row],[PARCS]],Tableau106[],5,FALSE)</f>
        <v>GAB1</v>
      </c>
      <c r="G67" s="346" t="str">
        <f>VLOOKUP(Tableau1[[#This Row],[PARCS]],Tableau106[],7,FALSE)</f>
        <v>GROUPE</v>
      </c>
      <c r="H67" s="346" t="str">
        <f>VLOOKUP(Tableau1[[#This Row],[PARCS]],Tableau106[],9,FALSE)</f>
        <v>BaA</v>
      </c>
      <c r="I67" s="347">
        <v>11651.896000000001</v>
      </c>
      <c r="J67" s="348">
        <v>4466497.37</v>
      </c>
      <c r="K67" s="354">
        <f>VLOOKUP(Tableau1[[#This Row],[PARCS]],Tableau25[],10,FALSE)</f>
        <v>12111</v>
      </c>
      <c r="L67" s="252">
        <f>VLOOKUP(Tableau1[[#This Row],[PARCS]],Tableau25[],12,FALSE)</f>
        <v>0</v>
      </c>
      <c r="M67" s="252">
        <f>VLOOKUP(Tableau1[[#This Row],[PARCS]],Tableau25[],13,FALSE)</f>
        <v>4664653.9637279995</v>
      </c>
      <c r="N67" s="354">
        <f>VLOOKUP(Tableau1[[#This Row],[PARCS]],Tableau254[],10,FALSE)</f>
        <v>12311.389333333333</v>
      </c>
      <c r="O67" s="252">
        <f>VLOOKUP(Tableau1[[#This Row],[PARCS]],Tableau254[],12,FALSE)</f>
        <v>0</v>
      </c>
      <c r="P67" s="252">
        <f>VLOOKUP(Tableau1[[#This Row],[PARCS]],Tableau254[],13,FALSE)</f>
        <v>4858332.7701093331</v>
      </c>
      <c r="Q67" s="354">
        <f>VLOOKUP(Tableau1[[#This Row],[PARCS]],Tableau2546[],10,FALSE)</f>
        <v>12065.484988282853</v>
      </c>
      <c r="R67" s="252">
        <f>VLOOKUP(Tableau1[[#This Row],[PARCS]],Tableau2546[],12,FALSE)</f>
        <v>0</v>
      </c>
      <c r="S67" s="355">
        <f>VLOOKUP(Tableau1[[#This Row],[PARCS]],Tableau2546[],13,FALSE)</f>
        <v>4880326.0953501966</v>
      </c>
      <c r="T67" s="252">
        <f t="shared" si="4"/>
        <v>391835.40010933299</v>
      </c>
      <c r="U67" s="351">
        <f t="shared" si="5"/>
        <v>8.7727668383096563E-2</v>
      </c>
      <c r="V67" s="252">
        <f>Tableau1[[#This Row],[CA7]]-Tableau1[[#This Row],[CA4]]</f>
        <v>21993.325240863487</v>
      </c>
      <c r="W67" s="351">
        <f>(Tableau1[[#This Row],[CA7]]-Tableau1[[#This Row],[CA4]])/Tableau1[[#This Row],[CA4]]</f>
        <v>4.526928533215427E-3</v>
      </c>
    </row>
    <row r="68" spans="1:24" ht="15.75" customHeight="1">
      <c r="A68" s="345" t="s">
        <v>501</v>
      </c>
      <c r="B68" s="346" t="str">
        <f>VLOOKUP(Tableau1[[#This Row],[PARCS]],Tableau106[],3,FALSE)</f>
        <v>A194</v>
      </c>
      <c r="C68" s="346" t="str">
        <f>VLOOKUP(Tableau1[[#This Row],[PARCS]],Tableau106[],2,FALSE)</f>
        <v>FR40S07E</v>
      </c>
      <c r="D68" s="352" t="str">
        <f>VLOOKUP(Tableau1[[#This Row],[PARCS]],Tableau106[],8,FALSE)</f>
        <v>SOLAIRE</v>
      </c>
      <c r="E68" s="352" t="str">
        <f>VLOOKUP(A68,Tableau106[],6,FALSE)</f>
        <v>S</v>
      </c>
      <c r="F68" s="353" t="str">
        <f>VLOOKUP(Tableau1[[#This Row],[PARCS]],Tableau106[],5,FALSE)</f>
        <v>GAB4</v>
      </c>
      <c r="G68" s="346" t="str">
        <f>VLOOKUP(Tableau1[[#This Row],[PARCS]],Tableau106[],7,FALSE)</f>
        <v>GROUPE</v>
      </c>
      <c r="H68" s="346" t="str">
        <f>VLOOKUP(Tableau1[[#This Row],[PARCS]],Tableau106[],9,FALSE)</f>
        <v>BaA</v>
      </c>
      <c r="I68" s="347">
        <v>12171.013000000001</v>
      </c>
      <c r="J68" s="348">
        <v>4566494.71</v>
      </c>
      <c r="K68" s="354">
        <f>VLOOKUP(Tableau1[[#This Row],[PARCS]],Tableau25[],10,FALSE)</f>
        <v>12466</v>
      </c>
      <c r="L68" s="252">
        <f>VLOOKUP(Tableau1[[#This Row],[PARCS]],Tableau25[],12,FALSE)</f>
        <v>0</v>
      </c>
      <c r="M68" s="252">
        <f>VLOOKUP(Tableau1[[#This Row],[PARCS]],Tableau25[],13,FALSE)</f>
        <v>4799893.1322959997</v>
      </c>
      <c r="N68" s="354">
        <f>VLOOKUP(Tableau1[[#This Row],[PARCS]],Tableau254[],10,FALSE)</f>
        <v>12484.795583333334</v>
      </c>
      <c r="O68" s="252">
        <f>VLOOKUP(Tableau1[[#This Row],[PARCS]],Tableau254[],12,FALSE)</f>
        <v>0</v>
      </c>
      <c r="P68" s="252">
        <f>VLOOKUP(Tableau1[[#This Row],[PARCS]],Tableau254[],13,FALSE)</f>
        <v>4925127.009669167</v>
      </c>
      <c r="Q68" s="354">
        <f>VLOOKUP(Tableau1[[#This Row],[PARCS]],Tableau2546[],10,FALSE)</f>
        <v>12436.650363685087</v>
      </c>
      <c r="R68" s="252">
        <f>VLOOKUP(Tableau1[[#This Row],[PARCS]],Tableau2546[],12,FALSE)</f>
        <v>0</v>
      </c>
      <c r="S68" s="355">
        <f>VLOOKUP(Tableau1[[#This Row],[PARCS]],Tableau2546[],13,FALSE)</f>
        <v>5028787.5570193827</v>
      </c>
      <c r="T68" s="252">
        <f t="shared" si="4"/>
        <v>358632.29966916703</v>
      </c>
      <c r="U68" s="351">
        <f t="shared" si="5"/>
        <v>7.8535577602621823E-2</v>
      </c>
      <c r="V68" s="252">
        <f>Tableau1[[#This Row],[CA7]]-Tableau1[[#This Row],[CA4]]</f>
        <v>103660.54735021573</v>
      </c>
      <c r="W68" s="351">
        <f>(Tableau1[[#This Row],[CA7]]-Tableau1[[#This Row],[CA4]])/Tableau1[[#This Row],[CA4]]</f>
        <v>2.1047284089670382E-2</v>
      </c>
    </row>
    <row r="69" spans="1:24" ht="15.75" customHeight="1">
      <c r="A69" s="345" t="s">
        <v>502</v>
      </c>
      <c r="B69" s="346" t="str">
        <f>VLOOKUP(Tableau1[[#This Row],[PARCS]],Tableau106[],3,FALSE)</f>
        <v>A197</v>
      </c>
      <c r="C69" s="346" t="str">
        <f>VLOOKUP(Tableau1[[#This Row],[PARCS]],Tableau106[],2,FALSE)</f>
        <v>FR40S10E</v>
      </c>
      <c r="D69" s="352" t="str">
        <f>VLOOKUP(Tableau1[[#This Row],[PARCS]],Tableau106[],8,FALSE)</f>
        <v>SOLAIRE</v>
      </c>
      <c r="E69" s="352" t="str">
        <f>VLOOKUP(A69,Tableau106[],6,FALSE)</f>
        <v>S</v>
      </c>
      <c r="F69" s="353" t="str">
        <f>VLOOKUP(Tableau1[[#This Row],[PARCS]],Tableau106[],5,FALSE)</f>
        <v>GAB7</v>
      </c>
      <c r="G69" s="346" t="str">
        <f>VLOOKUP(Tableau1[[#This Row],[PARCS]],Tableau106[],7,FALSE)</f>
        <v>GROUPE</v>
      </c>
      <c r="H69" s="346" t="str">
        <f>VLOOKUP(Tableau1[[#This Row],[PARCS]],Tableau106[],9,FALSE)</f>
        <v>BaA</v>
      </c>
      <c r="I69" s="347">
        <v>2760.7359999999999</v>
      </c>
      <c r="J69" s="348">
        <v>1016240.71</v>
      </c>
      <c r="K69" s="354">
        <f>VLOOKUP(Tableau1[[#This Row],[PARCS]],Tableau25[],10,FALSE)</f>
        <v>2825</v>
      </c>
      <c r="L69" s="252">
        <f>VLOOKUP(Tableau1[[#This Row],[PARCS]],Tableau25[],12,FALSE)</f>
        <v>0</v>
      </c>
      <c r="M69" s="252">
        <f>VLOOKUP(Tableau1[[#This Row],[PARCS]],Tableau25[],13,FALSE)</f>
        <v>1050646.0460600001</v>
      </c>
      <c r="N69" s="354">
        <f>VLOOKUP(Tableau1[[#This Row],[PARCS]],Tableau254[],10,FALSE)</f>
        <v>2867.396181818182</v>
      </c>
      <c r="O69" s="252">
        <f>VLOOKUP(Tableau1[[#This Row],[PARCS]],Tableau254[],12,FALSE)</f>
        <v>0</v>
      </c>
      <c r="P69" s="252">
        <f>VLOOKUP(Tableau1[[#This Row],[PARCS]],Tableau254[],13,FALSE)</f>
        <v>1091072.9211436363</v>
      </c>
      <c r="Q69" s="354">
        <f>VLOOKUP(Tableau1[[#This Row],[PARCS]],Tableau2546[],10,FALSE)</f>
        <v>2822.2468934254839</v>
      </c>
      <c r="R69" s="252">
        <f>VLOOKUP(Tableau1[[#This Row],[PARCS]],Tableau2546[],12,FALSE)</f>
        <v>0</v>
      </c>
      <c r="S69" s="355">
        <f>VLOOKUP(Tableau1[[#This Row],[PARCS]],Tableau2546[],13,FALSE)</f>
        <v>1100740.4945527641</v>
      </c>
      <c r="T69" s="252">
        <f t="shared" si="4"/>
        <v>74832.211143636378</v>
      </c>
      <c r="U69" s="351">
        <f t="shared" si="5"/>
        <v>7.3636305264366334E-2</v>
      </c>
      <c r="V69" s="252">
        <f>Tableau1[[#This Row],[CA7]]-Tableau1[[#This Row],[CA4]]</f>
        <v>9667.57340912777</v>
      </c>
      <c r="W69" s="351">
        <f>(Tableau1[[#This Row],[CA7]]-Tableau1[[#This Row],[CA4]])/Tableau1[[#This Row],[CA4]]</f>
        <v>8.8606116252930665E-3</v>
      </c>
    </row>
    <row r="70" spans="1:24" ht="15.75" customHeight="1">
      <c r="A70" s="345" t="s">
        <v>503</v>
      </c>
      <c r="B70" s="346" t="str">
        <f>VLOOKUP(Tableau1[[#This Row],[PARCS]],Tableau106[],3,FALSE)</f>
        <v>A139</v>
      </c>
      <c r="C70" s="346" t="str">
        <f>VLOOKUP(Tableau1[[#This Row],[PARCS]],Tableau106[],2,FALSE)</f>
        <v>FR40S99E</v>
      </c>
      <c r="D70" s="352" t="str">
        <f>VLOOKUP(Tableau1[[#This Row],[PARCS]],Tableau106[],8,FALSE)</f>
        <v>SOLAIRE</v>
      </c>
      <c r="E70" s="352" t="str">
        <f>VLOOKUP(A70,Tableau106[],6,FALSE)</f>
        <v>S</v>
      </c>
      <c r="F70" s="353" t="str">
        <f>VLOOKUP(Tableau1[[#This Row],[PARCS]],Tableau106[],5,FALSE)</f>
        <v>GABT</v>
      </c>
      <c r="G70" s="346" t="str">
        <f>VLOOKUP(Tableau1[[#This Row],[PARCS]],Tableau106[],7,FALSE)</f>
        <v>GROUPE</v>
      </c>
      <c r="H70" s="346" t="str">
        <f>VLOOKUP(Tableau1[[#This Row],[PARCS]],Tableau106[],9,FALSE)</f>
        <v>BaA</v>
      </c>
      <c r="I70" s="347">
        <v>2748.1529999999998</v>
      </c>
      <c r="J70" s="348">
        <v>1044283.14</v>
      </c>
      <c r="K70" s="354">
        <f>VLOOKUP(Tableau1[[#This Row],[PARCS]],Tableau25[],10,FALSE)</f>
        <v>2737</v>
      </c>
      <c r="L70" s="252">
        <f>VLOOKUP(Tableau1[[#This Row],[PARCS]],Tableau25[],12,FALSE)</f>
        <v>0</v>
      </c>
      <c r="M70" s="252">
        <f>VLOOKUP(Tableau1[[#This Row],[PARCS]],Tableau25[],13,FALSE)</f>
        <v>1048968.4554776</v>
      </c>
      <c r="N70" s="354">
        <f>VLOOKUP(Tableau1[[#This Row],[PARCS]],Tableau254[],10,FALSE)</f>
        <v>2847.6146666666664</v>
      </c>
      <c r="O70" s="252">
        <f>VLOOKUP(Tableau1[[#This Row],[PARCS]],Tableau254[],12,FALSE)</f>
        <v>0</v>
      </c>
      <c r="P70" s="252">
        <f>VLOOKUP(Tableau1[[#This Row],[PARCS]],Tableau254[],13,FALSE)</f>
        <v>1085097.8068066665</v>
      </c>
      <c r="Q70" s="354">
        <f>VLOOKUP(Tableau1[[#This Row],[PARCS]],Tableau2546[],10,FALSE)</f>
        <v>2738.0118369875026</v>
      </c>
      <c r="R70" s="252">
        <f>VLOOKUP(Tableau1[[#This Row],[PARCS]],Tableau2546[],12,FALSE)</f>
        <v>0</v>
      </c>
      <c r="S70" s="355">
        <f>VLOOKUP(Tableau1[[#This Row],[PARCS]],Tableau2546[],13,FALSE)</f>
        <v>1069416.4280568545</v>
      </c>
      <c r="T70" s="252">
        <f t="shared" ref="T70:T101" si="6">P70-J70</f>
        <v>40814.66680666653</v>
      </c>
      <c r="U70" s="351">
        <f t="shared" ref="U70:U101" si="7">IFERROR((P70-J70)/J70,"")</f>
        <v>3.9083908609945123E-2</v>
      </c>
      <c r="V70" s="252">
        <f>Tableau1[[#This Row],[CA7]]-Tableau1[[#This Row],[CA4]]</f>
        <v>-15681.378749812022</v>
      </c>
      <c r="W70" s="351">
        <f>(Tableau1[[#This Row],[CA7]]-Tableau1[[#This Row],[CA4]])/Tableau1[[#This Row],[CA4]]</f>
        <v>-1.445158090952256E-2</v>
      </c>
    </row>
    <row r="71" spans="1:24" ht="15.75" customHeight="1">
      <c r="A71" s="345" t="s">
        <v>504</v>
      </c>
      <c r="B71" s="346" t="str">
        <f>VLOOKUP(Tableau1[[#This Row],[PARCS]],Tableau106[],3,FALSE)</f>
        <v>A418</v>
      </c>
      <c r="C71" s="346" t="str">
        <f>VLOOKUP(Tableau1[[#This Row],[PARCS]],Tableau106[],2,FALSE)</f>
        <v>FR78E01E</v>
      </c>
      <c r="D71" s="352" t="str">
        <f>VLOOKUP(Tableau1[[#This Row],[PARCS]],Tableau106[],8,FALSE)</f>
        <v>EOLIEN</v>
      </c>
      <c r="E71" s="352" t="str">
        <f>VLOOKUP(A71,Tableau106[],6,FALSE)</f>
        <v>N</v>
      </c>
      <c r="F71" s="353" t="str">
        <f>VLOOKUP(Tableau1[[#This Row],[PARCS]],Tableau106[],5,FALSE)</f>
        <v>ALVI</v>
      </c>
      <c r="G71" s="346" t="str">
        <f>VLOOKUP(Tableau1[[#This Row],[PARCS]],Tableau106[],7,FALSE)</f>
        <v>GROUPE</v>
      </c>
      <c r="H71" s="346" t="str">
        <f>VLOOKUP(Tableau1[[#This Row],[PARCS]],Tableau106[],9,FALSE)</f>
        <v>AyB</v>
      </c>
      <c r="I71" s="347">
        <v>38850.004000000001</v>
      </c>
      <c r="J71" s="348">
        <v>3328519.53</v>
      </c>
      <c r="K71" s="354">
        <f>VLOOKUP(Tableau1[[#This Row],[PARCS]],Tableau25[],10,FALSE)</f>
        <v>40210</v>
      </c>
      <c r="L71" s="252">
        <f>VLOOKUP(Tableau1[[#This Row],[PARCS]],Tableau25[],12,FALSE)</f>
        <v>0</v>
      </c>
      <c r="M71" s="252">
        <f>VLOOKUP(Tableau1[[#This Row],[PARCS]],Tableau25[],13,FALSE)</f>
        <v>3530053.560232</v>
      </c>
      <c r="N71" s="354">
        <f>VLOOKUP(Tableau1[[#This Row],[PARCS]],Tableau254[],10,FALSE)</f>
        <v>42166.216999999997</v>
      </c>
      <c r="O71" s="252">
        <f>VLOOKUP(Tableau1[[#This Row],[PARCS]],Tableau254[],12,FALSE)</f>
        <v>0</v>
      </c>
      <c r="P71" s="252">
        <f>VLOOKUP(Tableau1[[#This Row],[PARCS]],Tableau254[],13,FALSE)</f>
        <v>3779442.3621439999</v>
      </c>
      <c r="Q71" s="354">
        <f>VLOOKUP(Tableau1[[#This Row],[PARCS]],Tableau2546[],10,FALSE)</f>
        <v>40210</v>
      </c>
      <c r="R71" s="252">
        <f>VLOOKUP(Tableau1[[#This Row],[PARCS]],Tableau2546[],12,FALSE)</f>
        <v>0</v>
      </c>
      <c r="S71" s="355">
        <f>VLOOKUP(Tableau1[[#This Row],[PARCS]],Tableau2546[],13,FALSE)</f>
        <v>3694205.2879999997</v>
      </c>
      <c r="T71" s="252">
        <f t="shared" si="6"/>
        <v>450922.8321440001</v>
      </c>
      <c r="U71" s="351">
        <f t="shared" si="7"/>
        <v>0.13547249102185682</v>
      </c>
      <c r="V71" s="252">
        <f>Tableau1[[#This Row],[CA7]]-Tableau1[[#This Row],[CA4]]</f>
        <v>-85237.074144000188</v>
      </c>
      <c r="W71" s="351">
        <f>(Tableau1[[#This Row],[CA7]]-Tableau1[[#This Row],[CA4]])/Tableau1[[#This Row],[CA4]]</f>
        <v>-2.2552817579058661E-2</v>
      </c>
    </row>
    <row r="72" spans="1:24" ht="15.75" customHeight="1">
      <c r="A72" s="345" t="s">
        <v>505</v>
      </c>
      <c r="B72" s="346" t="str">
        <f>VLOOKUP(Tableau1[[#This Row],[PARCS]],Tableau106[],3,FALSE)</f>
        <v>A237</v>
      </c>
      <c r="C72" s="346" t="str">
        <f>VLOOKUP(Tableau1[[#This Row],[PARCS]],Tableau106[],2,FALSE)</f>
        <v>FR23S01E</v>
      </c>
      <c r="D72" s="352" t="str">
        <f>VLOOKUP(Tableau1[[#This Row],[PARCS]],Tableau106[],8,FALSE)</f>
        <v>SOLAIRE</v>
      </c>
      <c r="E72" s="352" t="str">
        <f>VLOOKUP(A72,Tableau106[],6,FALSE)</f>
        <v>S</v>
      </c>
      <c r="F72" s="353" t="str">
        <f>VLOOKUP(Tableau1[[#This Row],[PARCS]],Tableau106[],5,FALSE)</f>
        <v>GDGT</v>
      </c>
      <c r="G72" s="346" t="str">
        <f>VLOOKUP(Tableau1[[#This Row],[PARCS]],Tableau106[],7,FALSE)</f>
        <v>GROUPE</v>
      </c>
      <c r="H72" s="346" t="str">
        <f>VLOOKUP(Tableau1[[#This Row],[PARCS]],Tableau106[],9,FALSE)</f>
        <v>ArB</v>
      </c>
      <c r="I72" s="347">
        <v>18459.802</v>
      </c>
      <c r="J72" s="348">
        <v>1209293.19</v>
      </c>
      <c r="K72" s="354">
        <f>VLOOKUP(Tableau1[[#This Row],[PARCS]],Tableau25[],10,FALSE)</f>
        <v>15730</v>
      </c>
      <c r="L72" s="252">
        <f>VLOOKUP(Tableau1[[#This Row],[PARCS]],Tableau25[],12,FALSE)</f>
        <v>0</v>
      </c>
      <c r="M72" s="252">
        <f>VLOOKUP(Tableau1[[#This Row],[PARCS]],Tableau25[],13,FALSE)</f>
        <v>949538.66893599997</v>
      </c>
      <c r="N72" s="354">
        <f>VLOOKUP(Tableau1[[#This Row],[PARCS]],Tableau254[],10,FALSE)</f>
        <v>15658.391</v>
      </c>
      <c r="O72" s="252">
        <f>VLOOKUP(Tableau1[[#This Row],[PARCS]],Tableau254[],12,FALSE)</f>
        <v>0</v>
      </c>
      <c r="P72" s="252">
        <f>VLOOKUP(Tableau1[[#This Row],[PARCS]],Tableau254[],13,FALSE)</f>
        <v>938376.05584799999</v>
      </c>
      <c r="Q72" s="354">
        <f>VLOOKUP(Tableau1[[#This Row],[PARCS]],Tableau2546[],10,FALSE)</f>
        <v>15217</v>
      </c>
      <c r="R72" s="252">
        <f>VLOOKUP(Tableau1[[#This Row],[PARCS]],Tableau2546[],12,FALSE)</f>
        <v>0</v>
      </c>
      <c r="S72" s="355">
        <f>VLOOKUP(Tableau1[[#This Row],[PARCS]],Tableau2546[],13,FALSE)</f>
        <v>934722.48539999989</v>
      </c>
      <c r="T72" s="252">
        <f t="shared" si="6"/>
        <v>-270917.13415199996</v>
      </c>
      <c r="U72" s="351">
        <f t="shared" si="7"/>
        <v>-0.22402932257643821</v>
      </c>
      <c r="V72" s="252">
        <f>Tableau1[[#This Row],[CA7]]-Tableau1[[#This Row],[CA4]]</f>
        <v>-3653.5704480001004</v>
      </c>
      <c r="W72" s="351">
        <f>(Tableau1[[#This Row],[CA7]]-Tableau1[[#This Row],[CA4]])/Tableau1[[#This Row],[CA4]]</f>
        <v>-3.8935034895987508E-3</v>
      </c>
    </row>
    <row r="73" spans="1:24" ht="15.75" customHeight="1">
      <c r="A73" s="345" t="s">
        <v>506</v>
      </c>
      <c r="B73" s="346" t="str">
        <f>VLOOKUP(Tableau1[[#This Row],[PARCS]],Tableau106[],3,FALSE)</f>
        <v>A541</v>
      </c>
      <c r="C73" s="346" t="str">
        <f>VLOOKUP(Tableau1[[#This Row],[PARCS]],Tableau106[],2,FALSE)</f>
        <v>FR55E03E</v>
      </c>
      <c r="D73" s="352" t="str">
        <f>VLOOKUP(Tableau1[[#This Row],[PARCS]],Tableau106[],8,FALSE)</f>
        <v>EOLIEN</v>
      </c>
      <c r="E73" s="352" t="str">
        <f>VLOOKUP(A73,Tableau106[],6,FALSE)</f>
        <v>N</v>
      </c>
      <c r="F73" s="353" t="str">
        <f>VLOOKUP(Tableau1[[#This Row],[PARCS]],Tableau106[],5,FALSE)</f>
        <v>ERIZ</v>
      </c>
      <c r="G73" s="346" t="str">
        <f>VLOOKUP(Tableau1[[#This Row],[PARCS]],Tableau106[],7,FALSE)</f>
        <v>EGM</v>
      </c>
      <c r="H73" s="346" t="str">
        <f>VLOOKUP(Tableau1[[#This Row],[PARCS]],Tableau106[],9,FALSE)</f>
        <v>MaA</v>
      </c>
      <c r="I73" s="347">
        <v>19875.009999999998</v>
      </c>
      <c r="J73" s="348">
        <v>2933068.2</v>
      </c>
      <c r="K73" s="354">
        <f>VLOOKUP(Tableau1[[#This Row],[PARCS]],Tableau25[],10,FALSE)</f>
        <v>18951</v>
      </c>
      <c r="L73" s="252">
        <f>VLOOKUP(Tableau1[[#This Row],[PARCS]],Tableau25[],12,FALSE)</f>
        <v>0</v>
      </c>
      <c r="M73" s="252">
        <f>VLOOKUP(Tableau1[[#This Row],[PARCS]],Tableau25[],13,FALSE)</f>
        <v>4178308.8996000001</v>
      </c>
      <c r="N73" s="354">
        <f>VLOOKUP(Tableau1[[#This Row],[PARCS]],Tableau254[],10,FALSE)</f>
        <v>19818.014056275006</v>
      </c>
      <c r="O73" s="252">
        <f>VLOOKUP(Tableau1[[#This Row],[PARCS]],Tableau254[],12,FALSE)</f>
        <v>0</v>
      </c>
      <c r="P73" s="252">
        <f>VLOOKUP(Tableau1[[#This Row],[PARCS]],Tableau254[],13,FALSE)</f>
        <v>3334409.6010886515</v>
      </c>
      <c r="Q73" s="354">
        <f>VLOOKUP(Tableau1[[#This Row],[PARCS]],Tableau2546[],10,FALSE)</f>
        <v>18951</v>
      </c>
      <c r="R73" s="252">
        <f>VLOOKUP(Tableau1[[#This Row],[PARCS]],Tableau2546[],12,FALSE)</f>
        <v>0</v>
      </c>
      <c r="S73" s="355">
        <f>VLOOKUP(Tableau1[[#This Row],[PARCS]],Tableau2546[],13,FALSE)</f>
        <v>3268246.5596737498</v>
      </c>
      <c r="T73" s="252">
        <f t="shared" si="6"/>
        <v>401341.40108865127</v>
      </c>
      <c r="U73" s="351">
        <f t="shared" si="7"/>
        <v>0.13683330005372915</v>
      </c>
      <c r="V73" s="252">
        <f>Tableau1[[#This Row],[CA7]]-Tableau1[[#This Row],[CA4]]</f>
        <v>-66163.041414901614</v>
      </c>
      <c r="W73" s="351">
        <f>(Tableau1[[#This Row],[CA7]]-Tableau1[[#This Row],[CA4]])/Tableau1[[#This Row],[CA4]]</f>
        <v>-1.9842505669759359E-2</v>
      </c>
    </row>
    <row r="74" spans="1:24" ht="15.75" customHeight="1">
      <c r="A74" s="345" t="s">
        <v>507</v>
      </c>
      <c r="B74" s="346" t="str">
        <f>VLOOKUP(Tableau1[[#This Row],[PARCS]],Tableau106[],3,FALSE)</f>
        <v>A286</v>
      </c>
      <c r="C74" s="346" t="str">
        <f>VLOOKUP(Tableau1[[#This Row],[PARCS]],Tableau106[],2,FALSE)</f>
        <v>FR28E03E</v>
      </c>
      <c r="D74" s="352" t="str">
        <f>VLOOKUP(Tableau1[[#This Row],[PARCS]],Tableau106[],8,FALSE)</f>
        <v>EOLIEN</v>
      </c>
      <c r="E74" s="352" t="str">
        <f>VLOOKUP(A74,Tableau106[],6,FALSE)</f>
        <v>N</v>
      </c>
      <c r="F74" s="353" t="str">
        <f>VLOOKUP(Tableau1[[#This Row],[PARCS]],Tableau106[],5,FALSE)</f>
        <v>FOGU</v>
      </c>
      <c r="G74" s="346" t="str">
        <f>VLOOKUP(Tableau1[[#This Row],[PARCS]],Tableau106[],7,FALSE)</f>
        <v>GROUPE</v>
      </c>
      <c r="H74" s="346" t="str">
        <f>VLOOKUP(Tableau1[[#This Row],[PARCS]],Tableau106[],9,FALSE)</f>
        <v>NiL</v>
      </c>
      <c r="I74" s="347">
        <v>30161.753000000001</v>
      </c>
      <c r="J74" s="348">
        <v>2265840.56</v>
      </c>
      <c r="K74" s="354">
        <f>VLOOKUP(Tableau1[[#This Row],[PARCS]],Tableau25[],10,FALSE)</f>
        <v>27256</v>
      </c>
      <c r="L74" s="252">
        <f>VLOOKUP(Tableau1[[#This Row],[PARCS]],Tableau25[],12,FALSE)</f>
        <v>0</v>
      </c>
      <c r="M74" s="252">
        <f>VLOOKUP(Tableau1[[#This Row],[PARCS]],Tableau25[],13,FALSE)</f>
        <v>2130014.6438079998</v>
      </c>
      <c r="N74" s="354">
        <f>VLOOKUP(Tableau1[[#This Row],[PARCS]],Tableau254[],10,FALSE)</f>
        <v>32662.276000000002</v>
      </c>
      <c r="O74" s="252">
        <f>VLOOKUP(Tableau1[[#This Row],[PARCS]],Tableau254[],12,FALSE)</f>
        <v>0</v>
      </c>
      <c r="P74" s="252">
        <f>VLOOKUP(Tableau1[[#This Row],[PARCS]],Tableau254[],13,FALSE)</f>
        <v>2583553.3693240001</v>
      </c>
      <c r="Q74" s="354">
        <f>VLOOKUP(Tableau1[[#This Row],[PARCS]],Tableau2546[],10,FALSE)</f>
        <v>27256</v>
      </c>
      <c r="R74" s="252">
        <f>VLOOKUP(Tableau1[[#This Row],[PARCS]],Tableau2546[],12,FALSE)</f>
        <v>0</v>
      </c>
      <c r="S74" s="355">
        <f>VLOOKUP(Tableau1[[#This Row],[PARCS]],Tableau2546[],13,FALSE)</f>
        <v>2209820.4026000001</v>
      </c>
      <c r="T74" s="252">
        <f t="shared" si="6"/>
        <v>317712.80932400003</v>
      </c>
      <c r="U74" s="351">
        <f t="shared" si="7"/>
        <v>0.14021851975498223</v>
      </c>
      <c r="V74" s="252">
        <f>Tableau1[[#This Row],[CA7]]-Tableau1[[#This Row],[CA4]]</f>
        <v>-373732.96672399994</v>
      </c>
      <c r="W74" s="351">
        <f>(Tableau1[[#This Row],[CA7]]-Tableau1[[#This Row],[CA4]])/Tableau1[[#This Row],[CA4]]</f>
        <v>-0.14465850450838144</v>
      </c>
    </row>
    <row r="75" spans="1:24" ht="15.75" customHeight="1">
      <c r="A75" s="345" t="s">
        <v>508</v>
      </c>
      <c r="B75" s="346" t="str">
        <f>VLOOKUP(Tableau1[[#This Row],[PARCS]],Tableau106[],3,FALSE)</f>
        <v>F245</v>
      </c>
      <c r="C75" s="346" t="str">
        <f>VLOOKUP(Tableau1[[#This Row],[PARCS]],Tableau106[],2,FALSE)</f>
        <v>FR17E07E</v>
      </c>
      <c r="D75" s="352" t="str">
        <f>VLOOKUP(Tableau1[[#This Row],[PARCS]],Tableau106[],8,FALSE)</f>
        <v>EOLIEN</v>
      </c>
      <c r="E75" s="352" t="str">
        <f>VLOOKUP(A75,Tableau106[],6,FALSE)</f>
        <v>N</v>
      </c>
      <c r="F75" s="353" t="str">
        <f>VLOOKUP(Tableau1[[#This Row],[PARCS]],Tableau106[],5,FALSE)</f>
        <v>ANPA</v>
      </c>
      <c r="G75" s="346" t="str">
        <f>VLOOKUP(Tableau1[[#This Row],[PARCS]],Tableau106[],7,FALSE)</f>
        <v>FUTUREN</v>
      </c>
      <c r="H75" s="346" t="str">
        <f>VLOOKUP(Tableau1[[#This Row],[PARCS]],Tableau106[],9,FALSE)</f>
        <v>KéC</v>
      </c>
      <c r="I75" s="347">
        <v>18602.695</v>
      </c>
      <c r="J75" s="348">
        <v>1718141.1</v>
      </c>
      <c r="K75" s="354">
        <f>VLOOKUP(Tableau1[[#This Row],[PARCS]],Tableau25[],10,FALSE)</f>
        <v>23928</v>
      </c>
      <c r="L75" s="252">
        <f>VLOOKUP(Tableau1[[#This Row],[PARCS]],Tableau25[],12,FALSE)</f>
        <v>0</v>
      </c>
      <c r="M75" s="252">
        <f>VLOOKUP(Tableau1[[#This Row],[PARCS]],Tableau25[],13,FALSE)</f>
        <v>1826326.6137599999</v>
      </c>
      <c r="N75" s="354">
        <f>VLOOKUP(Tableau1[[#This Row],[PARCS]],Tableau254[],10,FALSE)</f>
        <v>25781.358</v>
      </c>
      <c r="O75" s="252">
        <f>VLOOKUP(Tableau1[[#This Row],[PARCS]],Tableau254[],12,FALSE)</f>
        <v>0</v>
      </c>
      <c r="P75" s="252">
        <f>VLOOKUP(Tableau1[[#This Row],[PARCS]],Tableau254[],13,FALSE)</f>
        <v>1965261.3576239999</v>
      </c>
      <c r="Q75" s="354">
        <f>VLOOKUP(Tableau1[[#This Row],[PARCS]],Tableau2546[],10,FALSE)</f>
        <v>23928</v>
      </c>
      <c r="R75" s="252">
        <f>VLOOKUP(Tableau1[[#This Row],[PARCS]],Tableau2546[],12,FALSE)</f>
        <v>0</v>
      </c>
      <c r="S75" s="355">
        <f>VLOOKUP(Tableau1[[#This Row],[PARCS]],Tableau2546[],13,FALSE)</f>
        <v>1869583.1735999999</v>
      </c>
      <c r="T75" s="252">
        <f t="shared" si="6"/>
        <v>247120.25762399985</v>
      </c>
      <c r="U75" s="351">
        <f t="shared" si="7"/>
        <v>0.14383001350936767</v>
      </c>
      <c r="V75" s="252">
        <f>Tableau1[[#This Row],[CA7]]-Tableau1[[#This Row],[CA4]]</f>
        <v>-95678.184024000075</v>
      </c>
      <c r="W75" s="351">
        <f>(Tableau1[[#This Row],[CA7]]-Tableau1[[#This Row],[CA4]])/Tableau1[[#This Row],[CA4]]</f>
        <v>-4.8684712418950199E-2</v>
      </c>
      <c r="X75" s="6" t="s">
        <v>509</v>
      </c>
    </row>
    <row r="76" spans="1:24" ht="15.75" customHeight="1">
      <c r="A76" s="345" t="s">
        <v>510</v>
      </c>
      <c r="B76" s="346" t="str">
        <f>VLOOKUP(Tableau1[[#This Row],[PARCS]],Tableau106[],3,FALSE)</f>
        <v>A540</v>
      </c>
      <c r="C76" s="346" t="str">
        <f>VLOOKUP(Tableau1[[#This Row],[PARCS]],Tableau106[],2,FALSE)</f>
        <v>FR02E03E</v>
      </c>
      <c r="D76" s="352" t="str">
        <f>VLOOKUP(Tableau1[[#This Row],[PARCS]],Tableau106[],8,FALSE)</f>
        <v>EOLIEN</v>
      </c>
      <c r="E76" s="352" t="str">
        <f>VLOOKUP(A76,Tableau106[],6,FALSE)</f>
        <v>N</v>
      </c>
      <c r="F76" s="353" t="str">
        <f>VLOOKUP(Tableau1[[#This Row],[PARCS]],Tableau106[],5,FALSE)</f>
        <v>BRIY</v>
      </c>
      <c r="G76" s="346" t="str">
        <f>VLOOKUP(Tableau1[[#This Row],[PARCS]],Tableau106[],7,FALSE)</f>
        <v>EGM</v>
      </c>
      <c r="H76" s="346" t="str">
        <f>VLOOKUP(Tableau1[[#This Row],[PARCS]],Tableau106[],9,FALSE)</f>
        <v>NoS</v>
      </c>
      <c r="I76" s="347">
        <v>10571.223</v>
      </c>
      <c r="J76" s="348">
        <v>1783601.3</v>
      </c>
      <c r="K76" s="354">
        <f>VLOOKUP(Tableau1[[#This Row],[PARCS]],Tableau25[],10,FALSE)</f>
        <v>11857</v>
      </c>
      <c r="L76" s="252">
        <f>VLOOKUP(Tableau1[[#This Row],[PARCS]],Tableau25[],12,FALSE)</f>
        <v>0</v>
      </c>
      <c r="M76" s="252">
        <f>VLOOKUP(Tableau1[[#This Row],[PARCS]],Tableau25[],13,FALSE)</f>
        <v>2614226.6172000002</v>
      </c>
      <c r="N76" s="354">
        <f>VLOOKUP(Tableau1[[#This Row],[PARCS]],Tableau254[],10,FALSE)</f>
        <v>12239.974</v>
      </c>
      <c r="O76" s="252">
        <f>VLOOKUP(Tableau1[[#This Row],[PARCS]],Tableau254[],12,FALSE)</f>
        <v>0</v>
      </c>
      <c r="P76" s="252">
        <f>VLOOKUP(Tableau1[[#This Row],[PARCS]],Tableau254[],13,FALSE)</f>
        <v>2058347.16168465</v>
      </c>
      <c r="Q76" s="354">
        <f>VLOOKUP(Tableau1[[#This Row],[PARCS]],Tableau2546[],10,FALSE)</f>
        <v>11857</v>
      </c>
      <c r="R76" s="252">
        <f>VLOOKUP(Tableau1[[#This Row],[PARCS]],Tableau2546[],12,FALSE)</f>
        <v>0</v>
      </c>
      <c r="S76" s="355">
        <f>VLOOKUP(Tableau1[[#This Row],[PARCS]],Tableau2546[],13,FALSE)</f>
        <v>2043792.564714375</v>
      </c>
      <c r="T76" s="252">
        <f t="shared" si="6"/>
        <v>274745.86168464995</v>
      </c>
      <c r="U76" s="351">
        <f t="shared" si="7"/>
        <v>0.15403995370750737</v>
      </c>
      <c r="V76" s="252">
        <f>Tableau1[[#This Row],[CA7]]-Tableau1[[#This Row],[CA4]]</f>
        <v>-14554.596970275044</v>
      </c>
      <c r="W76" s="351">
        <f>(Tableau1[[#This Row],[CA7]]-Tableau1[[#This Row],[CA4]])/Tableau1[[#This Row],[CA4]]</f>
        <v>-7.0710117521491679E-3</v>
      </c>
    </row>
    <row r="77" spans="1:24" ht="15.75" customHeight="1">
      <c r="A77" s="345" t="s">
        <v>511</v>
      </c>
      <c r="B77" s="346" t="str">
        <f>VLOOKUP(Tableau1[[#This Row],[PARCS]],Tableau106[],3,FALSE)</f>
        <v>A540</v>
      </c>
      <c r="C77" s="346" t="str">
        <f>VLOOKUP(Tableau1[[#This Row],[PARCS]],Tableau106[],2,FALSE)</f>
        <v>FR02E04E</v>
      </c>
      <c r="D77" s="352" t="str">
        <f>VLOOKUP(Tableau1[[#This Row],[PARCS]],Tableau106[],8,FALSE)</f>
        <v>EOLIEN</v>
      </c>
      <c r="E77" s="352" t="str">
        <f>VLOOKUP(A77,Tableau106[],6,FALSE)</f>
        <v>N</v>
      </c>
      <c r="F77" s="353" t="str">
        <f>VLOOKUP(Tableau1[[#This Row],[PARCS]],Tableau106[],5,FALSE)</f>
        <v>RIBE</v>
      </c>
      <c r="G77" s="346" t="str">
        <f>VLOOKUP(Tableau1[[#This Row],[PARCS]],Tableau106[],7,FALSE)</f>
        <v>EGM</v>
      </c>
      <c r="H77" s="346" t="str">
        <f>VLOOKUP(Tableau1[[#This Row],[PARCS]],Tableau106[],9,FALSE)</f>
        <v>NoS</v>
      </c>
      <c r="I77" s="347">
        <v>18861.870999999999</v>
      </c>
      <c r="J77" s="348">
        <v>3125695.81</v>
      </c>
      <c r="K77" s="354">
        <f>VLOOKUP(Tableau1[[#This Row],[PARCS]],Tableau25[],10,FALSE)</f>
        <v>20799.791999999998</v>
      </c>
      <c r="L77" s="252">
        <f>VLOOKUP(Tableau1[[#This Row],[PARCS]],Tableau25[],12,FALSE)</f>
        <v>0</v>
      </c>
      <c r="M77" s="252">
        <f>VLOOKUP(Tableau1[[#This Row],[PARCS]],Tableau25[],13,FALSE)</f>
        <v>4585929.8202431994</v>
      </c>
      <c r="N77" s="354">
        <f>VLOOKUP(Tableau1[[#This Row],[PARCS]],Tableau254[],10,FALSE)</f>
        <v>21509.261521722976</v>
      </c>
      <c r="O77" s="252">
        <f>VLOOKUP(Tableau1[[#This Row],[PARCS]],Tableau254[],12,FALSE)</f>
        <v>0</v>
      </c>
      <c r="P77" s="252">
        <f>VLOOKUP(Tableau1[[#This Row],[PARCS]],Tableau254[],13,FALSE)</f>
        <v>3616909.2295206967</v>
      </c>
      <c r="Q77" s="354">
        <f>VLOOKUP(Tableau1[[#This Row],[PARCS]],Tableau2546[],10,FALSE)</f>
        <v>20799.792000000001</v>
      </c>
      <c r="R77" s="252">
        <f>VLOOKUP(Tableau1[[#This Row],[PARCS]],Tableau2546[],12,FALSE)</f>
        <v>0</v>
      </c>
      <c r="S77" s="355">
        <f>VLOOKUP(Tableau1[[#This Row],[PARCS]],Tableau2546[],13,FALSE)</f>
        <v>3585047.9371621199</v>
      </c>
      <c r="T77" s="252">
        <f t="shared" si="6"/>
        <v>491213.41952069663</v>
      </c>
      <c r="U77" s="351">
        <f t="shared" si="7"/>
        <v>0.15715330261798463</v>
      </c>
      <c r="V77" s="252">
        <f>Tableau1[[#This Row],[CA7]]-Tableau1[[#This Row],[CA4]]</f>
        <v>-31861.292358576786</v>
      </c>
      <c r="W77" s="351">
        <f>(Tableau1[[#This Row],[CA7]]-Tableau1[[#This Row],[CA4]])/Tableau1[[#This Row],[CA4]]</f>
        <v>-8.8089831225316544E-3</v>
      </c>
    </row>
    <row r="78" spans="1:24" ht="15.75" customHeight="1">
      <c r="A78" s="345" t="s">
        <v>512</v>
      </c>
      <c r="B78" s="346" t="str">
        <f>VLOOKUP(Tableau1[[#This Row],[PARCS]],Tableau106[],3,FALSE)</f>
        <v>A551</v>
      </c>
      <c r="C78" s="346" t="str">
        <f>VLOOKUP(Tableau1[[#This Row],[PARCS]],Tableau106[],2,FALSE)</f>
        <v>FR59E02E</v>
      </c>
      <c r="D78" s="352" t="str">
        <f>VLOOKUP(Tableau1[[#This Row],[PARCS]],Tableau106[],8,FALSE)</f>
        <v>EOLIEN</v>
      </c>
      <c r="E78" s="352" t="str">
        <f>VLOOKUP(A78,Tableau106[],6,FALSE)</f>
        <v>N</v>
      </c>
      <c r="F78" s="353" t="str">
        <f>VLOOKUP(Tableau1[[#This Row],[PARCS]],Tableau106[],5,FALSE)</f>
        <v>PLES</v>
      </c>
      <c r="G78" s="346" t="str">
        <f>VLOOKUP(Tableau1[[#This Row],[PARCS]],Tableau106[],7,FALSE)</f>
        <v>ENDF</v>
      </c>
      <c r="H78" s="346" t="str">
        <f>VLOOKUP(Tableau1[[#This Row],[PARCS]],Tableau106[],9,FALSE)</f>
        <v>AnN</v>
      </c>
      <c r="I78" s="347">
        <v>24625.834999999999</v>
      </c>
      <c r="J78" s="348">
        <v>2259712.9500000002</v>
      </c>
      <c r="K78" s="354">
        <f>VLOOKUP(Tableau1[[#This Row],[PARCS]],Tableau25[],10,FALSE)</f>
        <v>27040.81871267363</v>
      </c>
      <c r="L78" s="252">
        <f>VLOOKUP(Tableau1[[#This Row],[PARCS]],Tableau25[],12,FALSE)</f>
        <v>0</v>
      </c>
      <c r="M78" s="252">
        <f>VLOOKUP(Tableau1[[#This Row],[PARCS]],Tableau25[],13,FALSE)</f>
        <v>2541832.9569501514</v>
      </c>
      <c r="N78" s="354">
        <f>VLOOKUP(Tableau1[[#This Row],[PARCS]],Tableau254[],10,FALSE)</f>
        <v>27300.305326673461</v>
      </c>
      <c r="O78" s="252">
        <f>VLOOKUP(Tableau1[[#This Row],[PARCS]],Tableau254[],12,FALSE)</f>
        <v>0</v>
      </c>
      <c r="P78" s="252">
        <f>VLOOKUP(Tableau1[[#This Row],[PARCS]],Tableau254[],13,FALSE)</f>
        <v>2615396.5506006442</v>
      </c>
      <c r="Q78" s="354">
        <f>VLOOKUP(Tableau1[[#This Row],[PARCS]],Tableau2546[],10,FALSE)</f>
        <v>26528.043000000001</v>
      </c>
      <c r="R78" s="252">
        <f>VLOOKUP(Tableau1[[#This Row],[PARCS]],Tableau2546[],12,FALSE)</f>
        <v>0</v>
      </c>
      <c r="S78" s="355">
        <f>VLOOKUP(Tableau1[[#This Row],[PARCS]],Tableau2546[],13,FALSE)</f>
        <v>2604948.373629075</v>
      </c>
      <c r="T78" s="252">
        <f t="shared" si="6"/>
        <v>355683.60060064401</v>
      </c>
      <c r="U78" s="351">
        <f t="shared" si="7"/>
        <v>0.15740211631775797</v>
      </c>
      <c r="V78" s="252">
        <f>Tableau1[[#This Row],[CA7]]-Tableau1[[#This Row],[CA4]]</f>
        <v>-10448.176971569192</v>
      </c>
      <c r="W78" s="351">
        <f>(Tableau1[[#This Row],[CA7]]-Tableau1[[#This Row],[CA4]])/Tableau1[[#This Row],[CA4]]</f>
        <v>-3.9948729645489876E-3</v>
      </c>
    </row>
    <row r="79" spans="1:24" ht="15.75" customHeight="1">
      <c r="A79" s="345" t="s">
        <v>513</v>
      </c>
      <c r="B79" s="346" t="str">
        <f>VLOOKUP(Tableau1[[#This Row],[PARCS]],Tableau106[],3,FALSE)</f>
        <v>A540</v>
      </c>
      <c r="C79" s="346" t="str">
        <f>VLOOKUP(Tableau1[[#This Row],[PARCS]],Tableau106[],2,FALSE)</f>
        <v>FR15E03E</v>
      </c>
      <c r="D79" s="352" t="str">
        <f>VLOOKUP(Tableau1[[#This Row],[PARCS]],Tableau106[],8,FALSE)</f>
        <v>EOLIEN</v>
      </c>
      <c r="E79" s="352" t="str">
        <f>VLOOKUP(A79,Tableau106[],6,FALSE)</f>
        <v>S</v>
      </c>
      <c r="F79" s="353" t="str">
        <f>VLOOKUP(Tableau1[[#This Row],[PARCS]],Tableau106[],5,FALSE)</f>
        <v>MTL1</v>
      </c>
      <c r="G79" s="346" t="str">
        <f>VLOOKUP(Tableau1[[#This Row],[PARCS]],Tableau106[],7,FALSE)</f>
        <v>EGM</v>
      </c>
      <c r="H79" s="346" t="str">
        <f>VLOOKUP(Tableau1[[#This Row],[PARCS]],Tableau106[],9,FALSE)</f>
        <v>AuE</v>
      </c>
      <c r="I79" s="347">
        <v>23598.353999999999</v>
      </c>
      <c r="J79" s="348">
        <v>3882895.22</v>
      </c>
      <c r="K79" s="354">
        <f>VLOOKUP(Tableau1[[#This Row],[PARCS]],Tableau25[],10,FALSE)</f>
        <v>23414.287</v>
      </c>
      <c r="L79" s="252">
        <f>VLOOKUP(Tableau1[[#This Row],[PARCS]],Tableau25[],12,FALSE)</f>
        <v>0</v>
      </c>
      <c r="M79" s="252">
        <f>VLOOKUP(Tableau1[[#This Row],[PARCS]],Tableau25[],13,FALSE)</f>
        <v>5162372.6320452001</v>
      </c>
      <c r="N79" s="354">
        <f>VLOOKUP(Tableau1[[#This Row],[PARCS]],Tableau254[],10,FALSE)</f>
        <v>22746.309653997796</v>
      </c>
      <c r="O79" s="252">
        <f>VLOOKUP(Tableau1[[#This Row],[PARCS]],Tableau254[],12,FALSE)</f>
        <v>0</v>
      </c>
      <c r="P79" s="252">
        <f>VLOOKUP(Tableau1[[#This Row],[PARCS]],Tableau254[],13,FALSE)</f>
        <v>3829590.8709989823</v>
      </c>
      <c r="Q79" s="354">
        <f>VLOOKUP(Tableau1[[#This Row],[PARCS]],Tableau2546[],10,FALSE)</f>
        <v>23414.287</v>
      </c>
      <c r="R79" s="252">
        <f>VLOOKUP(Tableau1[[#This Row],[PARCS]],Tableau2546[],12,FALSE)</f>
        <v>0</v>
      </c>
      <c r="S79" s="355">
        <f>VLOOKUP(Tableau1[[#This Row],[PARCS]],Tableau2546[],13,FALSE)</f>
        <v>4040603.4929560707</v>
      </c>
      <c r="T79" s="252">
        <f t="shared" si="6"/>
        <v>-53304.349001017865</v>
      </c>
      <c r="U79" s="351">
        <f t="shared" si="7"/>
        <v>-1.37279905794156E-2</v>
      </c>
      <c r="V79" s="252">
        <f>Tableau1[[#This Row],[CA7]]-Tableau1[[#This Row],[CA4]]</f>
        <v>211012.62195708835</v>
      </c>
      <c r="W79" s="351">
        <f>(Tableau1[[#This Row],[CA7]]-Tableau1[[#This Row],[CA4]])/Tableau1[[#This Row],[CA4]]</f>
        <v>5.5100565325413957E-2</v>
      </c>
      <c r="X79" s="6" t="s">
        <v>514</v>
      </c>
    </row>
    <row r="80" spans="1:24" ht="15.75" customHeight="1">
      <c r="A80" s="345" t="s">
        <v>515</v>
      </c>
      <c r="B80" s="346" t="str">
        <f>VLOOKUP(Tableau1[[#This Row],[PARCS]],Tableau106[],3,FALSE)</f>
        <v>A894</v>
      </c>
      <c r="C80" s="346" t="str">
        <f>VLOOKUP(Tableau1[[#This Row],[PARCS]],Tableau106[],2,FALSE)</f>
        <v>FR07E99E</v>
      </c>
      <c r="D80" s="352" t="str">
        <f>VLOOKUP(Tableau1[[#This Row],[PARCS]],Tableau106[],8,FALSE)</f>
        <v>EOLIEN</v>
      </c>
      <c r="E80" s="352" t="str">
        <f>VLOOKUP(A80,Tableau106[],6,FALSE)</f>
        <v>S</v>
      </c>
      <c r="F80" s="353" t="str">
        <f>VLOOKUP(Tableau1[[#This Row],[PARCS]],Tableau106[],5,FALSE)</f>
        <v>FREY</v>
      </c>
      <c r="G80" s="346" t="str">
        <f>VLOOKUP(Tableau1[[#This Row],[PARCS]],Tableau106[],7,FALSE)</f>
        <v>GROUPE</v>
      </c>
      <c r="H80" s="346" t="str">
        <f>VLOOKUP(Tableau1[[#This Row],[PARCS]],Tableau106[],9,FALSE)</f>
        <v>ThC</v>
      </c>
      <c r="I80" s="347">
        <v>28604.929</v>
      </c>
      <c r="J80" s="348">
        <v>1409043.6</v>
      </c>
      <c r="K80" s="354">
        <f>VLOOKUP(Tableau1[[#This Row],[PARCS]],Tableau25[],10,FALSE)</f>
        <v>28572.981846153845</v>
      </c>
      <c r="L80" s="252">
        <f>VLOOKUP(Tableau1[[#This Row],[PARCS]],Tableau25[],12,FALSE)</f>
        <v>0</v>
      </c>
      <c r="M80" s="252">
        <f>VLOOKUP(Tableau1[[#This Row],[PARCS]],Tableau25[],13,FALSE)</f>
        <v>1407219.3559230769</v>
      </c>
      <c r="N80" s="354">
        <f>VLOOKUP(Tableau1[[#This Row],[PARCS]],Tableau254[],10,FALSE)</f>
        <v>28685.455624999999</v>
      </c>
      <c r="O80" s="252">
        <f>VLOOKUP(Tableau1[[#This Row],[PARCS]],Tableau254[],12,FALSE)</f>
        <v>58600</v>
      </c>
      <c r="P80" s="252">
        <f>VLOOKUP(Tableau1[[#This Row],[PARCS]],Tableau254[],13,FALSE)</f>
        <v>1412758.6895312499</v>
      </c>
      <c r="Q80" s="354">
        <f>VLOOKUP(Tableau1[[#This Row],[PARCS]],Tableau2546[],10,FALSE)</f>
        <v>30638.013907703986</v>
      </c>
      <c r="R80" s="252">
        <f>VLOOKUP(Tableau1[[#This Row],[PARCS]],Tableau2546[],12,FALSE)</f>
        <v>0</v>
      </c>
      <c r="S80" s="355">
        <f>VLOOKUP(Tableau1[[#This Row],[PARCS]],Tableau2546[],13,FALSE)</f>
        <v>3063801.3907703985</v>
      </c>
      <c r="T80" s="252">
        <f t="shared" si="6"/>
        <v>3715.0895312498324</v>
      </c>
      <c r="U80" s="351">
        <f t="shared" si="7"/>
        <v>2.6366036730515875E-3</v>
      </c>
      <c r="V80" s="252">
        <f>Tableau1[[#This Row],[CA7]]-Tableau1[[#This Row],[CA4]]</f>
        <v>1651042.7012391486</v>
      </c>
      <c r="W80" s="351">
        <f>(Tableau1[[#This Row],[CA7]]-Tableau1[[#This Row],[CA4]])/Tableau1[[#This Row],[CA4]]</f>
        <v>1.1686657554992359</v>
      </c>
      <c r="X80" s="6" t="s">
        <v>516</v>
      </c>
    </row>
    <row r="81" spans="1:24" ht="15.75" customHeight="1">
      <c r="A81" s="345" t="s">
        <v>517</v>
      </c>
      <c r="B81" s="346" t="str">
        <f>VLOOKUP(Tableau1[[#This Row],[PARCS]],Tableau106[],3,FALSE)</f>
        <v>A125</v>
      </c>
      <c r="C81" s="346" t="str">
        <f>VLOOKUP(Tableau1[[#This Row],[PARCS]],Tableau106[],2,FALSE)</f>
        <v>FR81E99E</v>
      </c>
      <c r="D81" s="352" t="str">
        <f>VLOOKUP(Tableau1[[#This Row],[PARCS]],Tableau106[],8,FALSE)</f>
        <v>EOLIEN</v>
      </c>
      <c r="E81" s="352" t="str">
        <f>VLOOKUP(A81,Tableau106[],6,FALSE)</f>
        <v>S</v>
      </c>
      <c r="F81" s="353" t="str">
        <f>VLOOKUP(Tableau1[[#This Row],[PARCS]],Tableau106[],5,FALSE)</f>
        <v>SAUV</v>
      </c>
      <c r="G81" s="346" t="str">
        <f>VLOOKUP(Tableau1[[#This Row],[PARCS]],Tableau106[],7,FALSE)</f>
        <v>GROUPE</v>
      </c>
      <c r="H81" s="346" t="str">
        <f>VLOOKUP(Tableau1[[#This Row],[PARCS]],Tableau106[],9,FALSE)</f>
        <v>ThC</v>
      </c>
      <c r="I81" s="347">
        <v>35395.748</v>
      </c>
      <c r="J81" s="348">
        <v>1893672.56</v>
      </c>
      <c r="K81" s="354">
        <f>VLOOKUP(Tableau1[[#This Row],[PARCS]],Tableau25[],10,FALSE)</f>
        <v>44436.2497</v>
      </c>
      <c r="L81" s="252">
        <f>VLOOKUP(Tableau1[[#This Row],[PARCS]],Tableau25[],12,FALSE)</f>
        <v>0</v>
      </c>
      <c r="M81" s="252">
        <f>VLOOKUP(Tableau1[[#This Row],[PARCS]],Tableau25[],13,FALSE)</f>
        <v>2377339.3589499998</v>
      </c>
      <c r="N81" s="354">
        <f>VLOOKUP(Tableau1[[#This Row],[PARCS]],Tableau254[],10,FALSE)</f>
        <v>36570.752692307695</v>
      </c>
      <c r="O81" s="252">
        <f>VLOOKUP(Tableau1[[#This Row],[PARCS]],Tableau254[],12,FALSE)</f>
        <v>417665</v>
      </c>
      <c r="P81" s="252">
        <f>VLOOKUP(Tableau1[[#This Row],[PARCS]],Tableau254[],13,FALSE)</f>
        <v>1956535.2690384616</v>
      </c>
      <c r="Q81" s="354">
        <f>VLOOKUP(Tableau1[[#This Row],[PARCS]],Tableau2546[],10,FALSE)</f>
        <v>48719.883275089946</v>
      </c>
      <c r="R81" s="252">
        <f>VLOOKUP(Tableau1[[#This Row],[PARCS]],Tableau2546[],12,FALSE)</f>
        <v>50000</v>
      </c>
      <c r="S81" s="355">
        <f>VLOOKUP(Tableau1[[#This Row],[PARCS]],Tableau2546[],13,FALSE)</f>
        <v>4871988.3275089944</v>
      </c>
      <c r="T81" s="252">
        <f t="shared" si="6"/>
        <v>62862.709038461559</v>
      </c>
      <c r="U81" s="351">
        <f t="shared" si="7"/>
        <v>3.319618732737066E-2</v>
      </c>
      <c r="V81" s="252">
        <f>Tableau1[[#This Row],[CA7]]-Tableau1[[#This Row],[CA4]]</f>
        <v>2915453.0584705328</v>
      </c>
      <c r="W81" s="351">
        <f>(Tableau1[[#This Row],[CA7]]-Tableau1[[#This Row],[CA4]])/Tableau1[[#This Row],[CA4]]</f>
        <v>1.4901101475688352</v>
      </c>
      <c r="X81" s="6" t="s">
        <v>518</v>
      </c>
    </row>
    <row r="82" spans="1:24" ht="15.75" customHeight="1">
      <c r="A82" s="345" t="s">
        <v>519</v>
      </c>
      <c r="B82" s="346" t="str">
        <f>VLOOKUP(Tableau1[[#This Row],[PARCS]],Tableau106[],3,FALSE)</f>
        <v>A071</v>
      </c>
      <c r="C82" s="346" t="str">
        <f>VLOOKUP(Tableau1[[#This Row],[PARCS]],Tableau106[],2,FALSE)</f>
        <v>FR97S87E</v>
      </c>
      <c r="D82" s="352" t="str">
        <f>VLOOKUP(Tableau1[[#This Row],[PARCS]],Tableau106[],8,FALSE)</f>
        <v>SOLAIRE DOM</v>
      </c>
      <c r="E82" s="352" t="str">
        <f>VLOOKUP(A82,Tableau106[],6,FALSE)</f>
        <v>DOM</v>
      </c>
      <c r="F82" s="353" t="str">
        <f>VLOOKUP(Tableau1[[#This Row],[PARCS]],Tableau106[],5,FALSE)</f>
        <v>ROSE</v>
      </c>
      <c r="G82" s="346" t="str">
        <f>VLOOKUP(Tableau1[[#This Row],[PARCS]],Tableau106[],7,FALSE)</f>
        <v>GROUPE</v>
      </c>
      <c r="H82" s="346" t="str">
        <f>VLOOKUP(Tableau1[[#This Row],[PARCS]],Tableau106[],9,FALSE)</f>
        <v>BéK</v>
      </c>
      <c r="I82" s="347">
        <v>9646.8520000000008</v>
      </c>
      <c r="J82" s="348">
        <v>4889633.0999999996</v>
      </c>
      <c r="K82" s="354">
        <f>VLOOKUP(Tableau1[[#This Row],[PARCS]],Tableau25[],10,FALSE)</f>
        <v>12606</v>
      </c>
      <c r="L82" s="252">
        <f>VLOOKUP(Tableau1[[#This Row],[PARCS]],Tableau25[],12,FALSE)</f>
        <v>0</v>
      </c>
      <c r="M82" s="252">
        <f>VLOOKUP(Tableau1[[#This Row],[PARCS]],Tableau25[],13,FALSE)</f>
        <v>6624294.5476224003</v>
      </c>
      <c r="N82" s="354">
        <f>VLOOKUP(Tableau1[[#This Row],[PARCS]],Tableau254[],10,FALSE)</f>
        <v>11822.40453846154</v>
      </c>
      <c r="O82" s="252">
        <f>VLOOKUP(Tableau1[[#This Row],[PARCS]],Tableau254[],12,FALSE)</f>
        <v>178253</v>
      </c>
      <c r="P82" s="252">
        <f>VLOOKUP(Tableau1[[#This Row],[PARCS]],Tableau254[],13,FALSE)</f>
        <v>6495749.2392304623</v>
      </c>
      <c r="Q82" s="354">
        <f>VLOOKUP(Tableau1[[#This Row],[PARCS]],Tableau2546[],10,FALSE)</f>
        <v>12375.391170319641</v>
      </c>
      <c r="R82" s="252">
        <f>VLOOKUP(Tableau1[[#This Row],[PARCS]],Tableau2546[],12,FALSE)</f>
        <v>0</v>
      </c>
      <c r="S82" s="355">
        <f>VLOOKUP(Tableau1[[#This Row],[PARCS]],Tableau2546[],13,FALSE)</f>
        <v>6969574.036839731</v>
      </c>
      <c r="T82" s="252">
        <f t="shared" si="6"/>
        <v>1606116.1392304627</v>
      </c>
      <c r="U82" s="351">
        <f t="shared" si="7"/>
        <v>0.32847375383450811</v>
      </c>
      <c r="V82" s="252">
        <f>Tableau1[[#This Row],[CA7]]-Tableau1[[#This Row],[CA4]]</f>
        <v>473824.79760926869</v>
      </c>
      <c r="W82" s="351">
        <f>(Tableau1[[#This Row],[CA7]]-Tableau1[[#This Row],[CA4]])/Tableau1[[#This Row],[CA4]]</f>
        <v>7.2943825286180805E-2</v>
      </c>
    </row>
    <row r="83" spans="1:24" ht="15.75" customHeight="1">
      <c r="A83" s="345" t="s">
        <v>520</v>
      </c>
      <c r="B83" s="346" t="str">
        <f>VLOOKUP(Tableau1[[#This Row],[PARCS]],Tableau106[],3,FALSE)</f>
        <v>A257</v>
      </c>
      <c r="C83" s="346" t="str">
        <f>VLOOKUP(Tableau1[[#This Row],[PARCS]],Tableau106[],2,FALSE)</f>
        <v>FR01S06E</v>
      </c>
      <c r="D83" s="352" t="str">
        <f>VLOOKUP(Tableau1[[#This Row],[PARCS]],Tableau106[],8,FALSE)</f>
        <v>SOLAIRE</v>
      </c>
      <c r="E83" s="352" t="str">
        <f>VLOOKUP(A83,Tableau106[],6,FALSE)</f>
        <v>S</v>
      </c>
      <c r="F83" s="353" t="str">
        <f>VLOOKUP(Tableau1[[#This Row],[PARCS]],Tableau106[],5,FALSE)</f>
        <v>LAGN</v>
      </c>
      <c r="G83" s="346" t="str">
        <f>VLOOKUP(Tableau1[[#This Row],[PARCS]],Tableau106[],7,FALSE)</f>
        <v>GROUPE</v>
      </c>
      <c r="H83" s="346" t="str">
        <f>VLOOKUP(Tableau1[[#This Row],[PARCS]],Tableau106[],9,FALSE)</f>
        <v>ArB</v>
      </c>
      <c r="I83" s="347">
        <v>3604.877</v>
      </c>
      <c r="J83" s="348">
        <v>0</v>
      </c>
      <c r="K83" s="354">
        <f>VLOOKUP(Tableau1[[#This Row],[PARCS]],Tableau25[],10,FALSE)</f>
        <v>3094</v>
      </c>
      <c r="L83" s="252">
        <f>VLOOKUP(Tableau1[[#This Row],[PARCS]],Tableau25[],12,FALSE)</f>
        <v>0</v>
      </c>
      <c r="M83" s="252">
        <f>VLOOKUP(Tableau1[[#This Row],[PARCS]],Tableau25[],13,FALSE)</f>
        <v>215315.42032</v>
      </c>
      <c r="N83" s="354">
        <f>VLOOKUP(Tableau1[[#This Row],[PARCS]],Tableau254[],10,FALSE)</f>
        <v>3142.5889999999999</v>
      </c>
      <c r="O83" s="252">
        <f>VLOOKUP(Tableau1[[#This Row],[PARCS]],Tableau254[],12,FALSE)</f>
        <v>0</v>
      </c>
      <c r="P83" s="252">
        <f>VLOOKUP(Tableau1[[#This Row],[PARCS]],Tableau254[],13,FALSE)</f>
        <v>220952.29000099999</v>
      </c>
      <c r="Q83" s="354">
        <f>VLOOKUP(Tableau1[[#This Row],[PARCS]],Tableau2546[],10,FALSE)</f>
        <v>3094</v>
      </c>
      <c r="R83" s="252">
        <f>VLOOKUP(Tableau1[[#This Row],[PARCS]],Tableau2546[],12,FALSE)</f>
        <v>0</v>
      </c>
      <c r="S83" s="355">
        <f>VLOOKUP(Tableau1[[#This Row],[PARCS]],Tableau2546[],13,FALSE)</f>
        <v>222974.44714999996</v>
      </c>
      <c r="T83" s="252">
        <f t="shared" si="6"/>
        <v>220952.29000099999</v>
      </c>
      <c r="U83" s="351" t="str">
        <f t="shared" si="7"/>
        <v/>
      </c>
      <c r="V83" s="252">
        <f>Tableau1[[#This Row],[CA7]]-Tableau1[[#This Row],[CA4]]</f>
        <v>2022.1571489999769</v>
      </c>
      <c r="W83" s="351">
        <f>(Tableau1[[#This Row],[CA7]]-Tableau1[[#This Row],[CA4]])/Tableau1[[#This Row],[CA4]]</f>
        <v>9.1520081054187082E-3</v>
      </c>
    </row>
    <row r="84" spans="1:24" ht="15.75" customHeight="1">
      <c r="A84" s="345" t="s">
        <v>521</v>
      </c>
      <c r="B84" s="346" t="str">
        <f>VLOOKUP(Tableau1[[#This Row],[PARCS]],Tableau106[],3,FALSE)</f>
        <v>A552</v>
      </c>
      <c r="C84" s="346" t="str">
        <f>VLOOKUP(Tableau1[[#This Row],[PARCS]],Tableau106[],2,FALSE)</f>
        <v>FR02E07E</v>
      </c>
      <c r="D84" s="352" t="str">
        <f>VLOOKUP(Tableau1[[#This Row],[PARCS]],Tableau106[],8,FALSE)</f>
        <v>EOLIEN</v>
      </c>
      <c r="E84" s="352" t="str">
        <f>VLOOKUP(A84,Tableau106[],6,FALSE)</f>
        <v>N</v>
      </c>
      <c r="F84" s="353" t="str">
        <f>VLOOKUP(Tableau1[[#This Row],[PARCS]],Tableau106[],5,FALSE)</f>
        <v>PLAN</v>
      </c>
      <c r="G84" s="346" t="str">
        <f>VLOOKUP(Tableau1[[#This Row],[PARCS]],Tableau106[],7,FALSE)</f>
        <v>ENDF</v>
      </c>
      <c r="H84" s="346" t="str">
        <f>VLOOKUP(Tableau1[[#This Row],[PARCS]],Tableau106[],9,FALSE)</f>
        <v>BoK</v>
      </c>
      <c r="I84" s="347">
        <v>47720.798999999999</v>
      </c>
      <c r="J84" s="348">
        <v>4373892.5</v>
      </c>
      <c r="K84" s="354">
        <f>VLOOKUP(Tableau1[[#This Row],[PARCS]],Tableau25[],10,FALSE)</f>
        <v>51981.449004578884</v>
      </c>
      <c r="L84" s="252">
        <f>VLOOKUP(Tableau1[[#This Row],[PARCS]],Tableau25[],12,FALSE)</f>
        <v>0</v>
      </c>
      <c r="M84" s="252">
        <f>VLOOKUP(Tableau1[[#This Row],[PARCS]],Tableau25[],13,FALSE)</f>
        <v>4888196.1956924247</v>
      </c>
      <c r="N84" s="354">
        <f>VLOOKUP(Tableau1[[#This Row],[PARCS]],Tableau254[],10,FALSE)</f>
        <v>52828.737999999998</v>
      </c>
      <c r="O84" s="252">
        <f>VLOOKUP(Tableau1[[#This Row],[PARCS]],Tableau254[],12,FALSE)</f>
        <v>0</v>
      </c>
      <c r="P84" s="252">
        <f>VLOOKUP(Tableau1[[#This Row],[PARCS]],Tableau254[],13,FALSE)</f>
        <v>5063423.2223479999</v>
      </c>
      <c r="Q84" s="354">
        <f>VLOOKUP(Tableau1[[#This Row],[PARCS]],Tableau2546[],10,FALSE)</f>
        <v>53600</v>
      </c>
      <c r="R84" s="252">
        <f>VLOOKUP(Tableau1[[#This Row],[PARCS]],Tableau2546[],12,FALSE)</f>
        <v>0</v>
      </c>
      <c r="S84" s="355">
        <f>VLOOKUP(Tableau1[[#This Row],[PARCS]],Tableau2546[],13,FALSE)</f>
        <v>5265779.2399999993</v>
      </c>
      <c r="T84" s="252">
        <f t="shared" si="6"/>
        <v>689530.72234799992</v>
      </c>
      <c r="U84" s="351">
        <f t="shared" si="7"/>
        <v>0.15764692944511094</v>
      </c>
      <c r="V84" s="252">
        <f>Tableau1[[#This Row],[CA7]]-Tableau1[[#This Row],[CA4]]</f>
        <v>202356.01765199937</v>
      </c>
      <c r="W84" s="351">
        <f>(Tableau1[[#This Row],[CA7]]-Tableau1[[#This Row],[CA4]])/Tableau1[[#This Row],[CA4]]</f>
        <v>3.9964270961763151E-2</v>
      </c>
    </row>
    <row r="85" spans="1:24" ht="15.75" customHeight="1">
      <c r="A85" s="345" t="s">
        <v>194</v>
      </c>
      <c r="B85" s="346" t="str">
        <f>VLOOKUP(Tableau1[[#This Row],[PARCS]],Tableau106[],3,FALSE)</f>
        <v>F046</v>
      </c>
      <c r="C85" s="346" t="str">
        <f>VLOOKUP(Tableau1[[#This Row],[PARCS]],Tableau106[],2,FALSE)</f>
        <v>FR10E03E</v>
      </c>
      <c r="D85" s="352" t="str">
        <f>VLOOKUP(Tableau1[[#This Row],[PARCS]],Tableau106[],8,FALSE)</f>
        <v>EOLIEN</v>
      </c>
      <c r="E85" s="352" t="str">
        <f>VLOOKUP(A85,Tableau106[],6,FALSE)</f>
        <v>N</v>
      </c>
      <c r="F85" s="353" t="str">
        <f>VLOOKUP(Tableau1[[#This Row],[PARCS]],Tableau106[],5,FALSE)</f>
        <v>LEMO</v>
      </c>
      <c r="G85" s="346" t="str">
        <f>VLOOKUP(Tableau1[[#This Row],[PARCS]],Tableau106[],7,FALSE)</f>
        <v>FUTUREN</v>
      </c>
      <c r="H85" s="346" t="str">
        <f>VLOOKUP(Tableau1[[#This Row],[PARCS]],Tableau106[],9,FALSE)</f>
        <v>MéS</v>
      </c>
      <c r="I85" s="347">
        <v>25164.583999999999</v>
      </c>
      <c r="J85" s="348">
        <v>2273752.35</v>
      </c>
      <c r="K85" s="354">
        <f>VLOOKUP(Tableau1[[#This Row],[PARCS]],Tableau25[],10,FALSE)</f>
        <v>26790.306929789414</v>
      </c>
      <c r="L85" s="252">
        <f>VLOOKUP(Tableau1[[#This Row],[PARCS]],Tableau25[],12,FALSE)</f>
        <v>0</v>
      </c>
      <c r="M85" s="252">
        <f>VLOOKUP(Tableau1[[#This Row],[PARCS]],Tableau25[],13,FALSE)</f>
        <v>2483040.3301987881</v>
      </c>
      <c r="N85" s="354">
        <f>VLOOKUP(Tableau1[[#This Row],[PARCS]],Tableau254[],10,FALSE)</f>
        <v>27983.532499999994</v>
      </c>
      <c r="O85" s="252">
        <f>VLOOKUP(Tableau1[[#This Row],[PARCS]],Tableau254[],12,FALSE)</f>
        <v>0</v>
      </c>
      <c r="P85" s="252">
        <f>VLOOKUP(Tableau1[[#This Row],[PARCS]],Tableau254[],13,FALSE)</f>
        <v>2647801.8451499995</v>
      </c>
      <c r="Q85" s="354">
        <f>VLOOKUP(Tableau1[[#This Row],[PARCS]],Tableau2546[],10,FALSE)</f>
        <v>24447.689006637956</v>
      </c>
      <c r="R85" s="252">
        <f>VLOOKUP(Tableau1[[#This Row],[PARCS]],Tableau2546[],12,FALSE)</f>
        <v>0</v>
      </c>
      <c r="S85" s="355">
        <f>VLOOKUP(Tableau1[[#This Row],[PARCS]],Tableau2546[],13,FALSE)</f>
        <v>2371071.3421532856</v>
      </c>
      <c r="T85" s="252">
        <f t="shared" si="6"/>
        <v>374049.49514999939</v>
      </c>
      <c r="U85" s="351">
        <f t="shared" si="7"/>
        <v>0.16450757935445318</v>
      </c>
      <c r="V85" s="252">
        <f>Tableau1[[#This Row],[CA7]]-Tableau1[[#This Row],[CA4]]</f>
        <v>-276730.50299671385</v>
      </c>
      <c r="W85" s="351">
        <f>(Tableau1[[#This Row],[CA7]]-Tableau1[[#This Row],[CA4]])/Tableau1[[#This Row],[CA4]]</f>
        <v>-0.10451329789032492</v>
      </c>
    </row>
    <row r="86" spans="1:24" ht="15.75" customHeight="1">
      <c r="A86" s="345" t="s">
        <v>522</v>
      </c>
      <c r="B86" s="346" t="str">
        <f>VLOOKUP(Tableau1[[#This Row],[PARCS]],Tableau106[],3,FALSE)</f>
        <v>A258</v>
      </c>
      <c r="C86" s="346" t="str">
        <f>VLOOKUP(Tableau1[[#This Row],[PARCS]],Tableau106[],2,FALSE)</f>
        <v>FR05S02E</v>
      </c>
      <c r="D86" s="352" t="str">
        <f>VLOOKUP(Tableau1[[#This Row],[PARCS]],Tableau106[],8,FALSE)</f>
        <v>SOLAIRE</v>
      </c>
      <c r="E86" s="352" t="str">
        <f>VLOOKUP(A86,Tableau106[],6,FALSE)</f>
        <v>S</v>
      </c>
      <c r="F86" s="353" t="str">
        <f>VLOOKUP(Tableau1[[#This Row],[PARCS]],Tableau106[],5,FALSE)</f>
        <v>LAZE</v>
      </c>
      <c r="G86" s="346" t="str">
        <f>VLOOKUP(Tableau1[[#This Row],[PARCS]],Tableau106[],7,FALSE)</f>
        <v>GROUPE</v>
      </c>
      <c r="H86" s="346" t="str">
        <f>VLOOKUP(Tableau1[[#This Row],[PARCS]],Tableau106[],9,FALSE)</f>
        <v>ArB</v>
      </c>
      <c r="I86" s="347"/>
      <c r="J86" s="348"/>
      <c r="K86" s="354">
        <f>VLOOKUP(Tableau1[[#This Row],[PARCS]],Tableau25[],10,FALSE)</f>
        <v>24810</v>
      </c>
      <c r="L86" s="252">
        <f>VLOOKUP(Tableau1[[#This Row],[PARCS]],Tableau25[],12,FALSE)</f>
        <v>0</v>
      </c>
      <c r="M86" s="252">
        <f>VLOOKUP(Tableau1[[#This Row],[PARCS]],Tableau25[],13,FALSE)</f>
        <v>0</v>
      </c>
      <c r="N86" s="354">
        <f>VLOOKUP(Tableau1[[#This Row],[PARCS]],Tableau254[],10,FALSE)</f>
        <v>24810</v>
      </c>
      <c r="O86" s="252">
        <f>VLOOKUP(Tableau1[[#This Row],[PARCS]],Tableau254[],12,FALSE)</f>
        <v>0</v>
      </c>
      <c r="P86" s="252">
        <f>VLOOKUP(Tableau1[[#This Row],[PARCS]],Tableau254[],13,FALSE)</f>
        <v>4241124.7749999994</v>
      </c>
      <c r="Q86" s="354">
        <f>VLOOKUP(Tableau1[[#This Row],[PARCS]],Tableau2546[],10,FALSE)</f>
        <v>24810</v>
      </c>
      <c r="R86" s="252">
        <f>VLOOKUP(Tableau1[[#This Row],[PARCS]],Tableau2546[],12,FALSE)</f>
        <v>0</v>
      </c>
      <c r="S86" s="355">
        <f>VLOOKUP(Tableau1[[#This Row],[PARCS]],Tableau2546[],13,FALSE)</f>
        <v>4347152.8943749992</v>
      </c>
      <c r="T86" s="252">
        <f t="shared" si="6"/>
        <v>4241124.7749999994</v>
      </c>
      <c r="U86" s="351" t="str">
        <f t="shared" si="7"/>
        <v/>
      </c>
      <c r="V86" s="252">
        <f>Tableau1[[#This Row],[CA7]]-Tableau1[[#This Row],[CA4]]</f>
        <v>106028.11937499978</v>
      </c>
      <c r="W86" s="351">
        <f>(Tableau1[[#This Row],[CA7]]-Tableau1[[#This Row],[CA4]])/Tableau1[[#This Row],[CA4]]</f>
        <v>2.4999999999999949E-2</v>
      </c>
    </row>
    <row r="87" spans="1:24" ht="15.75" customHeight="1">
      <c r="A87" s="345" t="s">
        <v>523</v>
      </c>
      <c r="B87" s="346" t="str">
        <f>VLOOKUP(Tableau1[[#This Row],[PARCS]],Tableau106[],3,FALSE)</f>
        <v>A272</v>
      </c>
      <c r="C87" s="346" t="str">
        <f>VLOOKUP(Tableau1[[#This Row],[PARCS]],Tableau106[],2,FALSE)</f>
        <v>FR07S04E</v>
      </c>
      <c r="D87" s="352" t="str">
        <f>VLOOKUP(Tableau1[[#This Row],[PARCS]],Tableau106[],8,FALSE)</f>
        <v>SOLAIRE</v>
      </c>
      <c r="E87" s="352" t="str">
        <f>VLOOKUP(A87,Tableau106[],6,FALSE)</f>
        <v>S</v>
      </c>
      <c r="F87" s="353" t="str">
        <f>VLOOKUP(Tableau1[[#This Row],[PARCS]],Tableau106[],5,FALSE)</f>
        <v>PZIN</v>
      </c>
      <c r="G87" s="346" t="str">
        <f>VLOOKUP(Tableau1[[#This Row],[PARCS]],Tableau106[],7,FALSE)</f>
        <v>GROUPE</v>
      </c>
      <c r="H87" s="346" t="str">
        <f>VLOOKUP(Tableau1[[#This Row],[PARCS]],Tableau106[],9,FALSE)</f>
        <v>ArB</v>
      </c>
      <c r="I87" s="347">
        <v>11171.326999999999</v>
      </c>
      <c r="J87" s="348">
        <v>1084730.98</v>
      </c>
      <c r="K87" s="354">
        <f>VLOOKUP(Tableau1[[#This Row],[PARCS]],Tableau25[],10,FALSE)</f>
        <v>9819</v>
      </c>
      <c r="L87" s="252">
        <f>VLOOKUP(Tableau1[[#This Row],[PARCS]],Tableau25[],12,FALSE)</f>
        <v>0</v>
      </c>
      <c r="M87" s="252">
        <f>VLOOKUP(Tableau1[[#This Row],[PARCS]],Tableau25[],13,FALSE)</f>
        <v>454776.37196399999</v>
      </c>
      <c r="N87" s="354">
        <f>VLOOKUP(Tableau1[[#This Row],[PARCS]],Tableau254[],10,FALSE)</f>
        <v>10062.513999999999</v>
      </c>
      <c r="O87" s="252">
        <f>VLOOKUP(Tableau1[[#This Row],[PARCS]],Tableau254[],12,FALSE)</f>
        <v>0</v>
      </c>
      <c r="P87" s="252">
        <f>VLOOKUP(Tableau1[[#This Row],[PARCS]],Tableau254[],13,FALSE)</f>
        <v>1726199.1204149998</v>
      </c>
      <c r="Q87" s="354">
        <f>VLOOKUP(Tableau1[[#This Row],[PARCS]],Tableau2546[],10,FALSE)</f>
        <v>9819</v>
      </c>
      <c r="R87" s="252">
        <f>VLOOKUP(Tableau1[[#This Row],[PARCS]],Tableau2546[],12,FALSE)</f>
        <v>0</v>
      </c>
      <c r="S87" s="355">
        <f>VLOOKUP(Tableau1[[#This Row],[PARCS]],Tableau2546[],13,FALSE)</f>
        <v>1726535.5250624996</v>
      </c>
      <c r="T87" s="252">
        <f t="shared" si="6"/>
        <v>641468.1404149998</v>
      </c>
      <c r="U87" s="351">
        <f t="shared" si="7"/>
        <v>0.59136150090873207</v>
      </c>
      <c r="V87" s="252">
        <f>Tableau1[[#This Row],[CA7]]-Tableau1[[#This Row],[CA4]]</f>
        <v>336.40464749978855</v>
      </c>
      <c r="W87" s="351">
        <f>(Tableau1[[#This Row],[CA7]]-Tableau1[[#This Row],[CA4]])/Tableau1[[#This Row],[CA4]]</f>
        <v>1.948817164377379E-4</v>
      </c>
    </row>
    <row r="88" spans="1:24" ht="15.75" customHeight="1">
      <c r="A88" s="345" t="s">
        <v>524</v>
      </c>
      <c r="B88" s="346" t="str">
        <f>VLOOKUP(Tableau1[[#This Row],[PARCS]],Tableau106[],3,FALSE)</f>
        <v>A419</v>
      </c>
      <c r="C88" s="346" t="str">
        <f>VLOOKUP(Tableau1[[#This Row],[PARCS]],Tableau106[],2,FALSE)</f>
        <v>FR02E02E</v>
      </c>
      <c r="D88" s="352" t="str">
        <f>VLOOKUP(Tableau1[[#This Row],[PARCS]],Tableau106[],8,FALSE)</f>
        <v>EOLIEN</v>
      </c>
      <c r="E88" s="352" t="str">
        <f>VLOOKUP(A88,Tableau106[],6,FALSE)</f>
        <v>N</v>
      </c>
      <c r="F88" s="353" t="str">
        <f>VLOOKUP(Tableau1[[#This Row],[PARCS]],Tableau106[],5,FALSE)</f>
        <v>CHPI</v>
      </c>
      <c r="G88" s="346" t="str">
        <f>VLOOKUP(Tableau1[[#This Row],[PARCS]],Tableau106[],7,FALSE)</f>
        <v>GROUPE</v>
      </c>
      <c r="H88" s="346" t="str">
        <f>VLOOKUP(Tableau1[[#This Row],[PARCS]],Tableau106[],9,FALSE)</f>
        <v>MéS</v>
      </c>
      <c r="I88" s="347">
        <v>135277.209</v>
      </c>
      <c r="J88" s="348">
        <v>12139260.9</v>
      </c>
      <c r="K88" s="354">
        <f>VLOOKUP(Tableau1[[#This Row],[PARCS]],Tableau25[],10,FALSE)</f>
        <v>141899.11895759965</v>
      </c>
      <c r="L88" s="252">
        <f>VLOOKUP(Tableau1[[#This Row],[PARCS]],Tableau25[],12,FALSE)</f>
        <v>0</v>
      </c>
      <c r="M88" s="252">
        <f>VLOOKUP(Tableau1[[#This Row],[PARCS]],Tableau25[],13,FALSE)</f>
        <v>13064976.888168259</v>
      </c>
      <c r="N88" s="354">
        <f>VLOOKUP(Tableau1[[#This Row],[PARCS]],Tableau254[],10,FALSE)</f>
        <v>150650.897</v>
      </c>
      <c r="O88" s="252">
        <f>VLOOKUP(Tableau1[[#This Row],[PARCS]],Tableau254[],12,FALSE)</f>
        <v>102524</v>
      </c>
      <c r="P88" s="252">
        <f>VLOOKUP(Tableau1[[#This Row],[PARCS]],Tableau254[],13,FALSE)</f>
        <v>14154254.376737999</v>
      </c>
      <c r="Q88" s="354">
        <f>VLOOKUP(Tableau1[[#This Row],[PARCS]],Tableau2546[],10,FALSE)</f>
        <v>147693.11240685187</v>
      </c>
      <c r="R88" s="252">
        <f>VLOOKUP(Tableau1[[#This Row],[PARCS]],Tableau2546[],12,FALSE)</f>
        <v>0</v>
      </c>
      <c r="S88" s="355">
        <f>VLOOKUP(Tableau1[[#This Row],[PARCS]],Tableau2546[],13,FALSE)</f>
        <v>14223267.650150191</v>
      </c>
      <c r="T88" s="252">
        <f t="shared" si="6"/>
        <v>2014993.4767379984</v>
      </c>
      <c r="U88" s="351">
        <f t="shared" si="7"/>
        <v>0.1659897989949288</v>
      </c>
      <c r="V88" s="252">
        <f>Tableau1[[#This Row],[CA7]]-Tableau1[[#This Row],[CA4]]</f>
        <v>69013.27341219224</v>
      </c>
      <c r="W88" s="351">
        <f>(Tableau1[[#This Row],[CA7]]-Tableau1[[#This Row],[CA4]])/Tableau1[[#This Row],[CA4]]</f>
        <v>4.8757971684904181E-3</v>
      </c>
    </row>
    <row r="89" spans="1:24" ht="15.75" customHeight="1">
      <c r="A89" s="345" t="s">
        <v>525</v>
      </c>
      <c r="B89" s="346" t="str">
        <f>VLOOKUP(Tableau1[[#This Row],[PARCS]],Tableau106[],3,FALSE)</f>
        <v>A554</v>
      </c>
      <c r="C89" s="346" t="str">
        <f>VLOOKUP(Tableau1[[#This Row],[PARCS]],Tableau106[],2,FALSE)</f>
        <v>FR02E08E</v>
      </c>
      <c r="D89" s="352" t="str">
        <f>VLOOKUP(Tableau1[[#This Row],[PARCS]],Tableau106[],8,FALSE)</f>
        <v>EOLIEN</v>
      </c>
      <c r="E89" s="352" t="str">
        <f>VLOOKUP(A89,Tableau106[],6,FALSE)</f>
        <v>N</v>
      </c>
      <c r="F89" s="353" t="str">
        <f>VLOOKUP(Tableau1[[#This Row],[PARCS]],Tableau106[],5,FALSE)</f>
        <v>BTS1</v>
      </c>
      <c r="G89" s="346" t="str">
        <f>VLOOKUP(Tableau1[[#This Row],[PARCS]],Tableau106[],7,FALSE)</f>
        <v>ENDF</v>
      </c>
      <c r="H89" s="346" t="str">
        <f>VLOOKUP(Tableau1[[#This Row],[PARCS]],Tableau106[],9,FALSE)</f>
        <v>BoK</v>
      </c>
      <c r="I89" s="347">
        <v>49220.220999999998</v>
      </c>
      <c r="J89" s="348">
        <v>4507336.92</v>
      </c>
      <c r="K89" s="354">
        <f>VLOOKUP(Tableau1[[#This Row],[PARCS]],Tableau25[],10,FALSE)</f>
        <v>26750</v>
      </c>
      <c r="L89" s="252">
        <f>VLOOKUP(Tableau1[[#This Row],[PARCS]],Tableau25[],12,FALSE)</f>
        <v>0</v>
      </c>
      <c r="M89" s="252">
        <f>VLOOKUP(Tableau1[[#This Row],[PARCS]],Tableau25[],13,FALSE)</f>
        <v>2513994.8957999996</v>
      </c>
      <c r="N89" s="354">
        <f>VLOOKUP(Tableau1[[#This Row],[PARCS]],Tableau254[],10,FALSE)</f>
        <v>54902.341</v>
      </c>
      <c r="O89" s="252">
        <f>VLOOKUP(Tableau1[[#This Row],[PARCS]],Tableau254[],12,FALSE)</f>
        <v>0</v>
      </c>
      <c r="P89" s="252">
        <f>VLOOKUP(Tableau1[[#This Row],[PARCS]],Tableau254[],13,FALSE)</f>
        <v>5258436.4162980001</v>
      </c>
      <c r="Q89" s="354">
        <f>VLOOKUP(Tableau1[[#This Row],[PARCS]],Tableau2546[],10,FALSE)</f>
        <v>26750</v>
      </c>
      <c r="R89" s="252">
        <f>VLOOKUP(Tableau1[[#This Row],[PARCS]],Tableau2546[],12,FALSE)</f>
        <v>0</v>
      </c>
      <c r="S89" s="355">
        <f>VLOOKUP(Tableau1[[#This Row],[PARCS]],Tableau2546[],13,FALSE)</f>
        <v>2626113.0375000001</v>
      </c>
      <c r="T89" s="252">
        <f t="shared" si="6"/>
        <v>751099.49629800022</v>
      </c>
      <c r="U89" s="351">
        <f t="shared" si="7"/>
        <v>0.16663930600910132</v>
      </c>
      <c r="V89" s="252">
        <f>Tableau1[[#This Row],[CA7]]-Tableau1[[#This Row],[CA4]]</f>
        <v>-2632323.378798</v>
      </c>
      <c r="W89" s="351">
        <f>(Tableau1[[#This Row],[CA7]]-Tableau1[[#This Row],[CA4]])/Tableau1[[#This Row],[CA4]]</f>
        <v>-0.50059051216049244</v>
      </c>
    </row>
    <row r="90" spans="1:24" ht="15.75" customHeight="1">
      <c r="A90" s="345" t="s">
        <v>526</v>
      </c>
      <c r="B90" s="346" t="str">
        <f>VLOOKUP(Tableau1[[#This Row],[PARCS]],Tableau106[],3,FALSE)</f>
        <v>A967</v>
      </c>
      <c r="C90" s="346" t="str">
        <f>VLOOKUP(Tableau1[[#This Row],[PARCS]],Tableau106[],2,FALSE)</f>
        <v>FR28E97E</v>
      </c>
      <c r="D90" s="352" t="str">
        <f>VLOOKUP(Tableau1[[#This Row],[PARCS]],Tableau106[],8,FALSE)</f>
        <v>EOLIEN</v>
      </c>
      <c r="E90" s="352" t="str">
        <f>VLOOKUP(A90,Tableau106[],6,FALSE)</f>
        <v>N</v>
      </c>
      <c r="F90" s="353" t="str">
        <f>VLOOKUP(Tableau1[[#This Row],[PARCS]],Tableau106[],5,FALSE)</f>
        <v>ESPS</v>
      </c>
      <c r="G90" s="346" t="str">
        <f>VLOOKUP(Tableau1[[#This Row],[PARCS]],Tableau106[],7,FALSE)</f>
        <v>FUTUREN</v>
      </c>
      <c r="H90" s="346" t="str">
        <f>VLOOKUP(Tableau1[[#This Row],[PARCS]],Tableau106[],9,FALSE)</f>
        <v>AlY</v>
      </c>
      <c r="I90" s="347">
        <v>38115.413</v>
      </c>
      <c r="J90" s="348">
        <v>3343922.6</v>
      </c>
      <c r="K90" s="354">
        <f>VLOOKUP(Tableau1[[#This Row],[PARCS]],Tableau25[],10,FALSE)</f>
        <v>43854</v>
      </c>
      <c r="L90" s="252">
        <f>VLOOKUP(Tableau1[[#This Row],[PARCS]],Tableau25[],12,FALSE)</f>
        <v>0</v>
      </c>
      <c r="M90" s="252">
        <f>VLOOKUP(Tableau1[[#This Row],[PARCS]],Tableau25[],13,FALSE)</f>
        <v>3953070.0070656002</v>
      </c>
      <c r="N90" s="354">
        <f>VLOOKUP(Tableau1[[#This Row],[PARCS]],Tableau254[],10,FALSE)</f>
        <v>42911.678999999996</v>
      </c>
      <c r="O90" s="252">
        <f>VLOOKUP(Tableau1[[#This Row],[PARCS]],Tableau254[],12,FALSE)</f>
        <v>0</v>
      </c>
      <c r="P90" s="252">
        <f>VLOOKUP(Tableau1[[#This Row],[PARCS]],Tableau254[],13,FALSE)</f>
        <v>3958130.3592809993</v>
      </c>
      <c r="Q90" s="354">
        <f>VLOOKUP(Tableau1[[#This Row],[PARCS]],Tableau2546[],10,FALSE)</f>
        <v>43173.057967652938</v>
      </c>
      <c r="R90" s="252">
        <f>VLOOKUP(Tableau1[[#This Row],[PARCS]],Tableau2546[],12,FALSE)</f>
        <v>0</v>
      </c>
      <c r="S90" s="355">
        <f>VLOOKUP(Tableau1[[#This Row],[PARCS]],Tableau2546[],13,FALSE)</f>
        <v>4081795.6862252969</v>
      </c>
      <c r="T90" s="252">
        <f t="shared" si="6"/>
        <v>614207.75928099919</v>
      </c>
      <c r="U90" s="351">
        <f t="shared" si="7"/>
        <v>0.18367882058065554</v>
      </c>
      <c r="V90" s="252">
        <f>Tableau1[[#This Row],[CA7]]-Tableau1[[#This Row],[CA4]]</f>
        <v>123665.32694429765</v>
      </c>
      <c r="W90" s="351">
        <f>(Tableau1[[#This Row],[CA7]]-Tableau1[[#This Row],[CA4]])/Tableau1[[#This Row],[CA4]]</f>
        <v>3.1243368893681827E-2</v>
      </c>
    </row>
    <row r="91" spans="1:24" ht="15.75" customHeight="1">
      <c r="A91" s="345" t="s">
        <v>286</v>
      </c>
      <c r="B91" s="346" t="str">
        <f>VLOOKUP(Tableau1[[#This Row],[PARCS]],Tableau106[],3,FALSE)</f>
        <v>A539</v>
      </c>
      <c r="C91" s="346" t="str">
        <f>VLOOKUP(Tableau1[[#This Row],[PARCS]],Tableau106[],2,FALSE)</f>
        <v>FR11E87E</v>
      </c>
      <c r="D91" s="352" t="str">
        <f>VLOOKUP(Tableau1[[#This Row],[PARCS]],Tableau106[],8,FALSE)</f>
        <v>EOLIEN</v>
      </c>
      <c r="E91" s="352" t="str">
        <f>VLOOKUP(A91,Tableau106[],6,FALSE)</f>
        <v>S</v>
      </c>
      <c r="F91" s="353" t="str">
        <f>VLOOKUP(Tableau1[[#This Row],[PARCS]],Tableau106[],5,FALSE)</f>
        <v>POUZ</v>
      </c>
      <c r="G91" s="346" t="str">
        <f>VLOOKUP(Tableau1[[#This Row],[PARCS]],Tableau106[],7,FALSE)</f>
        <v>GROUPE</v>
      </c>
      <c r="H91" s="346" t="str">
        <f>VLOOKUP(Tableau1[[#This Row],[PARCS]],Tableau106[],9,FALSE)</f>
        <v>SaH</v>
      </c>
      <c r="I91" s="347">
        <v>12960.647000000001</v>
      </c>
      <c r="J91" s="348">
        <v>1189885.8400000001</v>
      </c>
      <c r="K91" s="354">
        <f>VLOOKUP(Tableau1[[#This Row],[PARCS]],Tableau25[],10,FALSE)</f>
        <v>14570.498773894673</v>
      </c>
      <c r="L91" s="252">
        <f>VLOOKUP(Tableau1[[#This Row],[PARCS]],Tableau25[],12,FALSE)</f>
        <v>0</v>
      </c>
      <c r="M91" s="252">
        <f>VLOOKUP(Tableau1[[#This Row],[PARCS]],Tableau25[],13,FALSE)</f>
        <v>1382423.9673168266</v>
      </c>
      <c r="N91" s="354">
        <f>VLOOKUP(Tableau1[[#This Row],[PARCS]],Tableau254[],10,FALSE)</f>
        <v>13448.848111111112</v>
      </c>
      <c r="O91" s="252">
        <f>VLOOKUP(Tableau1[[#This Row],[PARCS]],Tableau254[],12,FALSE)</f>
        <v>0</v>
      </c>
      <c r="P91" s="252">
        <f>VLOOKUP(Tableau1[[#This Row],[PARCS]],Tableau254[],13,FALSE)</f>
        <v>1298943.5459635558</v>
      </c>
      <c r="Q91" s="354">
        <f>VLOOKUP(Tableau1[[#This Row],[PARCS]],Tableau2546[],10,FALSE)</f>
        <v>14058.495571428572</v>
      </c>
      <c r="R91" s="252">
        <f>VLOOKUP(Tableau1[[#This Row],[PARCS]],Tableau2546[],12,FALSE)</f>
        <v>0</v>
      </c>
      <c r="S91" s="355">
        <f>VLOOKUP(Tableau1[[#This Row],[PARCS]],Tableau2546[],13,FALSE)</f>
        <v>1391771.3796776286</v>
      </c>
      <c r="T91" s="252">
        <f t="shared" si="6"/>
        <v>109057.70596355572</v>
      </c>
      <c r="U91" s="351">
        <f t="shared" si="7"/>
        <v>9.1653923676876192E-2</v>
      </c>
      <c r="V91" s="252">
        <f>Tableau1[[#This Row],[CA7]]-Tableau1[[#This Row],[CA4]]</f>
        <v>92827.833714072825</v>
      </c>
      <c r="W91" s="351">
        <f>(Tableau1[[#This Row],[CA7]]-Tableau1[[#This Row],[CA4]])/Tableau1[[#This Row],[CA4]]</f>
        <v>7.1464101732930344E-2</v>
      </c>
      <c r="X91" s="6" t="s">
        <v>514</v>
      </c>
    </row>
    <row r="92" spans="1:24" ht="15.75" customHeight="1">
      <c r="A92" s="345" t="s">
        <v>527</v>
      </c>
      <c r="B92" s="346" t="str">
        <f>VLOOKUP(Tableau1[[#This Row],[PARCS]],Tableau106[],3,FALSE)</f>
        <v>A150</v>
      </c>
      <c r="C92" s="346" t="str">
        <f>VLOOKUP(Tableau1[[#This Row],[PARCS]],Tableau106[],2,FALSE)</f>
        <v>FR51E01E</v>
      </c>
      <c r="D92" s="352" t="str">
        <f>VLOOKUP(Tableau1[[#This Row],[PARCS]],Tableau106[],8,FALSE)</f>
        <v>EOLIEN</v>
      </c>
      <c r="E92" s="352" t="str">
        <f>VLOOKUP(A92,Tableau106[],6,FALSE)</f>
        <v>N</v>
      </c>
      <c r="F92" s="353" t="str">
        <f>VLOOKUP(Tableau1[[#This Row],[PARCS]],Tableau106[],5,FALSE)</f>
        <v>PDC1, PDC2</v>
      </c>
      <c r="G92" s="346" t="str">
        <f>VLOOKUP(Tableau1[[#This Row],[PARCS]],Tableau106[],7,FALSE)</f>
        <v>FUTUREN</v>
      </c>
      <c r="H92" s="346" t="str">
        <f>VLOOKUP(Tableau1[[#This Row],[PARCS]],Tableau106[],9,FALSE)</f>
        <v>HuB</v>
      </c>
      <c r="I92" s="347">
        <v>20560.252</v>
      </c>
      <c r="J92" s="348">
        <v>1926243.29</v>
      </c>
      <c r="K92" s="354">
        <f>VLOOKUP(Tableau1[[#This Row],[PARCS]],Tableau25[],10,FALSE)</f>
        <v>23065.694770499929</v>
      </c>
      <c r="L92" s="252">
        <f>VLOOKUP(Tableau1[[#This Row],[PARCS]],Tableau25[],12,FALSE)</f>
        <v>0</v>
      </c>
      <c r="M92" s="252">
        <f>VLOOKUP(Tableau1[[#This Row],[PARCS]],Tableau25[],13,FALSE)</f>
        <v>2208623.3107765419</v>
      </c>
      <c r="N92" s="354">
        <f>VLOOKUP(Tableau1[[#This Row],[PARCS]],Tableau254[],10,FALSE)</f>
        <v>23635.382000000001</v>
      </c>
      <c r="O92" s="252">
        <f>VLOOKUP(Tableau1[[#This Row],[PARCS]],Tableau254[],12,FALSE)</f>
        <v>0</v>
      </c>
      <c r="P92" s="252">
        <f>VLOOKUP(Tableau1[[#This Row],[PARCS]],Tableau254[],13,FALSE)</f>
        <v>2305158.8064600001</v>
      </c>
      <c r="Q92" s="354">
        <f>VLOOKUP(Tableau1[[#This Row],[PARCS]],Tableau2546[],10,FALSE)</f>
        <v>21501</v>
      </c>
      <c r="R92" s="252">
        <f>VLOOKUP(Tableau1[[#This Row],[PARCS]],Tableau2546[],12,FALSE)</f>
        <v>0</v>
      </c>
      <c r="S92" s="355">
        <f>VLOOKUP(Tableau1[[#This Row],[PARCS]],Tableau2546[],13,FALSE)</f>
        <v>2149417.3432499999</v>
      </c>
      <c r="T92" s="252">
        <f t="shared" si="6"/>
        <v>378915.51646000007</v>
      </c>
      <c r="U92" s="351">
        <f t="shared" si="7"/>
        <v>0.19671217983061737</v>
      </c>
      <c r="V92" s="252">
        <f>Tableau1[[#This Row],[CA7]]-Tableau1[[#This Row],[CA4]]</f>
        <v>-155741.46321000019</v>
      </c>
      <c r="W92" s="351">
        <f>(Tableau1[[#This Row],[CA7]]-Tableau1[[#This Row],[CA4]])/Tableau1[[#This Row],[CA4]]</f>
        <v>-6.7562140523051498E-2</v>
      </c>
    </row>
    <row r="93" spans="1:24" ht="15.75" customHeight="1">
      <c r="A93" s="345" t="s">
        <v>528</v>
      </c>
      <c r="B93" s="346" t="str">
        <f>VLOOKUP(Tableau1[[#This Row],[PARCS]],Tableau106[],3,FALSE)</f>
        <v>A894</v>
      </c>
      <c r="C93" s="346" t="str">
        <f>VLOOKUP(Tableau1[[#This Row],[PARCS]],Tableau106[],2,FALSE)</f>
        <v>FR14E99E</v>
      </c>
      <c r="D93" s="352" t="str">
        <f>VLOOKUP(Tableau1[[#This Row],[PARCS]],Tableau106[],8,FALSE)</f>
        <v>EOLIEN</v>
      </c>
      <c r="E93" s="352" t="str">
        <f>VLOOKUP(A93,Tableau106[],6,FALSE)</f>
        <v>N</v>
      </c>
      <c r="F93" s="353" t="str">
        <f>VLOOKUP(Tableau1[[#This Row],[PARCS]],Tableau106[],5,FALSE)</f>
        <v>STMB</v>
      </c>
      <c r="G93" s="346" t="str">
        <f>VLOOKUP(Tableau1[[#This Row],[PARCS]],Tableau106[],7,FALSE)</f>
        <v>GROUPE</v>
      </c>
      <c r="H93" s="346" t="str">
        <f>VLOOKUP(Tableau1[[#This Row],[PARCS]],Tableau106[],9,FALSE)</f>
        <v>AnN</v>
      </c>
      <c r="I93" s="347">
        <v>8819.4830000000002</v>
      </c>
      <c r="J93" s="348">
        <v>396140.21</v>
      </c>
      <c r="K93" s="354">
        <f>VLOOKUP(Tableau1[[#This Row],[PARCS]],Tableau25[],10,FALSE)</f>
        <v>11509.274441605245</v>
      </c>
      <c r="L93" s="252">
        <f>VLOOKUP(Tableau1[[#This Row],[PARCS]],Tableau25[],12,FALSE)</f>
        <v>0</v>
      </c>
      <c r="M93" s="252">
        <f>VLOOKUP(Tableau1[[#This Row],[PARCS]],Tableau25[],13,FALSE)</f>
        <v>517917.34987223602</v>
      </c>
      <c r="N93" s="354">
        <f>VLOOKUP(Tableau1[[#This Row],[PARCS]],Tableau254[],10,FALSE)</f>
        <v>10575.3201875</v>
      </c>
      <c r="O93" s="252">
        <f>VLOOKUP(Tableau1[[#This Row],[PARCS]],Tableau254[],12,FALSE)</f>
        <v>0</v>
      </c>
      <c r="P93" s="252">
        <f>VLOOKUP(Tableau1[[#This Row],[PARCS]],Tableau254[],13,FALSE)</f>
        <v>475889.40843749995</v>
      </c>
      <c r="Q93" s="354">
        <f>VLOOKUP(Tableau1[[#This Row],[PARCS]],Tableau2546[],10,FALSE)</f>
        <v>9285.768132262001</v>
      </c>
      <c r="R93" s="252">
        <f>VLOOKUP(Tableau1[[#This Row],[PARCS]],Tableau2546[],12,FALSE)</f>
        <v>0</v>
      </c>
      <c r="S93" s="355">
        <f>VLOOKUP(Tableau1[[#This Row],[PARCS]],Tableau2546[],13,FALSE)</f>
        <v>417859.56595179002</v>
      </c>
      <c r="T93" s="252">
        <f t="shared" si="6"/>
        <v>79749.19843749993</v>
      </c>
      <c r="U93" s="351">
        <f t="shared" si="7"/>
        <v>0.2013155858060961</v>
      </c>
      <c r="V93" s="252">
        <f>Tableau1[[#This Row],[CA7]]-Tableau1[[#This Row],[CA4]]</f>
        <v>-58029.842485709931</v>
      </c>
      <c r="W93" s="351">
        <f>(Tableau1[[#This Row],[CA7]]-Tableau1[[#This Row],[CA4]])/Tableau1[[#This Row],[CA4]]</f>
        <v>-0.12193976469499672</v>
      </c>
    </row>
    <row r="94" spans="1:24" ht="15.75" customHeight="1">
      <c r="A94" s="345" t="s">
        <v>529</v>
      </c>
      <c r="B94" s="346" t="str">
        <f>VLOOKUP(Tableau1[[#This Row],[PARCS]],Tableau106[],3,FALSE)</f>
        <v>A540</v>
      </c>
      <c r="C94" s="346" t="str">
        <f>VLOOKUP(Tableau1[[#This Row],[PARCS]],Tableau106[],2,FALSE)</f>
        <v>FR80E01E</v>
      </c>
      <c r="D94" s="352" t="str">
        <f>VLOOKUP(Tableau1[[#This Row],[PARCS]],Tableau106[],8,FALSE)</f>
        <v>EOLIEN</v>
      </c>
      <c r="E94" s="352" t="str">
        <f>VLOOKUP(A94,Tableau106[],6,FALSE)</f>
        <v>N</v>
      </c>
      <c r="F94" s="353" t="str">
        <f>VLOOKUP(Tableau1[[#This Row],[PARCS]],Tableau106[],5,FALSE)</f>
        <v>NURL</v>
      </c>
      <c r="G94" s="346" t="str">
        <f>VLOOKUP(Tableau1[[#This Row],[PARCS]],Tableau106[],7,FALSE)</f>
        <v>EGM</v>
      </c>
      <c r="H94" s="346" t="str">
        <f>VLOOKUP(Tableau1[[#This Row],[PARCS]],Tableau106[],9,FALSE)</f>
        <v>NoS</v>
      </c>
      <c r="I94" s="347">
        <v>16233.699000000001</v>
      </c>
      <c r="J94" s="348">
        <v>1614102.34</v>
      </c>
      <c r="K94" s="354">
        <f>VLOOKUP(Tableau1[[#This Row],[PARCS]],Tableau25[],10,FALSE)</f>
        <v>19712</v>
      </c>
      <c r="L94" s="252">
        <f>VLOOKUP(Tableau1[[#This Row],[PARCS]],Tableau25[],12,FALSE)</f>
        <v>0</v>
      </c>
      <c r="M94" s="252">
        <f>VLOOKUP(Tableau1[[#This Row],[PARCS]],Tableau25[],13,FALSE)</f>
        <v>1990466.0199424</v>
      </c>
      <c r="N94" s="354">
        <f>VLOOKUP(Tableau1[[#This Row],[PARCS]],Tableau254[],10,FALSE)</f>
        <v>18834.739289914349</v>
      </c>
      <c r="O94" s="252">
        <f>VLOOKUP(Tableau1[[#This Row],[PARCS]],Tableau254[],12,FALSE)</f>
        <v>0</v>
      </c>
      <c r="P94" s="252">
        <f>VLOOKUP(Tableau1[[#This Row],[PARCS]],Tableau254[],13,FALSE)</f>
        <v>1941051.7270007031</v>
      </c>
      <c r="Q94" s="354">
        <f>VLOOKUP(Tableau1[[#This Row],[PARCS]],Tableau2546[],10,FALSE)</f>
        <v>19712</v>
      </c>
      <c r="R94" s="252">
        <f>VLOOKUP(Tableau1[[#This Row],[PARCS]],Tableau2546[],12,FALSE)</f>
        <v>0</v>
      </c>
      <c r="S94" s="355">
        <f>VLOOKUP(Tableau1[[#This Row],[PARCS]],Tableau2546[],13,FALSE)</f>
        <v>2082246.0735999998</v>
      </c>
      <c r="T94" s="252">
        <f t="shared" si="6"/>
        <v>326949.38700070302</v>
      </c>
      <c r="U94" s="351">
        <f t="shared" si="7"/>
        <v>0.20255802801246359</v>
      </c>
      <c r="V94" s="252">
        <f>Tableau1[[#This Row],[CA7]]-Tableau1[[#This Row],[CA4]]</f>
        <v>141194.34659929667</v>
      </c>
      <c r="W94" s="351">
        <f>(Tableau1[[#This Row],[CA7]]-Tableau1[[#This Row],[CA4]])/Tableau1[[#This Row],[CA4]]</f>
        <v>7.2741156062579013E-2</v>
      </c>
    </row>
    <row r="95" spans="1:24" ht="15.75" customHeight="1">
      <c r="A95" s="345" t="s">
        <v>530</v>
      </c>
      <c r="B95" s="346" t="str">
        <f>VLOOKUP(Tableau1[[#This Row],[PARCS]],Tableau106[],3,FALSE)</f>
        <v>A109</v>
      </c>
      <c r="C95" s="346" t="str">
        <f>VLOOKUP(Tableau1[[#This Row],[PARCS]],Tableau106[],2,FALSE)</f>
        <v>FR15E01E</v>
      </c>
      <c r="D95" s="352" t="str">
        <f>VLOOKUP(Tableau1[[#This Row],[PARCS]],Tableau106[],8,FALSE)</f>
        <v>EOLIEN</v>
      </c>
      <c r="E95" s="352" t="str">
        <f>VLOOKUP(A95,Tableau106[],6,FALSE)</f>
        <v>S</v>
      </c>
      <c r="F95" s="353" t="str">
        <f>VLOOKUP(Tableau1[[#This Row],[PARCS]],Tableau106[],5,FALSE)</f>
        <v>ALLA</v>
      </c>
      <c r="G95" s="346" t="str">
        <f>VLOOKUP(Tableau1[[#This Row],[PARCS]],Tableau106[],7,FALSE)</f>
        <v>FUTUREN</v>
      </c>
      <c r="H95" s="346" t="str">
        <f>VLOOKUP(Tableau1[[#This Row],[PARCS]],Tableau106[],9,FALSE)</f>
        <v>AuE</v>
      </c>
      <c r="I95" s="347">
        <v>24094.311000000002</v>
      </c>
      <c r="J95" s="348">
        <v>2235413.23</v>
      </c>
      <c r="K95" s="354">
        <f>VLOOKUP(Tableau1[[#This Row],[PARCS]],Tableau25[],10,FALSE)</f>
        <v>24780</v>
      </c>
      <c r="L95" s="252">
        <f>VLOOKUP(Tableau1[[#This Row],[PARCS]],Tableau25[],12,FALSE)</f>
        <v>0</v>
      </c>
      <c r="M95" s="252">
        <f>VLOOKUP(Tableau1[[#This Row],[PARCS]],Tableau25[],13,FALSE)</f>
        <v>2360162.397264</v>
      </c>
      <c r="N95" s="354">
        <f>VLOOKUP(Tableau1[[#This Row],[PARCS]],Tableau254[],10,FALSE)</f>
        <v>25442.733</v>
      </c>
      <c r="O95" s="252">
        <f>VLOOKUP(Tableau1[[#This Row],[PARCS]],Tableau254[],12,FALSE)</f>
        <v>0</v>
      </c>
      <c r="P95" s="252">
        <f>VLOOKUP(Tableau1[[#This Row],[PARCS]],Tableau254[],13,FALSE)</f>
        <v>2468962.8103200002</v>
      </c>
      <c r="Q95" s="354">
        <f>VLOOKUP(Tableau1[[#This Row],[PARCS]],Tableau2546[],10,FALSE)</f>
        <v>26550.306808923979</v>
      </c>
      <c r="R95" s="252">
        <f>VLOOKUP(Tableau1[[#This Row],[PARCS]],Tableau2546[],12,FALSE)</f>
        <v>0</v>
      </c>
      <c r="S95" s="355">
        <f>VLOOKUP(Tableau1[[#This Row],[PARCS]],Tableau2546[],13,FALSE)</f>
        <v>2640852.8170564324</v>
      </c>
      <c r="T95" s="252">
        <f t="shared" si="6"/>
        <v>233549.58032000018</v>
      </c>
      <c r="U95" s="351">
        <f t="shared" si="7"/>
        <v>0.1044771397009224</v>
      </c>
      <c r="V95" s="252">
        <f>Tableau1[[#This Row],[CA7]]-Tableau1[[#This Row],[CA4]]</f>
        <v>171890.0067364322</v>
      </c>
      <c r="W95" s="351">
        <f>(Tableau1[[#This Row],[CA7]]-Tableau1[[#This Row],[CA4]])/Tableau1[[#This Row],[CA4]]</f>
        <v>6.962033045534359E-2</v>
      </c>
    </row>
    <row r="96" spans="1:24" ht="15.75" customHeight="1">
      <c r="A96" s="345" t="s">
        <v>531</v>
      </c>
      <c r="B96" s="346" t="str">
        <f>VLOOKUP(Tableau1[[#This Row],[PARCS]],Tableau106[],3,FALSE)</f>
        <v>A432</v>
      </c>
      <c r="C96" s="346" t="str">
        <f>VLOOKUP(Tableau1[[#This Row],[PARCS]],Tableau106[],2,FALSE)</f>
        <v>FR07E97E</v>
      </c>
      <c r="D96" s="352" t="str">
        <f>VLOOKUP(Tableau1[[#This Row],[PARCS]],Tableau106[],8,FALSE)</f>
        <v>EOLIEN</v>
      </c>
      <c r="E96" s="352" t="str">
        <f>VLOOKUP(A96,Tableau106[],6,FALSE)</f>
        <v>S</v>
      </c>
      <c r="F96" s="353" t="str">
        <f>VLOOKUP(Tableau1[[#This Row],[PARCS]],Tableau106[],5,FALSE)</f>
        <v>MTAR</v>
      </c>
      <c r="G96" s="346" t="str">
        <f>VLOOKUP(Tableau1[[#This Row],[PARCS]],Tableau106[],7,FALSE)</f>
        <v>GROUPE</v>
      </c>
      <c r="H96" s="346" t="str">
        <f>VLOOKUP(Tableau1[[#This Row],[PARCS]],Tableau106[],9,FALSE)</f>
        <v>StE</v>
      </c>
      <c r="I96" s="347">
        <v>117365.81200000001</v>
      </c>
      <c r="J96" s="348">
        <v>9801082.5</v>
      </c>
      <c r="K96" s="354">
        <f>VLOOKUP(Tableau1[[#This Row],[PARCS]],Tableau25[],10,FALSE)</f>
        <v>123356.24497749424</v>
      </c>
      <c r="L96" s="252">
        <f>VLOOKUP(Tableau1[[#This Row],[PARCS]],Tableau25[],12,FALSE)</f>
        <v>0</v>
      </c>
      <c r="M96" s="252">
        <f>VLOOKUP(Tableau1[[#This Row],[PARCS]],Tableau25[],13,FALSE)</f>
        <v>11399546.88282725</v>
      </c>
      <c r="N96" s="354">
        <f>VLOOKUP(Tableau1[[#This Row],[PARCS]],Tableau254[],10,FALSE)</f>
        <v>116860.24823676</v>
      </c>
      <c r="O96" s="252">
        <f>VLOOKUP(Tableau1[[#This Row],[PARCS]],Tableau254[],12,FALSE)</f>
        <v>0</v>
      </c>
      <c r="P96" s="252">
        <f>VLOOKUP(Tableau1[[#This Row],[PARCS]],Tableau254[],13,FALSE)</f>
        <v>11018986.526740575</v>
      </c>
      <c r="Q96" s="354">
        <f>VLOOKUP(Tableau1[[#This Row],[PARCS]],Tableau2546[],10,FALSE)</f>
        <v>134352.72488729903</v>
      </c>
      <c r="R96" s="252">
        <f>VLOOKUP(Tableau1[[#This Row],[PARCS]],Tableau2546[],12,FALSE)</f>
        <v>0</v>
      </c>
      <c r="S96" s="355">
        <f>VLOOKUP(Tableau1[[#This Row],[PARCS]],Tableau2546[],13,FALSE)</f>
        <v>12985096.813450029</v>
      </c>
      <c r="T96" s="252">
        <f t="shared" si="6"/>
        <v>1217904.0267405752</v>
      </c>
      <c r="U96" s="351">
        <f t="shared" si="7"/>
        <v>0.12426219519533431</v>
      </c>
      <c r="V96" s="252">
        <f>Tableau1[[#This Row],[CA7]]-Tableau1[[#This Row],[CA4]]</f>
        <v>1966110.2867094539</v>
      </c>
      <c r="W96" s="351">
        <f>(Tableau1[[#This Row],[CA7]]-Tableau1[[#This Row],[CA4]])/Tableau1[[#This Row],[CA4]]</f>
        <v>0.17842932123913133</v>
      </c>
      <c r="X96" s="6" t="s">
        <v>532</v>
      </c>
    </row>
    <row r="97" spans="1:24" ht="15.75" customHeight="1">
      <c r="A97" s="345" t="s">
        <v>533</v>
      </c>
      <c r="B97" s="346" t="str">
        <f>VLOOKUP(Tableau1[[#This Row],[PARCS]],Tableau106[],3,FALSE)</f>
        <v>A257</v>
      </c>
      <c r="C97" s="346" t="str">
        <f>VLOOKUP(Tableau1[[#This Row],[PARCS]],Tableau106[],2,FALSE)</f>
        <v>FR01S02E</v>
      </c>
      <c r="D97" s="352" t="str">
        <f>VLOOKUP(Tableau1[[#This Row],[PARCS]],Tableau106[],8,FALSE)</f>
        <v>SOLAIRE</v>
      </c>
      <c r="E97" s="352" t="str">
        <f>VLOOKUP(A97,Tableau106[],6,FALSE)</f>
        <v>S</v>
      </c>
      <c r="F97" s="353" t="str">
        <f>VLOOKUP(Tableau1[[#This Row],[PARCS]],Tableau106[],5,FALSE)</f>
        <v>LOYE</v>
      </c>
      <c r="G97" s="346" t="str">
        <f>VLOOKUP(Tableau1[[#This Row],[PARCS]],Tableau106[],7,FALSE)</f>
        <v>GROUPE</v>
      </c>
      <c r="H97" s="346" t="str">
        <f>VLOOKUP(Tableau1[[#This Row],[PARCS]],Tableau106[],9,FALSE)</f>
        <v>LoG</v>
      </c>
      <c r="I97" s="347">
        <v>6721.3050000000003</v>
      </c>
      <c r="J97" s="348">
        <v>10936.228469999998</v>
      </c>
      <c r="K97" s="354">
        <f>VLOOKUP(Tableau1[[#This Row],[PARCS]],Tableau25[],10,FALSE)</f>
        <v>5344.518</v>
      </c>
      <c r="L97" s="252">
        <f>VLOOKUP(Tableau1[[#This Row],[PARCS]],Tableau25[],12,FALSE)</f>
        <v>0</v>
      </c>
      <c r="M97" s="252">
        <f>VLOOKUP(Tableau1[[#This Row],[PARCS]],Tableau25[],13,FALSE)</f>
        <v>412833.44485704001</v>
      </c>
      <c r="N97" s="354">
        <f>VLOOKUP(Tableau1[[#This Row],[PARCS]],Tableau254[],10,FALSE)</f>
        <v>5538.5147999999999</v>
      </c>
      <c r="O97" s="252">
        <f>VLOOKUP(Tableau1[[#This Row],[PARCS]],Tableau254[],12,FALSE)</f>
        <v>0</v>
      </c>
      <c r="P97" s="252">
        <f>VLOOKUP(Tableau1[[#This Row],[PARCS]],Tableau254[],13,FALSE)</f>
        <v>419265.57036000001</v>
      </c>
      <c r="Q97" s="354">
        <f>VLOOKUP(Tableau1[[#This Row],[PARCS]],Tableau2546[],10,FALSE)</f>
        <v>5419</v>
      </c>
      <c r="R97" s="252">
        <f>VLOOKUP(Tableau1[[#This Row],[PARCS]],Tableau2546[],12,FALSE)</f>
        <v>0</v>
      </c>
      <c r="S97" s="355">
        <f>VLOOKUP(Tableau1[[#This Row],[PARCS]],Tableau2546[],13,FALSE)</f>
        <v>420473.75750000001</v>
      </c>
      <c r="T97" s="252">
        <f t="shared" si="6"/>
        <v>408329.34189000004</v>
      </c>
      <c r="U97" s="351">
        <f t="shared" si="7"/>
        <v>37.33730901929485</v>
      </c>
      <c r="V97" s="252">
        <f>Tableau1[[#This Row],[CA7]]-Tableau1[[#This Row],[CA4]]</f>
        <v>1208.1871399999945</v>
      </c>
      <c r="W97" s="351">
        <f>(Tableau1[[#This Row],[CA7]]-Tableau1[[#This Row],[CA4]])/Tableau1[[#This Row],[CA4]]</f>
        <v>2.8816750656692164E-3</v>
      </c>
    </row>
    <row r="98" spans="1:24" ht="15.75" customHeight="1">
      <c r="A98" s="345" t="s">
        <v>534</v>
      </c>
      <c r="B98" s="346" t="str">
        <f>VLOOKUP(Tableau1[[#This Row],[PARCS]],Tableau106[],3,FALSE)</f>
        <v>A418</v>
      </c>
      <c r="C98" s="346" t="str">
        <f>VLOOKUP(Tableau1[[#This Row],[PARCS]],Tableau106[],2,FALSE)</f>
        <v>FR51E08E</v>
      </c>
      <c r="D98" s="352" t="str">
        <f>VLOOKUP(Tableau1[[#This Row],[PARCS]],Tableau106[],8,FALSE)</f>
        <v>EOLIEN</v>
      </c>
      <c r="E98" s="352" t="str">
        <f>VLOOKUP(A98,Tableau106[],6,FALSE)</f>
        <v>N</v>
      </c>
      <c r="F98" s="353" t="str">
        <f>VLOOKUP(Tableau1[[#This Row],[PARCS]],Tableau106[],5,FALSE)</f>
        <v>PAAN</v>
      </c>
      <c r="G98" s="346" t="str">
        <f>VLOOKUP(Tableau1[[#This Row],[PARCS]],Tableau106[],7,FALSE)</f>
        <v>GROUPE</v>
      </c>
      <c r="H98" s="346" t="str">
        <f>VLOOKUP(Tableau1[[#This Row],[PARCS]],Tableau106[],9,FALSE)</f>
        <v>AlY</v>
      </c>
      <c r="I98" s="347">
        <v>45948.142</v>
      </c>
      <c r="J98" s="348">
        <v>3960950.01</v>
      </c>
      <c r="K98" s="354">
        <f>VLOOKUP(Tableau1[[#This Row],[PARCS]],Tableau25[],10,FALSE)</f>
        <v>48356</v>
      </c>
      <c r="L98" s="252">
        <f>VLOOKUP(Tableau1[[#This Row],[PARCS]],Tableau25[],12,FALSE)</f>
        <v>0</v>
      </c>
      <c r="M98" s="252">
        <f>VLOOKUP(Tableau1[[#This Row],[PARCS]],Tableau25[],13,FALSE)</f>
        <v>4259588.5504480004</v>
      </c>
      <c r="N98" s="354">
        <f>VLOOKUP(Tableau1[[#This Row],[PARCS]],Tableau254[],10,FALSE)</f>
        <v>52951.481749999999</v>
      </c>
      <c r="O98" s="252">
        <f>VLOOKUP(Tableau1[[#This Row],[PARCS]],Tableau254[],12,FALSE)</f>
        <v>162542</v>
      </c>
      <c r="P98" s="252">
        <f>VLOOKUP(Tableau1[[#This Row],[PARCS]],Tableau254[],13,FALSE)</f>
        <v>4792744.5161560001</v>
      </c>
      <c r="Q98" s="354">
        <f>VLOOKUP(Tableau1[[#This Row],[PARCS]],Tableau2546[],10,FALSE)</f>
        <v>49062.748628847963</v>
      </c>
      <c r="R98" s="252">
        <f>VLOOKUP(Tableau1[[#This Row],[PARCS]],Tableau2546[],12,FALSE)</f>
        <v>0</v>
      </c>
      <c r="S98" s="355">
        <f>VLOOKUP(Tableau1[[#This Row],[PARCS]],Tableau2546[],13,FALSE)</f>
        <v>4551786.6914916439</v>
      </c>
      <c r="T98" s="252">
        <f t="shared" si="6"/>
        <v>831794.50615600031</v>
      </c>
      <c r="U98" s="351">
        <f t="shared" si="7"/>
        <v>0.20999873870056754</v>
      </c>
      <c r="V98" s="252">
        <f>Tableau1[[#This Row],[CA7]]-Tableau1[[#This Row],[CA4]]</f>
        <v>-240957.82466435619</v>
      </c>
      <c r="W98" s="351">
        <f>(Tableau1[[#This Row],[CA7]]-Tableau1[[#This Row],[CA4]])/Tableau1[[#This Row],[CA4]]</f>
        <v>-5.0275541258688952E-2</v>
      </c>
    </row>
    <row r="99" spans="1:24" ht="15.75" customHeight="1">
      <c r="A99" s="345" t="s">
        <v>400</v>
      </c>
      <c r="B99" s="346" t="str">
        <f>VLOOKUP(Tableau1[[#This Row],[PARCS]],Tableau106[],3,FALSE)</f>
        <v>A272</v>
      </c>
      <c r="C99" s="346" t="str">
        <f>VLOOKUP(Tableau1[[#This Row],[PARCS]],Tableau106[],2,FALSE)</f>
        <v>FR21S02E</v>
      </c>
      <c r="D99" s="352" t="str">
        <f>VLOOKUP(Tableau1[[#This Row],[PARCS]],Tableau106[],8,FALSE)</f>
        <v>SOLAIRE</v>
      </c>
      <c r="E99" s="352" t="str">
        <f>VLOOKUP(A99,Tableau106[],6,FALSE)</f>
        <v>N</v>
      </c>
      <c r="F99" s="353" t="str">
        <f>VLOOKUP(Tableau1[[#This Row],[PARCS]],Tableau106[],5,FALSE)</f>
        <v>LUX1</v>
      </c>
      <c r="G99" s="346" t="str">
        <f>VLOOKUP(Tableau1[[#This Row],[PARCS]],Tableau106[],7,FALSE)</f>
        <v>GROUPE</v>
      </c>
      <c r="H99" s="346" t="str">
        <f>VLOOKUP(Tableau1[[#This Row],[PARCS]],Tableau106[],9,FALSE)</f>
        <v>ZaA</v>
      </c>
      <c r="I99" s="347">
        <v>8434.9169999999995</v>
      </c>
      <c r="J99" s="348">
        <v>2523828.39</v>
      </c>
      <c r="K99" s="354">
        <f>VLOOKUP(Tableau1[[#This Row],[PARCS]],Tableau25[],10,FALSE)</f>
        <v>8351</v>
      </c>
      <c r="L99" s="252">
        <f>VLOOKUP(Tableau1[[#This Row],[PARCS]],Tableau25[],12,FALSE)</f>
        <v>0</v>
      </c>
      <c r="M99" s="252">
        <f>VLOOKUP(Tableau1[[#This Row],[PARCS]],Tableau25[],13,FALSE)</f>
        <v>481712.50341199996</v>
      </c>
      <c r="N99" s="354">
        <f>VLOOKUP(Tableau1[[#This Row],[PARCS]],Tableau254[],10,FALSE)</f>
        <v>8770.5216999999993</v>
      </c>
      <c r="O99" s="252">
        <f>VLOOKUP(Tableau1[[#This Row],[PARCS]],Tableau254[],12,FALSE)</f>
        <v>0</v>
      </c>
      <c r="P99" s="252">
        <f>VLOOKUP(Tableau1[[#This Row],[PARCS]],Tableau254[],13,FALSE)</f>
        <v>1499269.5232384165</v>
      </c>
      <c r="Q99" s="354">
        <f>VLOOKUP(Tableau1[[#This Row],[PARCS]],Tableau2546[],10,FALSE)</f>
        <v>8351</v>
      </c>
      <c r="R99" s="252">
        <f>VLOOKUP(Tableau1[[#This Row],[PARCS]],Tableau2546[],12,FALSE)</f>
        <v>0</v>
      </c>
      <c r="S99" s="355">
        <f>VLOOKUP(Tableau1[[#This Row],[PARCS]],Tableau2546[],13,FALSE)</f>
        <v>1463243.6042291664</v>
      </c>
      <c r="T99" s="252">
        <f t="shared" si="6"/>
        <v>-1024558.8667615836</v>
      </c>
      <c r="U99" s="351">
        <f t="shared" si="7"/>
        <v>-0.40595425220713344</v>
      </c>
      <c r="V99" s="252">
        <f>Tableau1[[#This Row],[CA7]]-Tableau1[[#This Row],[CA4]]</f>
        <v>-36025.919009250123</v>
      </c>
      <c r="W99" s="351">
        <f>(Tableau1[[#This Row],[CA7]]-Tableau1[[#This Row],[CA4]])/Tableau1[[#This Row],[CA4]]</f>
        <v>-2.4028981081022891E-2</v>
      </c>
    </row>
    <row r="100" spans="1:24" ht="15.75" customHeight="1">
      <c r="A100" s="345" t="s">
        <v>535</v>
      </c>
      <c r="B100" s="346" t="str">
        <f>VLOOKUP(Tableau1[[#This Row],[PARCS]],Tableau106[],3,FALSE)</f>
        <v>A553</v>
      </c>
      <c r="C100" s="346" t="str">
        <f>VLOOKUP(Tableau1[[#This Row],[PARCS]],Tableau106[],2,FALSE)</f>
        <v>FR62E02E</v>
      </c>
      <c r="D100" s="352" t="str">
        <f>VLOOKUP(Tableau1[[#This Row],[PARCS]],Tableau106[],8,FALSE)</f>
        <v>EOLIEN</v>
      </c>
      <c r="E100" s="352" t="str">
        <f>VLOOKUP(A100,Tableau106[],6,FALSE)</f>
        <v>N</v>
      </c>
      <c r="F100" s="353" t="str">
        <f>VLOOKUP(Tableau1[[#This Row],[PARCS]],Tableau106[],5,FALSE)</f>
        <v>SBAP</v>
      </c>
      <c r="G100" s="346" t="str">
        <f>VLOOKUP(Tableau1[[#This Row],[PARCS]],Tableau106[],7,FALSE)</f>
        <v>ENDF</v>
      </c>
      <c r="H100" s="346" t="str">
        <f>VLOOKUP(Tableau1[[#This Row],[PARCS]],Tableau106[],9,FALSE)</f>
        <v>NiD</v>
      </c>
      <c r="I100" s="347">
        <v>35298.434999999998</v>
      </c>
      <c r="J100" s="348">
        <v>3234280.59</v>
      </c>
      <c r="K100" s="354">
        <f>VLOOKUP(Tableau1[[#This Row],[PARCS]],Tableau25[],10,FALSE)</f>
        <v>40627.815002526258</v>
      </c>
      <c r="L100" s="252">
        <f>VLOOKUP(Tableau1[[#This Row],[PARCS]],Tableau25[],12,FALSE)</f>
        <v>0</v>
      </c>
      <c r="M100" s="252">
        <f>VLOOKUP(Tableau1[[#This Row],[PARCS]],Tableau25[],13,FALSE)</f>
        <v>3818754.8847417203</v>
      </c>
      <c r="N100" s="354">
        <f>VLOOKUP(Tableau1[[#This Row],[PARCS]],Tableau254[],10,FALSE)</f>
        <v>40968.353659108689</v>
      </c>
      <c r="O100" s="252">
        <f>VLOOKUP(Tableau1[[#This Row],[PARCS]],Tableau254[],12,FALSE)</f>
        <v>5333</v>
      </c>
      <c r="P100" s="252">
        <f>VLOOKUP(Tableau1[[#This Row],[PARCS]],Tableau254[],13,FALSE)</f>
        <v>3923580.1982864984</v>
      </c>
      <c r="Q100" s="354">
        <f>VLOOKUP(Tableau1[[#This Row],[PARCS]],Tableau2546[],10,FALSE)</f>
        <v>41188.9</v>
      </c>
      <c r="R100" s="252">
        <f>VLOOKUP(Tableau1[[#This Row],[PARCS]],Tableau2546[],12,FALSE)</f>
        <v>0</v>
      </c>
      <c r="S100" s="355">
        <f>VLOOKUP(Tableau1[[#This Row],[PARCS]],Tableau2546[],13,FALSE)</f>
        <v>4043319.6954474999</v>
      </c>
      <c r="T100" s="252">
        <f t="shared" si="6"/>
        <v>689299.60828649858</v>
      </c>
      <c r="U100" s="351">
        <f t="shared" si="7"/>
        <v>0.21312300807101545</v>
      </c>
      <c r="V100" s="252">
        <f>Tableau1[[#This Row],[CA7]]-Tableau1[[#This Row],[CA4]]</f>
        <v>119739.49716100143</v>
      </c>
      <c r="W100" s="351">
        <f>(Tableau1[[#This Row],[CA7]]-Tableau1[[#This Row],[CA4]])/Tableau1[[#This Row],[CA4]]</f>
        <v>3.0517917593042683E-2</v>
      </c>
    </row>
    <row r="101" spans="1:24" ht="15.75" customHeight="1">
      <c r="A101" s="345" t="s">
        <v>192</v>
      </c>
      <c r="B101" s="346" t="str">
        <f>VLOOKUP(Tableau1[[#This Row],[PARCS]],Tableau106[],3,FALSE)</f>
        <v>F247</v>
      </c>
      <c r="C101" s="346" t="str">
        <f>VLOOKUP(Tableau1[[#This Row],[PARCS]],Tableau106[],2,FALSE)</f>
        <v>FR10E02E</v>
      </c>
      <c r="D101" s="352" t="str">
        <f>VLOOKUP(Tableau1[[#This Row],[PARCS]],Tableau106[],8,FALSE)</f>
        <v>EOLIEN</v>
      </c>
      <c r="E101" s="352" t="str">
        <f>VLOOKUP(A101,Tableau106[],6,FALSE)</f>
        <v>N</v>
      </c>
      <c r="F101" s="353" t="str">
        <f>VLOOKUP(Tableau1[[#This Row],[PARCS]],Tableau106[],5,FALSE)</f>
        <v>COT1, COT2, COT3, COT4</v>
      </c>
      <c r="G101" s="346" t="str">
        <f>VLOOKUP(Tableau1[[#This Row],[PARCS]],Tableau106[],7,FALSE)</f>
        <v>FUTUREN</v>
      </c>
      <c r="H101" s="346" t="str">
        <f>VLOOKUP(Tableau1[[#This Row],[PARCS]],Tableau106[],9,FALSE)</f>
        <v>MéS</v>
      </c>
      <c r="I101" s="347">
        <v>68643.581999999995</v>
      </c>
      <c r="J101" s="348">
        <v>5876067.5099999998</v>
      </c>
      <c r="K101" s="354">
        <f>VLOOKUP(Tableau1[[#This Row],[PARCS]],Tableau25[],10,FALSE)</f>
        <v>71576</v>
      </c>
      <c r="L101" s="252">
        <f>VLOOKUP(Tableau1[[#This Row],[PARCS]],Tableau25[],12,FALSE)</f>
        <v>0</v>
      </c>
      <c r="M101" s="252">
        <f>VLOOKUP(Tableau1[[#This Row],[PARCS]],Tableau25[],13,FALSE)</f>
        <v>6275568.379391999</v>
      </c>
      <c r="N101" s="354">
        <f>VLOOKUP(Tableau1[[#This Row],[PARCS]],Tableau254[],10,FALSE)</f>
        <v>79159.391000000003</v>
      </c>
      <c r="O101" s="252">
        <f>VLOOKUP(Tableau1[[#This Row],[PARCS]],Tableau254[],12,FALSE)</f>
        <v>0</v>
      </c>
      <c r="P101" s="252">
        <f>VLOOKUP(Tableau1[[#This Row],[PARCS]],Tableau254[],13,FALSE)</f>
        <v>7155296.5118809994</v>
      </c>
      <c r="Q101" s="354">
        <f>VLOOKUP(Tableau1[[#This Row],[PARCS]],Tableau2546[],10,FALSE)</f>
        <v>76936.592333333334</v>
      </c>
      <c r="R101" s="252">
        <f>VLOOKUP(Tableau1[[#This Row],[PARCS]],Tableau2546[],12,FALSE)</f>
        <v>0</v>
      </c>
      <c r="S101" s="355">
        <f>VLOOKUP(Tableau1[[#This Row],[PARCS]],Tableau2546[],13,FALSE)</f>
        <v>7128234.9055423904</v>
      </c>
      <c r="T101" s="252">
        <f t="shared" si="6"/>
        <v>1279229.0018809997</v>
      </c>
      <c r="U101" s="351">
        <f t="shared" si="7"/>
        <v>0.2177015494978545</v>
      </c>
      <c r="V101" s="252">
        <f>Tableau1[[#This Row],[CA7]]-Tableau1[[#This Row],[CA4]]</f>
        <v>-27061.60633860901</v>
      </c>
      <c r="W101" s="351">
        <f>(Tableau1[[#This Row],[CA7]]-Tableau1[[#This Row],[CA4]])/Tableau1[[#This Row],[CA4]]</f>
        <v>-3.7820384233797459E-3</v>
      </c>
    </row>
    <row r="102" spans="1:24" ht="15.75" customHeight="1">
      <c r="A102" s="345" t="s">
        <v>536</v>
      </c>
      <c r="B102" s="346" t="str">
        <f>VLOOKUP(Tableau1[[#This Row],[PARCS]],Tableau106[],3,FALSE)</f>
        <v>A134</v>
      </c>
      <c r="C102" s="346" t="str">
        <f>VLOOKUP(Tableau1[[#This Row],[PARCS]],Tableau106[],2,FALSE)</f>
        <v>FR04S99E</v>
      </c>
      <c r="D102" s="352" t="str">
        <f>VLOOKUP(Tableau1[[#This Row],[PARCS]],Tableau106[],8,FALSE)</f>
        <v>SOLAIRE</v>
      </c>
      <c r="E102" s="352" t="str">
        <f>VLOOKUP(A102,Tableau106[],6,FALSE)</f>
        <v>S</v>
      </c>
      <c r="F102" s="353" t="str">
        <f>VLOOKUP(Tableau1[[#This Row],[PARCS]],Tableau106[],5,FALSE)</f>
        <v>MANO</v>
      </c>
      <c r="G102" s="346" t="str">
        <f>VLOOKUP(Tableau1[[#This Row],[PARCS]],Tableau106[],7,FALSE)</f>
        <v>GROUPE</v>
      </c>
      <c r="H102" s="346" t="str">
        <f>VLOOKUP(Tableau1[[#This Row],[PARCS]],Tableau106[],9,FALSE)</f>
        <v>ArB</v>
      </c>
      <c r="I102" s="347">
        <v>5696.7460000000001</v>
      </c>
      <c r="J102" s="348">
        <v>2168300.8199999998</v>
      </c>
      <c r="K102" s="354">
        <f>VLOOKUP(Tableau1[[#This Row],[PARCS]],Tableau25[],10,FALSE)</f>
        <v>5593</v>
      </c>
      <c r="L102" s="252">
        <f>VLOOKUP(Tableau1[[#This Row],[PARCS]],Tableau25[],12,FALSE)</f>
        <v>0</v>
      </c>
      <c r="M102" s="252">
        <f>VLOOKUP(Tableau1[[#This Row],[PARCS]],Tableau25[],13,FALSE)</f>
        <v>2225896.6722831996</v>
      </c>
      <c r="N102" s="354">
        <f>VLOOKUP(Tableau1[[#This Row],[PARCS]],Tableau254[],10,FALSE)</f>
        <v>5778.2403333333341</v>
      </c>
      <c r="O102" s="252">
        <f>VLOOKUP(Tableau1[[#This Row],[PARCS]],Tableau254[],12,FALSE)</f>
        <v>0</v>
      </c>
      <c r="P102" s="252">
        <f>VLOOKUP(Tableau1[[#This Row],[PARCS]],Tableau254[],13,FALSE)</f>
        <v>2413524.7613106668</v>
      </c>
      <c r="Q102" s="354">
        <f>VLOOKUP(Tableau1[[#This Row],[PARCS]],Tableau2546[],10,FALSE)</f>
        <v>5603.1102988230759</v>
      </c>
      <c r="R102" s="252">
        <f>VLOOKUP(Tableau1[[#This Row],[PARCS]],Tableau2546[],12,FALSE)</f>
        <v>0</v>
      </c>
      <c r="S102" s="355">
        <f>VLOOKUP(Tableau1[[#This Row],[PARCS]],Tableau2546[],13,FALSE)</f>
        <v>2398883.7056094082</v>
      </c>
      <c r="T102" s="252">
        <f t="shared" ref="T102:T133" si="8">P102-J102</f>
        <v>245223.94131066697</v>
      </c>
      <c r="U102" s="351">
        <f t="shared" ref="U102:U133" si="9">IFERROR((P102-J102)/J102,"")</f>
        <v>0.11309498158593465</v>
      </c>
      <c r="V102" s="252">
        <f>Tableau1[[#This Row],[CA7]]-Tableau1[[#This Row],[CA4]]</f>
        <v>-14641.055701258592</v>
      </c>
      <c r="W102" s="351">
        <f>(Tableau1[[#This Row],[CA7]]-Tableau1[[#This Row],[CA4]])/Tableau1[[#This Row],[CA4]]</f>
        <v>-6.0662546065231807E-3</v>
      </c>
    </row>
    <row r="103" spans="1:24" ht="15.75" customHeight="1">
      <c r="A103" s="345" t="s">
        <v>537</v>
      </c>
      <c r="B103" s="346" t="str">
        <f>VLOOKUP(Tableau1[[#This Row],[PARCS]],Tableau106[],3,FALSE)</f>
        <v>A389</v>
      </c>
      <c r="C103" s="346" t="str">
        <f>VLOOKUP(Tableau1[[#This Row],[PARCS]],Tableau106[],2,FALSE)</f>
        <v>FR89S02E</v>
      </c>
      <c r="D103" s="352" t="str">
        <f>VLOOKUP(Tableau1[[#This Row],[PARCS]],Tableau106[],8,FALSE)</f>
        <v>SOLAIRE</v>
      </c>
      <c r="E103" s="352" t="str">
        <f>VLOOKUP(A103,Tableau106[],6,FALSE)</f>
        <v>S</v>
      </c>
      <c r="F103" s="353" t="str">
        <f>VLOOKUP(Tableau1[[#This Row],[PARCS]],Tableau106[],5,FALSE)</f>
        <v>MA22</v>
      </c>
      <c r="G103" s="346" t="str">
        <f>VLOOKUP(Tableau1[[#This Row],[PARCS]],Tableau106[],7,FALSE)</f>
        <v>GROUPE</v>
      </c>
      <c r="H103" s="346" t="str">
        <f>VLOOKUP(Tableau1[[#This Row],[PARCS]],Tableau106[],9,FALSE)</f>
        <v>LoG</v>
      </c>
      <c r="I103" s="347">
        <v>13913.101000000001</v>
      </c>
      <c r="J103" s="348">
        <v>4997942.8899999997</v>
      </c>
      <c r="K103" s="354">
        <f>VLOOKUP(Tableau1[[#This Row],[PARCS]],Tableau25[],10,FALSE)</f>
        <v>20804.848779792002</v>
      </c>
      <c r="L103" s="252">
        <f>VLOOKUP(Tableau1[[#This Row],[PARCS]],Tableau25[],12,FALSE)</f>
        <v>0</v>
      </c>
      <c r="M103" s="252">
        <f>VLOOKUP(Tableau1[[#This Row],[PARCS]],Tableau25[],13,FALSE)</f>
        <v>7563221.9286535587</v>
      </c>
      <c r="N103" s="354">
        <f>VLOOKUP(Tableau1[[#This Row],[PARCS]],Tableau254[],10,FALSE)</f>
        <v>21234.839</v>
      </c>
      <c r="O103" s="252">
        <f>VLOOKUP(Tableau1[[#This Row],[PARCS]],Tableau254[],12,FALSE)</f>
        <v>132000</v>
      </c>
      <c r="P103" s="252">
        <f>VLOOKUP(Tableau1[[#This Row],[PARCS]],Tableau254[],13,FALSE)</f>
        <v>7685185.5218460001</v>
      </c>
      <c r="Q103" s="354">
        <f>VLOOKUP(Tableau1[[#This Row],[PARCS]],Tableau2546[],10,FALSE)</f>
        <v>22581.273301166886</v>
      </c>
      <c r="R103" s="252">
        <f>VLOOKUP(Tableau1[[#This Row],[PARCS]],Tableau2546[],12,FALSE)</f>
        <v>0</v>
      </c>
      <c r="S103" s="355">
        <f>VLOOKUP(Tableau1[[#This Row],[PARCS]],Tableau2546[],13,FALSE)</f>
        <v>8376790.919156475</v>
      </c>
      <c r="T103" s="252">
        <f t="shared" si="8"/>
        <v>2687242.6318460004</v>
      </c>
      <c r="U103" s="351">
        <f t="shared" si="9"/>
        <v>0.53766973552713015</v>
      </c>
      <c r="V103" s="252">
        <f>Tableau1[[#This Row],[CA7]]-Tableau1[[#This Row],[CA4]]</f>
        <v>691605.39731047489</v>
      </c>
      <c r="W103" s="351">
        <f>(Tableau1[[#This Row],[CA7]]-Tableau1[[#This Row],[CA4]])/Tableau1[[#This Row],[CA4]]</f>
        <v>8.9992023659612272E-2</v>
      </c>
    </row>
    <row r="104" spans="1:24" ht="15.75" customHeight="1">
      <c r="A104" s="345" t="s">
        <v>538</v>
      </c>
      <c r="B104" s="346" t="str">
        <f>VLOOKUP(Tableau1[[#This Row],[PARCS]],Tableau106[],3,FALSE)</f>
        <v>A992</v>
      </c>
      <c r="C104" s="346" t="str">
        <f>VLOOKUP(Tableau1[[#This Row],[PARCS]],Tableau106[],2,FALSE)</f>
        <v>FR89E03E</v>
      </c>
      <c r="D104" s="352" t="str">
        <f>VLOOKUP(Tableau1[[#This Row],[PARCS]],Tableau106[],8,FALSE)</f>
        <v>EOLIEN</v>
      </c>
      <c r="E104" s="352" t="str">
        <f>VLOOKUP(A104,Tableau106[],6,FALSE)</f>
        <v>N</v>
      </c>
      <c r="F104" s="353" t="str">
        <f>VLOOKUP(Tableau1[[#This Row],[PARCS]],Tableau106[],5,FALSE)</f>
        <v>GOUR</v>
      </c>
      <c r="G104" s="346" t="str">
        <f>VLOOKUP(Tableau1[[#This Row],[PARCS]],Tableau106[],7,FALSE)</f>
        <v>GROUPE</v>
      </c>
      <c r="H104" s="346" t="str">
        <f>VLOOKUP(Tableau1[[#This Row],[PARCS]],Tableau106[],9,FALSE)</f>
        <v>LoH</v>
      </c>
      <c r="I104" s="347">
        <v>35817.722000000002</v>
      </c>
      <c r="J104" s="348">
        <v>2309473.1</v>
      </c>
      <c r="K104" s="354">
        <f>VLOOKUP(Tableau1[[#This Row],[PARCS]],Tableau25[],10,FALSE)</f>
        <v>35523</v>
      </c>
      <c r="L104" s="252">
        <f>VLOOKUP(Tableau1[[#This Row],[PARCS]],Tableau25[],12,FALSE)</f>
        <v>0</v>
      </c>
      <c r="M104" s="252">
        <f>VLOOKUP(Tableau1[[#This Row],[PARCS]],Tableau25[],13,FALSE)</f>
        <v>2609663.3172757896</v>
      </c>
      <c r="N104" s="354">
        <f>VLOOKUP(Tableau1[[#This Row],[PARCS]],Tableau254[],10,FALSE)</f>
        <v>37662.516125000002</v>
      </c>
      <c r="O104" s="252">
        <f>VLOOKUP(Tableau1[[#This Row],[PARCS]],Tableau254[],12,FALSE)</f>
        <v>0</v>
      </c>
      <c r="P104" s="252">
        <f>VLOOKUP(Tableau1[[#This Row],[PARCS]],Tableau254[],13,FALSE)</f>
        <v>2817156.20615</v>
      </c>
      <c r="Q104" s="354">
        <f>VLOOKUP(Tableau1[[#This Row],[PARCS]],Tableau2546[],10,FALSE)</f>
        <v>37473.257250000002</v>
      </c>
      <c r="R104" s="252">
        <f>VLOOKUP(Tableau1[[#This Row],[PARCS]],Tableau2546[],12,FALSE)</f>
        <v>0</v>
      </c>
      <c r="S104" s="355">
        <f>VLOOKUP(Tableau1[[#This Row],[PARCS]],Tableau2546[],13,FALSE)</f>
        <v>2873074.6333574997</v>
      </c>
      <c r="T104" s="252">
        <f t="shared" si="8"/>
        <v>507683.10614999989</v>
      </c>
      <c r="U104" s="351">
        <f t="shared" si="9"/>
        <v>0.21982637777855038</v>
      </c>
      <c r="V104" s="252">
        <f>Tableau1[[#This Row],[CA7]]-Tableau1[[#This Row],[CA4]]</f>
        <v>55918.427207499743</v>
      </c>
      <c r="W104" s="351">
        <f>(Tableau1[[#This Row],[CA7]]-Tableau1[[#This Row],[CA4]])/Tableau1[[#This Row],[CA4]]</f>
        <v>1.9849246231155689E-2</v>
      </c>
    </row>
    <row r="105" spans="1:24" ht="15.75" customHeight="1">
      <c r="A105" s="345" t="s">
        <v>539</v>
      </c>
      <c r="B105" s="346" t="str">
        <f>VLOOKUP(Tableau1[[#This Row],[PARCS]],Tableau106[],3,FALSE)</f>
        <v>A295</v>
      </c>
      <c r="C105" s="346" t="str">
        <f>VLOOKUP(Tableau1[[#This Row],[PARCS]],Tableau106[],2,FALSE)</f>
        <v>FR43S04E</v>
      </c>
      <c r="D105" s="352" t="str">
        <f>VLOOKUP(Tableau1[[#This Row],[PARCS]],Tableau106[],8,FALSE)</f>
        <v>SOLAIRE</v>
      </c>
      <c r="E105" s="352" t="str">
        <f>VLOOKUP(A105,Tableau106[],6,FALSE)</f>
        <v>S</v>
      </c>
      <c r="F105" s="353" t="str">
        <f>VLOOKUP(Tableau1[[#This Row],[PARCS]],Tableau106[],5,FALSE)</f>
        <v>MSTV</v>
      </c>
      <c r="G105" s="346" t="str">
        <f>VLOOKUP(Tableau1[[#This Row],[PARCS]],Tableau106[],7,FALSE)</f>
        <v>GROUPE</v>
      </c>
      <c r="H105" s="346" t="str">
        <f>VLOOKUP(Tableau1[[#This Row],[PARCS]],Tableau106[],9,FALSE)</f>
        <v>ArB</v>
      </c>
      <c r="I105" s="347"/>
      <c r="J105" s="348"/>
      <c r="K105" s="354">
        <f>VLOOKUP(Tableau1[[#This Row],[PARCS]],Tableau25[],10,FALSE)</f>
        <v>3349.5</v>
      </c>
      <c r="L105" s="252">
        <f>VLOOKUP(Tableau1[[#This Row],[PARCS]],Tableau25[],12,FALSE)</f>
        <v>0</v>
      </c>
      <c r="M105" s="252">
        <f>VLOOKUP(Tableau1[[#This Row],[PARCS]],Tableau25[],13,FALSE)</f>
        <v>240000.00855599996</v>
      </c>
      <c r="N105" s="354">
        <f>VLOOKUP(Tableau1[[#This Row],[PARCS]],Tableau254[],10,FALSE)</f>
        <v>3234</v>
      </c>
      <c r="O105" s="252">
        <f>VLOOKUP(Tableau1[[#This Row],[PARCS]],Tableau254[],12,FALSE)</f>
        <v>0</v>
      </c>
      <c r="P105" s="252">
        <f>VLOOKUP(Tableau1[[#This Row],[PARCS]],Tableau254[],13,FALSE)</f>
        <v>552426.48999999987</v>
      </c>
      <c r="Q105" s="354">
        <f>VLOOKUP(Tableau1[[#This Row],[PARCS]],Tableau2546[],10,FALSE)</f>
        <v>3234</v>
      </c>
      <c r="R105" s="252">
        <f>VLOOKUP(Tableau1[[#This Row],[PARCS]],Tableau2546[],12,FALSE)</f>
        <v>0</v>
      </c>
      <c r="S105" s="355">
        <f>VLOOKUP(Tableau1[[#This Row],[PARCS]],Tableau2546[],13,FALSE)</f>
        <v>566237.15224999981</v>
      </c>
      <c r="T105" s="252">
        <f t="shared" si="8"/>
        <v>552426.48999999987</v>
      </c>
      <c r="U105" s="351" t="str">
        <f t="shared" si="9"/>
        <v/>
      </c>
      <c r="V105" s="252">
        <f>Tableau1[[#This Row],[CA7]]-Tableau1[[#This Row],[CA4]]</f>
        <v>13810.662249999936</v>
      </c>
      <c r="W105" s="351">
        <f>(Tableau1[[#This Row],[CA7]]-Tableau1[[#This Row],[CA4]])/Tableau1[[#This Row],[CA4]]</f>
        <v>2.499999999999989E-2</v>
      </c>
    </row>
    <row r="106" spans="1:24" ht="15.75" customHeight="1">
      <c r="A106" s="345" t="s">
        <v>92</v>
      </c>
      <c r="B106" s="346" t="str">
        <f>VLOOKUP(Tableau1[[#This Row],[PARCS]],Tableau106[],3,FALSE)</f>
        <v>F212</v>
      </c>
      <c r="C106" s="346" t="str">
        <f>VLOOKUP(Tableau1[[#This Row],[PARCS]],Tableau106[],2,FALSE)</f>
        <v>FR10E01E</v>
      </c>
      <c r="D106" s="352" t="str">
        <f>VLOOKUP(Tableau1[[#This Row],[PARCS]],Tableau106[],8,FALSE)</f>
        <v>EOLIEN</v>
      </c>
      <c r="E106" s="352" t="str">
        <f>VLOOKUP(A106,Tableau106[],6,FALSE)</f>
        <v>N</v>
      </c>
      <c r="F106" s="353" t="str">
        <f>VLOOKUP(Tableau1[[#This Row],[PARCS]],Tableau106[],5,FALSE)</f>
        <v>CPE1, CPE2</v>
      </c>
      <c r="G106" s="346" t="str">
        <f>VLOOKUP(Tableau1[[#This Row],[PARCS]],Tableau106[],7,FALSE)</f>
        <v>FUTUREN</v>
      </c>
      <c r="H106" s="346" t="str">
        <f>VLOOKUP(Tableau1[[#This Row],[PARCS]],Tableau106[],9,FALSE)</f>
        <v>AlY</v>
      </c>
      <c r="I106" s="347">
        <v>41179.508000000002</v>
      </c>
      <c r="J106" s="348">
        <v>3775522.1</v>
      </c>
      <c r="K106" s="354">
        <f>VLOOKUP(Tableau1[[#This Row],[PARCS]],Tableau25[],10,FALSE)</f>
        <v>47133</v>
      </c>
      <c r="L106" s="252">
        <f>VLOOKUP(Tableau1[[#This Row],[PARCS]],Tableau25[],12,FALSE)</f>
        <v>0</v>
      </c>
      <c r="M106" s="252">
        <f>VLOOKUP(Tableau1[[#This Row],[PARCS]],Tableau25[],13,FALSE)</f>
        <v>4437117.5878800005</v>
      </c>
      <c r="N106" s="354">
        <f>VLOOKUP(Tableau1[[#This Row],[PARCS]],Tableau254[],10,FALSE)</f>
        <v>47945.853000000003</v>
      </c>
      <c r="O106" s="252">
        <f>VLOOKUP(Tableau1[[#This Row],[PARCS]],Tableau254[],12,FALSE)</f>
        <v>566304</v>
      </c>
      <c r="P106" s="252">
        <f>VLOOKUP(Tableau1[[#This Row],[PARCS]],Tableau254[],13,FALSE)</f>
        <v>4608699.2279190002</v>
      </c>
      <c r="Q106" s="354">
        <f>VLOOKUP(Tableau1[[#This Row],[PARCS]],Tableau2546[],10,FALSE)</f>
        <v>43897.377248639983</v>
      </c>
      <c r="R106" s="252">
        <f>VLOOKUP(Tableau1[[#This Row],[PARCS]],Tableau2546[],12,FALSE)</f>
        <v>0</v>
      </c>
      <c r="S106" s="355">
        <f>VLOOKUP(Tableau1[[#This Row],[PARCS]],Tableau2546[],13,FALSE)</f>
        <v>4325036.2831027964</v>
      </c>
      <c r="T106" s="252">
        <f t="shared" si="8"/>
        <v>833177.12791900011</v>
      </c>
      <c r="U106" s="351">
        <f t="shared" si="9"/>
        <v>0.22067865207807949</v>
      </c>
      <c r="V106" s="252">
        <f>Tableau1[[#This Row],[CA7]]-Tableau1[[#This Row],[CA4]]</f>
        <v>-283662.94481620379</v>
      </c>
      <c r="W106" s="351">
        <f>(Tableau1[[#This Row],[CA7]]-Tableau1[[#This Row],[CA4]])/Tableau1[[#This Row],[CA4]]</f>
        <v>-6.1549459139751281E-2</v>
      </c>
      <c r="X106" s="6" t="s">
        <v>540</v>
      </c>
    </row>
    <row r="107" spans="1:24" ht="15.75" customHeight="1">
      <c r="A107" s="345" t="s">
        <v>541</v>
      </c>
      <c r="B107" s="346" t="str">
        <f>VLOOKUP(Tableau1[[#This Row],[PARCS]],Tableau106[],3,FALSE)</f>
        <v>A900</v>
      </c>
      <c r="C107" s="346" t="str">
        <f>VLOOKUP(Tableau1[[#This Row],[PARCS]],Tableau106[],2,FALSE)</f>
        <v>FR66E99E</v>
      </c>
      <c r="D107" s="352" t="str">
        <f>VLOOKUP(Tableau1[[#This Row],[PARCS]],Tableau106[],8,FALSE)</f>
        <v>EOLIEN</v>
      </c>
      <c r="E107" s="352" t="str">
        <f>VLOOKUP(A107,Tableau106[],6,FALSE)</f>
        <v>S</v>
      </c>
      <c r="F107" s="353" t="str">
        <f>VLOOKUP(Tableau1[[#This Row],[PARCS]],Tableau106[],5,FALSE)</f>
        <v>PEZI</v>
      </c>
      <c r="G107" s="346" t="str">
        <f>VLOOKUP(Tableau1[[#This Row],[PARCS]],Tableau106[],7,FALSE)</f>
        <v>GROUPE</v>
      </c>
      <c r="H107" s="346" t="str">
        <f>VLOOKUP(Tableau1[[#This Row],[PARCS]],Tableau106[],9,FALSE)</f>
        <v>PiM</v>
      </c>
      <c r="I107" s="347">
        <v>198813.02</v>
      </c>
      <c r="J107" s="348">
        <v>18213784.780000001</v>
      </c>
      <c r="K107" s="354">
        <f>VLOOKUP(Tableau1[[#This Row],[PARCS]],Tableau25[],10,FALSE)</f>
        <v>226668.70025000002</v>
      </c>
      <c r="L107" s="252">
        <f>VLOOKUP(Tableau1[[#This Row],[PARCS]],Tableau25[],12,FALSE)</f>
        <v>0</v>
      </c>
      <c r="M107" s="252">
        <f>VLOOKUP(Tableau1[[#This Row],[PARCS]],Tableau25[],13,FALSE)</f>
        <v>21469370.940171082</v>
      </c>
      <c r="N107" s="354">
        <f>VLOOKUP(Tableau1[[#This Row],[PARCS]],Tableau254[],10,FALSE)</f>
        <v>222654.47899999999</v>
      </c>
      <c r="O107" s="252">
        <f>VLOOKUP(Tableau1[[#This Row],[PARCS]],Tableau254[],12,FALSE)</f>
        <v>180000</v>
      </c>
      <c r="P107" s="252">
        <f>VLOOKUP(Tableau1[[#This Row],[PARCS]],Tableau254[],13,FALSE)</f>
        <v>21509981.252753001</v>
      </c>
      <c r="Q107" s="354">
        <f>VLOOKUP(Tableau1[[#This Row],[PARCS]],Tableau2546[],10,FALSE)</f>
        <v>253978.6143922334</v>
      </c>
      <c r="R107" s="252">
        <f>VLOOKUP(Tableau1[[#This Row],[PARCS]],Tableau2546[],12,FALSE)</f>
        <v>0</v>
      </c>
      <c r="S107" s="355">
        <f>VLOOKUP(Tableau1[[#This Row],[PARCS]],Tableau2546[],13,FALSE)</f>
        <v>25149514.800605252</v>
      </c>
      <c r="T107" s="252">
        <f t="shared" si="8"/>
        <v>3296196.4727529995</v>
      </c>
      <c r="U107" s="351">
        <f t="shared" si="9"/>
        <v>0.1809726266433351</v>
      </c>
      <c r="V107" s="252">
        <f>Tableau1[[#This Row],[CA7]]-Tableau1[[#This Row],[CA4]]</f>
        <v>3639533.5478522517</v>
      </c>
      <c r="W107" s="351">
        <f>(Tableau1[[#This Row],[CA7]]-Tableau1[[#This Row],[CA4]])/Tableau1[[#This Row],[CA4]]</f>
        <v>0.16920207902954068</v>
      </c>
      <c r="X107" s="6" t="s">
        <v>542</v>
      </c>
    </row>
    <row r="108" spans="1:24" ht="15.75" customHeight="1">
      <c r="A108" s="345" t="s">
        <v>543</v>
      </c>
      <c r="B108" s="346" t="str">
        <f>VLOOKUP(Tableau1[[#This Row],[PARCS]],Tableau106[],3,FALSE)</f>
        <v>A902</v>
      </c>
      <c r="C108" s="346" t="str">
        <f>VLOOKUP(Tableau1[[#This Row],[PARCS]],Tableau106[],2,FALSE)</f>
        <v>FR17S01E</v>
      </c>
      <c r="D108" s="352" t="str">
        <f>VLOOKUP(Tableau1[[#This Row],[PARCS]],Tableau106[],8,FALSE)</f>
        <v>SOLAIRE</v>
      </c>
      <c r="E108" s="352" t="str">
        <f>VLOOKUP(A108,Tableau106[],6,FALSE)</f>
        <v>N</v>
      </c>
      <c r="F108" s="353" t="str">
        <f>VLOOKUP(Tableau1[[#This Row],[PARCS]],Tableau106[],5,FALSE)</f>
        <v>MDR1</v>
      </c>
      <c r="G108" s="346" t="str">
        <f>VLOOKUP(Tableau1[[#This Row],[PARCS]],Tableau106[],7,FALSE)</f>
        <v>GROUPE</v>
      </c>
      <c r="H108" s="346" t="str">
        <f>VLOOKUP(Tableau1[[#This Row],[PARCS]],Tableau106[],9,FALSE)</f>
        <v>BaA</v>
      </c>
      <c r="I108" s="347">
        <v>6962.92</v>
      </c>
      <c r="J108" s="348">
        <v>2392020</v>
      </c>
      <c r="K108" s="354">
        <f>VLOOKUP(Tableau1[[#This Row],[PARCS]],Tableau25[],10,FALSE)</f>
        <v>6768</v>
      </c>
      <c r="L108" s="252">
        <f>VLOOKUP(Tableau1[[#This Row],[PARCS]],Tableau25[],12,FALSE)</f>
        <v>0</v>
      </c>
      <c r="M108" s="252">
        <f>VLOOKUP(Tableau1[[#This Row],[PARCS]],Tableau25[],13,FALSE)</f>
        <v>2356116.6867840001</v>
      </c>
      <c r="N108" s="354">
        <f>VLOOKUP(Tableau1[[#This Row],[PARCS]],Tableau254[],10,FALSE)</f>
        <v>6976.0665833333342</v>
      </c>
      <c r="O108" s="252">
        <f>VLOOKUP(Tableau1[[#This Row],[PARCS]],Tableau254[],12,FALSE)</f>
        <v>0</v>
      </c>
      <c r="P108" s="252">
        <f>VLOOKUP(Tableau1[[#This Row],[PARCS]],Tableau254[],13,FALSE)</f>
        <v>2469590.3550992506</v>
      </c>
      <c r="Q108" s="354">
        <f>VLOOKUP(Tableau1[[#This Row],[PARCS]],Tableau2546[],10,FALSE)</f>
        <v>6787.8540195372625</v>
      </c>
      <c r="R108" s="252">
        <f>VLOOKUP(Tableau1[[#This Row],[PARCS]],Tableau2546[],12,FALSE)</f>
        <v>0</v>
      </c>
      <c r="S108" s="355">
        <f>VLOOKUP(Tableau1[[#This Row],[PARCS]],Tableau2546[],13,FALSE)</f>
        <v>2463035.4489424257</v>
      </c>
      <c r="T108" s="252">
        <f t="shared" si="8"/>
        <v>77570.355099250562</v>
      </c>
      <c r="U108" s="351">
        <f t="shared" si="9"/>
        <v>3.2428807074878371E-2</v>
      </c>
      <c r="V108" s="252">
        <f>Tableau1[[#This Row],[CA7]]-Tableau1[[#This Row],[CA4]]</f>
        <v>-6554.9061568249017</v>
      </c>
      <c r="W108" s="351">
        <f>(Tableau1[[#This Row],[CA7]]-Tableau1[[#This Row],[CA4]])/Tableau1[[#This Row],[CA4]]</f>
        <v>-2.6542483628064972E-3</v>
      </c>
    </row>
    <row r="109" spans="1:24" ht="15.75" customHeight="1">
      <c r="A109" s="345" t="s">
        <v>544</v>
      </c>
      <c r="B109" s="346" t="str">
        <f>VLOOKUP(Tableau1[[#This Row],[PARCS]],Tableau106[],3,FALSE)</f>
        <v>A958</v>
      </c>
      <c r="C109" s="346" t="str">
        <f>VLOOKUP(Tableau1[[#This Row],[PARCS]],Tableau106[],2,FALSE)</f>
        <v>FR11E92E</v>
      </c>
      <c r="D109" s="352" t="str">
        <f>VLOOKUP(Tableau1[[#This Row],[PARCS]],Tableau106[],8,FALSE)</f>
        <v>EOLIEN</v>
      </c>
      <c r="E109" s="352" t="str">
        <f>VLOOKUP(A109,Tableau106[],6,FALSE)</f>
        <v>S</v>
      </c>
      <c r="F109" s="353" t="str">
        <f>VLOOKUP(Tableau1[[#This Row],[PARCS]],Tableau106[],5,FALSE)</f>
        <v>CONI</v>
      </c>
      <c r="G109" s="346" t="str">
        <f>VLOOKUP(Tableau1[[#This Row],[PARCS]],Tableau106[],7,FALSE)</f>
        <v>FUTUREN</v>
      </c>
      <c r="H109" s="346" t="str">
        <f>VLOOKUP(Tableau1[[#This Row],[PARCS]],Tableau106[],9,FALSE)</f>
        <v>StE</v>
      </c>
      <c r="I109" s="347">
        <v>27558.063999999998</v>
      </c>
      <c r="J109" s="348">
        <v>2526085.66</v>
      </c>
      <c r="K109" s="354">
        <f>VLOOKUP(Tableau1[[#This Row],[PARCS]],Tableau25[],10,FALSE)</f>
        <v>32936</v>
      </c>
      <c r="L109" s="252">
        <f>VLOOKUP(Tableau1[[#This Row],[PARCS]],Tableau25[],12,FALSE)</f>
        <v>0</v>
      </c>
      <c r="M109" s="252">
        <f>VLOOKUP(Tableau1[[#This Row],[PARCS]],Tableau25[],13,FALSE)</f>
        <v>3118226.7084031994</v>
      </c>
      <c r="N109" s="354">
        <f>VLOOKUP(Tableau1[[#This Row],[PARCS]],Tableau254[],10,FALSE)</f>
        <v>32999.748</v>
      </c>
      <c r="O109" s="252">
        <f>VLOOKUP(Tableau1[[#This Row],[PARCS]],Tableau254[],12,FALSE)</f>
        <v>186370.55</v>
      </c>
      <c r="P109" s="252">
        <f>VLOOKUP(Tableau1[[#This Row],[PARCS]],Tableau254[],13,FALSE)</f>
        <v>3182132.6998919998</v>
      </c>
      <c r="Q109" s="354">
        <f>VLOOKUP(Tableau1[[#This Row],[PARCS]],Tableau2546[],10,FALSE)</f>
        <v>33928.907330633985</v>
      </c>
      <c r="R109" s="252">
        <f>VLOOKUP(Tableau1[[#This Row],[PARCS]],Tableau2546[],12,FALSE)</f>
        <v>0</v>
      </c>
      <c r="S109" s="355">
        <f>VLOOKUP(Tableau1[[#This Row],[PARCS]],Tableau2546[],13,FALSE)</f>
        <v>3353523.8701103469</v>
      </c>
      <c r="T109" s="252">
        <f t="shared" si="8"/>
        <v>656047.03989199968</v>
      </c>
      <c r="U109" s="351">
        <f t="shared" si="9"/>
        <v>0.25970894426913443</v>
      </c>
      <c r="V109" s="252">
        <f>Tableau1[[#This Row],[CA7]]-Tableau1[[#This Row],[CA4]]</f>
        <v>171391.17021834711</v>
      </c>
      <c r="W109" s="351">
        <f>(Tableau1[[#This Row],[CA7]]-Tableau1[[#This Row],[CA4]])/Tableau1[[#This Row],[CA4]]</f>
        <v>5.386047232542001E-2</v>
      </c>
      <c r="X109" s="6" t="s">
        <v>545</v>
      </c>
    </row>
    <row r="110" spans="1:24" ht="15.75" customHeight="1">
      <c r="A110" s="345" t="s">
        <v>546</v>
      </c>
      <c r="B110" s="346" t="str">
        <f>VLOOKUP(Tableau1[[#This Row],[PARCS]],Tableau106[],3,FALSE)</f>
        <v>A541</v>
      </c>
      <c r="C110" s="346" t="str">
        <f>VLOOKUP(Tableau1[[#This Row],[PARCS]],Tableau106[],2,FALSE)</f>
        <v>FR55E04E</v>
      </c>
      <c r="D110" s="352" t="str">
        <f>VLOOKUP(Tableau1[[#This Row],[PARCS]],Tableau106[],8,FALSE)</f>
        <v>EOLIEN</v>
      </c>
      <c r="E110" s="352" t="str">
        <f>VLOOKUP(A110,Tableau106[],6,FALSE)</f>
        <v>N</v>
      </c>
      <c r="F110" s="353" t="str">
        <f>VLOOKUP(Tableau1[[#This Row],[PARCS]],Tableau106[],5,FALSE)</f>
        <v>LANE</v>
      </c>
      <c r="G110" s="346" t="str">
        <f>VLOOKUP(Tableau1[[#This Row],[PARCS]],Tableau106[],7,FALSE)</f>
        <v>EGM</v>
      </c>
      <c r="H110" s="346" t="str">
        <f>VLOOKUP(Tableau1[[#This Row],[PARCS]],Tableau106[],9,FALSE)</f>
        <v>MaA</v>
      </c>
      <c r="I110" s="347">
        <v>15166.25</v>
      </c>
      <c r="J110" s="348">
        <v>2412084.5</v>
      </c>
      <c r="K110" s="354">
        <f>VLOOKUP(Tableau1[[#This Row],[PARCS]],Tableau25[],10,FALSE)</f>
        <v>15597</v>
      </c>
      <c r="L110" s="252">
        <f>VLOOKUP(Tableau1[[#This Row],[PARCS]],Tableau25[],12,FALSE)</f>
        <v>0</v>
      </c>
      <c r="M110" s="252">
        <f>VLOOKUP(Tableau1[[#This Row],[PARCS]],Tableau25[],13,FALSE)</f>
        <v>3438820.3212000001</v>
      </c>
      <c r="N110" s="354">
        <f>VLOOKUP(Tableau1[[#This Row],[PARCS]],Tableau254[],10,FALSE)</f>
        <v>17520.723097135971</v>
      </c>
      <c r="O110" s="252">
        <f>VLOOKUP(Tableau1[[#This Row],[PARCS]],Tableau254[],12,FALSE)</f>
        <v>0</v>
      </c>
      <c r="P110" s="252">
        <f>VLOOKUP(Tableau1[[#This Row],[PARCS]],Tableau254[],13,FALSE)</f>
        <v>2945865.612714286</v>
      </c>
      <c r="Q110" s="354">
        <f>VLOOKUP(Tableau1[[#This Row],[PARCS]],Tableau2546[],10,FALSE)</f>
        <v>15597</v>
      </c>
      <c r="R110" s="252">
        <f>VLOOKUP(Tableau1[[#This Row],[PARCS]],Tableau2546[],12,FALSE)</f>
        <v>0</v>
      </c>
      <c r="S110" s="355">
        <f>VLOOKUP(Tableau1[[#This Row],[PARCS]],Tableau2546[],13,FALSE)</f>
        <v>2687978.8208193751</v>
      </c>
      <c r="T110" s="252">
        <f t="shared" si="8"/>
        <v>533781.11271428596</v>
      </c>
      <c r="U110" s="351">
        <f t="shared" si="9"/>
        <v>0.22129453288816622</v>
      </c>
      <c r="V110" s="252">
        <f>Tableau1[[#This Row],[CA7]]-Tableau1[[#This Row],[CA4]]</f>
        <v>-257886.79189491086</v>
      </c>
      <c r="W110" s="351">
        <f>(Tableau1[[#This Row],[CA7]]-Tableau1[[#This Row],[CA4]])/Tableau1[[#This Row],[CA4]]</f>
        <v>-8.7541940400090751E-2</v>
      </c>
    </row>
    <row r="111" spans="1:24" ht="15.75" customHeight="1">
      <c r="A111" s="345" t="s">
        <v>547</v>
      </c>
      <c r="B111" s="346" t="str">
        <f>VLOOKUP(Tableau1[[#This Row],[PARCS]],Tableau106[],3,FALSE)</f>
        <v>F168</v>
      </c>
      <c r="C111" s="346" t="str">
        <f>VLOOKUP(Tableau1[[#This Row],[PARCS]],Tableau106[],2,FALSE)</f>
        <v>FR80E91E</v>
      </c>
      <c r="D111" s="352" t="str">
        <f>VLOOKUP(Tableau1[[#This Row],[PARCS]],Tableau106[],8,FALSE)</f>
        <v>EOLIEN</v>
      </c>
      <c r="E111" s="352" t="str">
        <f>VLOOKUP(A111,Tableau106[],6,FALSE)</f>
        <v>N</v>
      </c>
      <c r="F111" s="353" t="str">
        <f>VLOOKUP(Tableau1[[#This Row],[PARCS]],Tableau106[],5,FALSE)</f>
        <v>HAB1, HAB2</v>
      </c>
      <c r="G111" s="346" t="str">
        <f>VLOOKUP(Tableau1[[#This Row],[PARCS]],Tableau106[],7,FALSE)</f>
        <v>FUTUREN</v>
      </c>
      <c r="H111" s="346" t="str">
        <f>VLOOKUP(Tableau1[[#This Row],[PARCS]],Tableau106[],9,FALSE)</f>
        <v>NiD</v>
      </c>
      <c r="I111" s="347">
        <v>37407.307999999997</v>
      </c>
      <c r="J111" s="348">
        <v>3436081.9</v>
      </c>
      <c r="K111" s="354">
        <f>VLOOKUP(Tableau1[[#This Row],[PARCS]],Tableau25[],10,FALSE)</f>
        <v>43975</v>
      </c>
      <c r="L111" s="252">
        <f>VLOOKUP(Tableau1[[#This Row],[PARCS]],Tableau25[],12,FALSE)</f>
        <v>0</v>
      </c>
      <c r="M111" s="252">
        <f>VLOOKUP(Tableau1[[#This Row],[PARCS]],Tableau25[],13,FALSE)</f>
        <v>4138495.0247800001</v>
      </c>
      <c r="N111" s="354">
        <f>VLOOKUP(Tableau1[[#This Row],[PARCS]],Tableau254[],10,FALSE)</f>
        <v>44209.713166666661</v>
      </c>
      <c r="O111" s="252">
        <f>VLOOKUP(Tableau1[[#This Row],[PARCS]],Tableau254[],12,FALSE)</f>
        <v>0</v>
      </c>
      <c r="P111" s="252">
        <f>VLOOKUP(Tableau1[[#This Row],[PARCS]],Tableau254[],13,FALSE)</f>
        <v>4242806.1726049995</v>
      </c>
      <c r="Q111" s="354">
        <f>VLOOKUP(Tableau1[[#This Row],[PARCS]],Tableau2546[],10,FALSE)</f>
        <v>40607.339773274958</v>
      </c>
      <c r="R111" s="252">
        <f>VLOOKUP(Tableau1[[#This Row],[PARCS]],Tableau2546[],12,FALSE)</f>
        <v>0</v>
      </c>
      <c r="S111" s="355">
        <f>VLOOKUP(Tableau1[[#This Row],[PARCS]],Tableau2546[],13,FALSE)</f>
        <v>3994513.5579922274</v>
      </c>
      <c r="T111" s="252">
        <f t="shared" si="8"/>
        <v>806724.2726049996</v>
      </c>
      <c r="U111" s="351">
        <f t="shared" si="9"/>
        <v>0.23478028058789857</v>
      </c>
      <c r="V111" s="252">
        <f>Tableau1[[#This Row],[CA7]]-Tableau1[[#This Row],[CA4]]</f>
        <v>-248292.61461277213</v>
      </c>
      <c r="W111" s="351">
        <f>(Tableau1[[#This Row],[CA7]]-Tableau1[[#This Row],[CA4]])/Tableau1[[#This Row],[CA4]]</f>
        <v>-5.8520847880337026E-2</v>
      </c>
    </row>
    <row r="112" spans="1:24" ht="15.75" customHeight="1">
      <c r="A112" s="345" t="s">
        <v>240</v>
      </c>
      <c r="B112" s="346" t="str">
        <f>VLOOKUP(Tableau1[[#This Row],[PARCS]],Tableau106[],3,FALSE)</f>
        <v>F208</v>
      </c>
      <c r="C112" s="346" t="str">
        <f>VLOOKUP(Tableau1[[#This Row],[PARCS]],Tableau106[],2,FALSE)</f>
        <v>FR17E05E</v>
      </c>
      <c r="D112" s="352" t="str">
        <f>VLOOKUP(Tableau1[[#This Row],[PARCS]],Tableau106[],8,FALSE)</f>
        <v>EOLIEN</v>
      </c>
      <c r="E112" s="352" t="str">
        <f>VLOOKUP(A112,Tableau106[],6,FALSE)</f>
        <v>S</v>
      </c>
      <c r="F112" s="353" t="str">
        <f>VLOOKUP(Tableau1[[#This Row],[PARCS]],Tableau106[],5,FALSE)</f>
        <v>NAC1, NAC2</v>
      </c>
      <c r="G112" s="346" t="str">
        <f>VLOOKUP(Tableau1[[#This Row],[PARCS]],Tableau106[],7,FALSE)</f>
        <v>FUTUREN</v>
      </c>
      <c r="H112" s="346" t="str">
        <f>VLOOKUP(Tableau1[[#This Row],[PARCS]],Tableau106[],9,FALSE)</f>
        <v>NoS</v>
      </c>
      <c r="I112" s="347">
        <v>50100.57</v>
      </c>
      <c r="J112" s="348">
        <v>4365968.01</v>
      </c>
      <c r="K112" s="354">
        <f>VLOOKUP(Tableau1[[#This Row],[PARCS]],Tableau25[],10,FALSE)</f>
        <v>49393</v>
      </c>
      <c r="L112" s="252">
        <f>VLOOKUP(Tableau1[[#This Row],[PARCS]],Tableau25[],12,FALSE)</f>
        <v>0</v>
      </c>
      <c r="M112" s="252">
        <f>VLOOKUP(Tableau1[[#This Row],[PARCS]],Tableau25[],13,FALSE)</f>
        <v>4415967.3349599997</v>
      </c>
      <c r="N112" s="354">
        <f>VLOOKUP(Tableau1[[#This Row],[PARCS]],Tableau254[],10,FALSE)</f>
        <v>51994.37225</v>
      </c>
      <c r="O112" s="252">
        <f>VLOOKUP(Tableau1[[#This Row],[PARCS]],Tableau254[],12,FALSE)</f>
        <v>0</v>
      </c>
      <c r="P112" s="252">
        <f>VLOOKUP(Tableau1[[#This Row],[PARCS]],Tableau254[],13,FALSE)</f>
        <v>4740534.8955215001</v>
      </c>
      <c r="Q112" s="354">
        <f>VLOOKUP(Tableau1[[#This Row],[PARCS]],Tableau2546[],10,FALSE)</f>
        <v>52372.184842799958</v>
      </c>
      <c r="R112" s="252">
        <f>VLOOKUP(Tableau1[[#This Row],[PARCS]],Tableau2546[],12,FALSE)</f>
        <v>0</v>
      </c>
      <c r="S112" s="355">
        <f>VLOOKUP(Tableau1[[#This Row],[PARCS]],Tableau2546[],13,FALSE)</f>
        <v>4894356.1203788798</v>
      </c>
      <c r="T112" s="252">
        <f t="shared" si="8"/>
        <v>374566.88552150037</v>
      </c>
      <c r="U112" s="351">
        <f t="shared" si="9"/>
        <v>8.5792402661580752E-2</v>
      </c>
      <c r="V112" s="252">
        <f>Tableau1[[#This Row],[CA7]]-Tableau1[[#This Row],[CA4]]</f>
        <v>153821.22485737968</v>
      </c>
      <c r="W112" s="351">
        <f>(Tableau1[[#This Row],[CA7]]-Tableau1[[#This Row],[CA4]])/Tableau1[[#This Row],[CA4]]</f>
        <v>3.2448073529149288E-2</v>
      </c>
    </row>
    <row r="113" spans="1:24" ht="15.75" customHeight="1">
      <c r="A113" s="345" t="s">
        <v>548</v>
      </c>
      <c r="B113" s="346" t="str">
        <f>VLOOKUP(Tableau1[[#This Row],[PARCS]],Tableau106[],3,FALSE)</f>
        <v>A119</v>
      </c>
      <c r="C113" s="346" t="str">
        <f>VLOOKUP(Tableau1[[#This Row],[PARCS]],Tableau106[],2,FALSE)</f>
        <v>FR11S97E</v>
      </c>
      <c r="D113" s="352" t="str">
        <f>VLOOKUP(Tableau1[[#This Row],[PARCS]],Tableau106[],8,FALSE)</f>
        <v>SOLAIRE</v>
      </c>
      <c r="E113" s="352" t="str">
        <f>VLOOKUP(A113,Tableau106[],6,FALSE)</f>
        <v>S</v>
      </c>
      <c r="F113" s="353" t="str">
        <f>VLOOKUP(Tableau1[[#This Row],[PARCS]],Tableau106[],5,FALSE)</f>
        <v>NARB</v>
      </c>
      <c r="G113" s="346" t="str">
        <f>VLOOKUP(Tableau1[[#This Row],[PARCS]],Tableau106[],7,FALSE)</f>
        <v>GROUPE</v>
      </c>
      <c r="H113" s="346" t="str">
        <f>VLOOKUP(Tableau1[[#This Row],[PARCS]],Tableau106[],9,FALSE)</f>
        <v>BaA</v>
      </c>
      <c r="I113" s="347">
        <v>8388.0830000000005</v>
      </c>
      <c r="J113" s="348">
        <v>2804788.79</v>
      </c>
      <c r="K113" s="354">
        <f>VLOOKUP(Tableau1[[#This Row],[PARCS]],Tableau25[],10,FALSE)</f>
        <v>8797</v>
      </c>
      <c r="L113" s="252">
        <f>VLOOKUP(Tableau1[[#This Row],[PARCS]],Tableau25[],12,FALSE)</f>
        <v>0</v>
      </c>
      <c r="M113" s="252">
        <f>VLOOKUP(Tableau1[[#This Row],[PARCS]],Tableau25[],13,FALSE)</f>
        <v>3203325.9552063998</v>
      </c>
      <c r="N113" s="354">
        <f>VLOOKUP(Tableau1[[#This Row],[PARCS]],Tableau254[],10,FALSE)</f>
        <v>8941.7382142857132</v>
      </c>
      <c r="O113" s="252">
        <f>VLOOKUP(Tableau1[[#This Row],[PARCS]],Tableau254[],12,FALSE)</f>
        <v>0</v>
      </c>
      <c r="P113" s="252">
        <f>VLOOKUP(Tableau1[[#This Row],[PARCS]],Tableau254[],13,FALSE)</f>
        <v>3386307.7956557139</v>
      </c>
      <c r="Q113" s="354">
        <f>VLOOKUP(Tableau1[[#This Row],[PARCS]],Tableau2546[],10,FALSE)</f>
        <v>8763.0729078064178</v>
      </c>
      <c r="R113" s="252">
        <f>VLOOKUP(Tableau1[[#This Row],[PARCS]],Tableau2546[],12,FALSE)</f>
        <v>0</v>
      </c>
      <c r="S113" s="355">
        <f>VLOOKUP(Tableau1[[#This Row],[PARCS]],Tableau2546[],13,FALSE)</f>
        <v>3401611.9601387917</v>
      </c>
      <c r="T113" s="252">
        <f t="shared" si="8"/>
        <v>581519.00565571385</v>
      </c>
      <c r="U113" s="351">
        <f t="shared" si="9"/>
        <v>0.207330765057612</v>
      </c>
      <c r="V113" s="252">
        <f>Tableau1[[#This Row],[CA7]]-Tableau1[[#This Row],[CA4]]</f>
        <v>15304.164483077824</v>
      </c>
      <c r="W113" s="351">
        <f>(Tableau1[[#This Row],[CA7]]-Tableau1[[#This Row],[CA4]])/Tableau1[[#This Row],[CA4]]</f>
        <v>4.5194251103551483E-3</v>
      </c>
    </row>
    <row r="114" spans="1:24" ht="15.75" customHeight="1">
      <c r="A114" s="345" t="s">
        <v>342</v>
      </c>
      <c r="B114" s="346" t="str">
        <f>VLOOKUP(Tableau1[[#This Row],[PARCS]],Tableau106[],3,FALSE)</f>
        <v>A540</v>
      </c>
      <c r="C114" s="346" t="str">
        <f>VLOOKUP(Tableau1[[#This Row],[PARCS]],Tableau106[],2,FALSE)</f>
        <v>FR02E05E</v>
      </c>
      <c r="D114" s="352" t="str">
        <f>VLOOKUP(Tableau1[[#This Row],[PARCS]],Tableau106[],8,FALSE)</f>
        <v>EOLIEN</v>
      </c>
      <c r="E114" s="352" t="str">
        <f>VLOOKUP(A114,Tableau106[],6,FALSE)</f>
        <v>N</v>
      </c>
      <c r="F114" s="353" t="str">
        <f>VLOOKUP(Tableau1[[#This Row],[PARCS]],Tableau106[],5,FALSE)</f>
        <v>SERY</v>
      </c>
      <c r="G114" s="346" t="str">
        <f>VLOOKUP(Tableau1[[#This Row],[PARCS]],Tableau106[],7,FALSE)</f>
        <v>EGM</v>
      </c>
      <c r="H114" s="346" t="str">
        <f>VLOOKUP(Tableau1[[#This Row],[PARCS]],Tableau106[],9,FALSE)</f>
        <v>NoS</v>
      </c>
      <c r="I114" s="347">
        <v>15130.775</v>
      </c>
      <c r="J114" s="348">
        <v>2414109.2400000002</v>
      </c>
      <c r="K114" s="354">
        <f>VLOOKUP(Tableau1[[#This Row],[PARCS]],Tableau25[],10,FALSE)</f>
        <v>17090.523000000001</v>
      </c>
      <c r="L114" s="252">
        <f>VLOOKUP(Tableau1[[#This Row],[PARCS]],Tableau25[],12,FALSE)</f>
        <v>0</v>
      </c>
      <c r="M114" s="252">
        <f>VLOOKUP(Tableau1[[#This Row],[PARCS]],Tableau25[],13,FALSE)</f>
        <v>3768111.6748308004</v>
      </c>
      <c r="N114" s="354">
        <f>VLOOKUP(Tableau1[[#This Row],[PARCS]],Tableau254[],10,FALSE)</f>
        <v>17848.557318160114</v>
      </c>
      <c r="O114" s="252">
        <f>VLOOKUP(Tableau1[[#This Row],[PARCS]],Tableau254[],12,FALSE)</f>
        <v>0</v>
      </c>
      <c r="P114" s="252">
        <f>VLOOKUP(Tableau1[[#This Row],[PARCS]],Tableau254[],13,FALSE)</f>
        <v>3001705.6687478898</v>
      </c>
      <c r="Q114" s="354">
        <f>VLOOKUP(Tableau1[[#This Row],[PARCS]],Tableau2546[],10,FALSE)</f>
        <v>16519.388163588959</v>
      </c>
      <c r="R114" s="252">
        <f>VLOOKUP(Tableau1[[#This Row],[PARCS]],Tableau2546[],12,FALSE)</f>
        <v>0</v>
      </c>
      <c r="S114" s="355">
        <f>VLOOKUP(Tableau1[[#This Row],[PARCS]],Tableau2546[],13,FALSE)</f>
        <v>2847625.0890345555</v>
      </c>
      <c r="T114" s="252">
        <f t="shared" si="8"/>
        <v>587596.42874788959</v>
      </c>
      <c r="U114" s="351">
        <f t="shared" si="9"/>
        <v>0.24340092776741518</v>
      </c>
      <c r="V114" s="252">
        <f>Tableau1[[#This Row],[CA7]]-Tableau1[[#This Row],[CA4]]</f>
        <v>-154080.57971333433</v>
      </c>
      <c r="W114" s="351">
        <f>(Tableau1[[#This Row],[CA7]]-Tableau1[[#This Row],[CA4]])/Tableau1[[#This Row],[CA4]]</f>
        <v>-5.1331008672014934E-2</v>
      </c>
    </row>
    <row r="115" spans="1:24" ht="15.75" customHeight="1">
      <c r="A115" s="345" t="s">
        <v>403</v>
      </c>
      <c r="B115" s="346" t="str">
        <f>VLOOKUP(Tableau1[[#This Row],[PARCS]],Tableau106[],3,FALSE)</f>
        <v>A258</v>
      </c>
      <c r="C115" s="346" t="str">
        <f>VLOOKUP(Tableau1[[#This Row],[PARCS]],Tableau106[],2,FALSE)</f>
        <v>FR01S04E</v>
      </c>
      <c r="D115" s="352" t="str">
        <f>VLOOKUP(Tableau1[[#This Row],[PARCS]],Tableau106[],8,FALSE)</f>
        <v>SOLAIRE</v>
      </c>
      <c r="E115" s="352" t="str">
        <f>VLOOKUP(A115,Tableau106[],6,FALSE)</f>
        <v>S</v>
      </c>
      <c r="F115" s="353" t="str">
        <f>VLOOKUP(Tableau1[[#This Row],[PARCS]],Tableau106[],5,FALSE)</f>
        <v>NIEV</v>
      </c>
      <c r="G115" s="346" t="str">
        <f>VLOOKUP(Tableau1[[#This Row],[PARCS]],Tableau106[],7,FALSE)</f>
        <v>GROUPE</v>
      </c>
      <c r="H115" s="346" t="str">
        <f>VLOOKUP(Tableau1[[#This Row],[PARCS]],Tableau106[],9,FALSE)</f>
        <v>ZaA</v>
      </c>
      <c r="I115" s="347">
        <v>12379.856</v>
      </c>
      <c r="J115" s="348">
        <v>0</v>
      </c>
      <c r="K115" s="354">
        <f>VLOOKUP(Tableau1[[#This Row],[PARCS]],Tableau25[],10,FALSE)</f>
        <v>14949</v>
      </c>
      <c r="L115" s="252">
        <f>VLOOKUP(Tableau1[[#This Row],[PARCS]],Tableau25[],12,FALSE)</f>
        <v>0</v>
      </c>
      <c r="M115" s="252">
        <f>VLOOKUP(Tableau1[[#This Row],[PARCS]],Tableau25[],13,FALSE)</f>
        <v>995320.86389999988</v>
      </c>
      <c r="N115" s="354">
        <f>VLOOKUP(Tableau1[[#This Row],[PARCS]],Tableau254[],10,FALSE)</f>
        <v>15396.948000000002</v>
      </c>
      <c r="O115" s="252">
        <f>VLOOKUP(Tableau1[[#This Row],[PARCS]],Tableau254[],12,FALSE)</f>
        <v>0</v>
      </c>
      <c r="P115" s="252">
        <f>VLOOKUP(Tableau1[[#This Row],[PARCS]],Tableau254[],13,FALSE)</f>
        <v>1401122.2680000002</v>
      </c>
      <c r="Q115" s="354">
        <f>VLOOKUP(Tableau1[[#This Row],[PARCS]],Tableau2546[],10,FALSE)</f>
        <v>14949</v>
      </c>
      <c r="R115" s="252">
        <f>VLOOKUP(Tableau1[[#This Row],[PARCS]],Tableau2546[],12,FALSE)</f>
        <v>0</v>
      </c>
      <c r="S115" s="355">
        <f>VLOOKUP(Tableau1[[#This Row],[PARCS]],Tableau2546[],13,FALSE)</f>
        <v>1394367.9749999999</v>
      </c>
      <c r="T115" s="252">
        <f t="shared" si="8"/>
        <v>1401122.2680000002</v>
      </c>
      <c r="U115" s="351" t="str">
        <f t="shared" si="9"/>
        <v/>
      </c>
      <c r="V115" s="252">
        <f>Tableau1[[#This Row],[CA7]]-Tableau1[[#This Row],[CA4]]</f>
        <v>-6754.2930000002962</v>
      </c>
      <c r="W115" s="351">
        <f>(Tableau1[[#This Row],[CA7]]-Tableau1[[#This Row],[CA4]])/Tableau1[[#This Row],[CA4]]</f>
        <v>-4.820630686029676E-3</v>
      </c>
    </row>
    <row r="116" spans="1:24" ht="15.75" customHeight="1">
      <c r="A116" s="345" t="s">
        <v>549</v>
      </c>
      <c r="B116" s="346" t="str">
        <f>VLOOKUP(Tableau1[[#This Row],[PARCS]],Tableau106[],3,FALSE)</f>
        <v>F156</v>
      </c>
      <c r="C116" s="346" t="str">
        <f>VLOOKUP(Tableau1[[#This Row],[PARCS]],Tableau106[],2,FALSE)</f>
        <v>FR34E10E</v>
      </c>
      <c r="D116" s="352" t="str">
        <f>VLOOKUP(Tableau1[[#This Row],[PARCS]],Tableau106[],8,FALSE)</f>
        <v>EOLIEN</v>
      </c>
      <c r="E116" s="352" t="str">
        <f>VLOOKUP(A116,Tableau106[],6,FALSE)</f>
        <v>S</v>
      </c>
      <c r="F116" s="353" t="str">
        <f>VLOOKUP(Tableau1[[#This Row],[PARCS]],Tableau106[],5,FALSE)</f>
        <v>JON2</v>
      </c>
      <c r="G116" s="346" t="str">
        <f>VLOOKUP(Tableau1[[#This Row],[PARCS]],Tableau106[],7,FALSE)</f>
        <v>FUTUREN</v>
      </c>
      <c r="H116" s="346" t="str">
        <f>VLOOKUP(Tableau1[[#This Row],[PARCS]],Tableau106[],9,FALSE)</f>
        <v>KéC</v>
      </c>
      <c r="I116" s="347">
        <v>8328.875</v>
      </c>
      <c r="J116" s="348">
        <v>725295.6</v>
      </c>
      <c r="K116" s="354">
        <f>VLOOKUP(Tableau1[[#This Row],[PARCS]],Tableau25[],10,FALSE)</f>
        <v>11211</v>
      </c>
      <c r="L116" s="252">
        <f>VLOOKUP(Tableau1[[#This Row],[PARCS]],Tableau25[],12,FALSE)</f>
        <v>0</v>
      </c>
      <c r="M116" s="252">
        <f>VLOOKUP(Tableau1[[#This Row],[PARCS]],Tableau25[],13,FALSE)</f>
        <v>1024883.1171960001</v>
      </c>
      <c r="N116" s="354">
        <f>VLOOKUP(Tableau1[[#This Row],[PARCS]],Tableau254[],10,FALSE)</f>
        <v>10107.184666666666</v>
      </c>
      <c r="O116" s="252">
        <f>VLOOKUP(Tableau1[[#This Row],[PARCS]],Tableau254[],12,FALSE)</f>
        <v>0</v>
      </c>
      <c r="P116" s="252">
        <f>VLOOKUP(Tableau1[[#This Row],[PARCS]],Tableau254[],13,FALSE)</f>
        <v>916519.50557333324</v>
      </c>
      <c r="Q116" s="354">
        <f>VLOOKUP(Tableau1[[#This Row],[PARCS]],Tableau2546[],10,FALSE)</f>
        <v>12279.716558087977</v>
      </c>
      <c r="R116" s="252">
        <f>VLOOKUP(Tableau1[[#This Row],[PARCS]],Tableau2546[],12,FALSE)</f>
        <v>0</v>
      </c>
      <c r="S116" s="355">
        <f>VLOOKUP(Tableau1[[#This Row],[PARCS]],Tableau2546[],13,FALSE)</f>
        <v>1141362.8149246031</v>
      </c>
      <c r="T116" s="252">
        <f t="shared" si="8"/>
        <v>191223.90557333326</v>
      </c>
      <c r="U116" s="351">
        <f t="shared" si="9"/>
        <v>0.26364961482371224</v>
      </c>
      <c r="V116" s="252">
        <f>Tableau1[[#This Row],[CA7]]-Tableau1[[#This Row],[CA4]]</f>
        <v>224843.30935126985</v>
      </c>
      <c r="W116" s="351">
        <f>(Tableau1[[#This Row],[CA7]]-Tableau1[[#This Row],[CA4]])/Tableau1[[#This Row],[CA4]]</f>
        <v>0.24532299420143602</v>
      </c>
      <c r="X116" s="6" t="s">
        <v>550</v>
      </c>
    </row>
    <row r="117" spans="1:24" ht="15.75" customHeight="1">
      <c r="A117" s="345" t="s">
        <v>551</v>
      </c>
      <c r="B117" s="346" t="str">
        <f>VLOOKUP(Tableau1[[#This Row],[PARCS]],Tableau106[],3,FALSE)</f>
        <v>A313</v>
      </c>
      <c r="C117" s="346" t="str">
        <f>VLOOKUP(Tableau1[[#This Row],[PARCS]],Tableau106[],2,FALSE)</f>
        <v>FR89S16E</v>
      </c>
      <c r="D117" s="352" t="str">
        <f>VLOOKUP(Tableau1[[#This Row],[PARCS]],Tableau106[],8,FALSE)</f>
        <v>SOLAIRE</v>
      </c>
      <c r="E117" s="352" t="str">
        <f>VLOOKUP(A117,Tableau106[],6,FALSE)</f>
        <v>N</v>
      </c>
      <c r="F117" s="353" t="str">
        <f>VLOOKUP(Tableau1[[#This Row],[PARCS]],Tableau106[],5,FALSE)</f>
        <v>NITR</v>
      </c>
      <c r="G117" s="346" t="str">
        <f>VLOOKUP(Tableau1[[#This Row],[PARCS]],Tableau106[],7,FALSE)</f>
        <v>GROUPE</v>
      </c>
      <c r="H117" s="346" t="str">
        <f>VLOOKUP(Tableau1[[#This Row],[PARCS]],Tableau106[],9,FALSE)</f>
        <v>LoG</v>
      </c>
      <c r="I117" s="347"/>
      <c r="J117" s="348"/>
      <c r="K117" s="354">
        <f>VLOOKUP(Tableau1[[#This Row],[PARCS]],Tableau25[],10,FALSE)</f>
        <v>3656</v>
      </c>
      <c r="L117" s="252">
        <f>VLOOKUP(Tableau1[[#This Row],[PARCS]],Tableau25[],12,FALSE)</f>
        <v>0</v>
      </c>
      <c r="M117" s="252">
        <f>VLOOKUP(Tableau1[[#This Row],[PARCS]],Tableau25[],13,FALSE)</f>
        <v>243159.36083200003</v>
      </c>
      <c r="N117" s="354">
        <f>VLOOKUP(Tableau1[[#This Row],[PARCS]],Tableau254[],10,FALSE)</f>
        <v>3656</v>
      </c>
      <c r="O117" s="252">
        <f>VLOOKUP(Tableau1[[#This Row],[PARCS]],Tableau254[],12,FALSE)</f>
        <v>0</v>
      </c>
      <c r="P117" s="252">
        <f>VLOOKUP(Tableau1[[#This Row],[PARCS]],Tableau254[],13,FALSE)</f>
        <v>640129.04</v>
      </c>
      <c r="Q117" s="354">
        <f>VLOOKUP(Tableau1[[#This Row],[PARCS]],Tableau2546[],10,FALSE)</f>
        <v>3656</v>
      </c>
      <c r="R117" s="252">
        <f>VLOOKUP(Tableau1[[#This Row],[PARCS]],Tableau2546[],12,FALSE)</f>
        <v>0</v>
      </c>
      <c r="S117" s="355">
        <f>VLOOKUP(Tableau1[[#This Row],[PARCS]],Tableau2546[],13,FALSE)</f>
        <v>656132.26599999995</v>
      </c>
      <c r="T117" s="252">
        <f t="shared" si="8"/>
        <v>640129.04</v>
      </c>
      <c r="U117" s="351" t="str">
        <f t="shared" si="9"/>
        <v/>
      </c>
      <c r="V117" s="252">
        <f>Tableau1[[#This Row],[CA7]]-Tableau1[[#This Row],[CA4]]</f>
        <v>16003.225999999908</v>
      </c>
      <c r="W117" s="351">
        <f>(Tableau1[[#This Row],[CA7]]-Tableau1[[#This Row],[CA4]])/Tableau1[[#This Row],[CA4]]</f>
        <v>2.4999999999999856E-2</v>
      </c>
    </row>
    <row r="118" spans="1:24" ht="15.75" customHeight="1">
      <c r="A118" s="345" t="s">
        <v>552</v>
      </c>
      <c r="B118" s="346" t="str">
        <f>VLOOKUP(Tableau1[[#This Row],[PARCS]],Tableau106[],3,FALSE)</f>
        <v>A535</v>
      </c>
      <c r="C118" s="346" t="str">
        <f>VLOOKUP(Tableau1[[#This Row],[PARCS]],Tableau106[],2,FALSE)</f>
        <v>FR02E10E</v>
      </c>
      <c r="D118" s="352" t="str">
        <f>VLOOKUP(Tableau1[[#This Row],[PARCS]],Tableau106[],8,FALSE)</f>
        <v>EOLIEN</v>
      </c>
      <c r="E118" s="352" t="str">
        <f>VLOOKUP(A118,Tableau106[],6,FALSE)</f>
        <v>N</v>
      </c>
      <c r="F118" s="353" t="str">
        <f>VLOOKUP(Tableau1[[#This Row],[PARCS]],Tableau106[],5,FALSE)</f>
        <v>CLAN</v>
      </c>
      <c r="G118" s="346" t="str">
        <f>VLOOKUP(Tableau1[[#This Row],[PARCS]],Tableau106[],7,FALSE)</f>
        <v>FUTUREN</v>
      </c>
      <c r="H118" s="346" t="str">
        <f>VLOOKUP(Tableau1[[#This Row],[PARCS]],Tableau106[],9,FALSE)</f>
        <v>NiL</v>
      </c>
      <c r="I118" s="347">
        <v>30994.940999999999</v>
      </c>
      <c r="J118" s="348">
        <v>2672905.2000000002</v>
      </c>
      <c r="K118" s="354">
        <f>VLOOKUP(Tableau1[[#This Row],[PARCS]],Tableau25[],10,FALSE)</f>
        <v>32865.960956057839</v>
      </c>
      <c r="L118" s="252">
        <f>VLOOKUP(Tableau1[[#This Row],[PARCS]],Tableau25[],12,FALSE)</f>
        <v>0</v>
      </c>
      <c r="M118" s="252">
        <f>VLOOKUP(Tableau1[[#This Row],[PARCS]],Tableau25[],13,FALSE)</f>
        <v>2984517.134335258</v>
      </c>
      <c r="N118" s="354">
        <f>VLOOKUP(Tableau1[[#This Row],[PARCS]],Tableau254[],10,FALSE)</f>
        <v>37182.737999999998</v>
      </c>
      <c r="O118" s="252">
        <f>VLOOKUP(Tableau1[[#This Row],[PARCS]],Tableau254[],12,FALSE)</f>
        <v>0</v>
      </c>
      <c r="P118" s="252">
        <f>VLOOKUP(Tableau1[[#This Row],[PARCS]],Tableau254[],13,FALSE)</f>
        <v>3359088.5509199998</v>
      </c>
      <c r="Q118" s="354">
        <f>VLOOKUP(Tableau1[[#This Row],[PARCS]],Tableau2546[],10,FALSE)</f>
        <v>32414.283578692965</v>
      </c>
      <c r="R118" s="252">
        <f>VLOOKUP(Tableau1[[#This Row],[PARCS]],Tableau2546[],12,FALSE)</f>
        <v>0</v>
      </c>
      <c r="S118" s="355">
        <f>VLOOKUP(Tableau1[[#This Row],[PARCS]],Tableau2546[],13,FALSE)</f>
        <v>3001514.0379616003</v>
      </c>
      <c r="T118" s="252">
        <f t="shared" si="8"/>
        <v>686183.35091999965</v>
      </c>
      <c r="U118" s="351">
        <f t="shared" si="9"/>
        <v>0.25671817725522011</v>
      </c>
      <c r="V118" s="252">
        <f>Tableau1[[#This Row],[CA7]]-Tableau1[[#This Row],[CA4]]</f>
        <v>-357574.51295839949</v>
      </c>
      <c r="W118" s="351">
        <f>(Tableau1[[#This Row],[CA7]]-Tableau1[[#This Row],[CA4]])/Tableau1[[#This Row],[CA4]]</f>
        <v>-0.10644986207954107</v>
      </c>
      <c r="X118" s="6" t="s">
        <v>553</v>
      </c>
    </row>
    <row r="119" spans="1:24" ht="15.75" customHeight="1">
      <c r="A119" s="345" t="s">
        <v>236</v>
      </c>
      <c r="B119" s="346" t="str">
        <f>VLOOKUP(Tableau1[[#This Row],[PARCS]],Tableau106[],3,FALSE)</f>
        <v>F140</v>
      </c>
      <c r="C119" s="346" t="str">
        <f>VLOOKUP(Tableau1[[#This Row],[PARCS]],Tableau106[],2,FALSE)</f>
        <v>FR57E06E</v>
      </c>
      <c r="D119" s="352" t="str">
        <f>VLOOKUP(Tableau1[[#This Row],[PARCS]],Tableau106[],8,FALSE)</f>
        <v>EOLIEN</v>
      </c>
      <c r="E119" s="352" t="str">
        <f>VLOOKUP(A119,Tableau106[],6,FALSE)</f>
        <v>N</v>
      </c>
      <c r="F119" s="353" t="str">
        <f>VLOOKUP(Tableau1[[#This Row],[PARCS]],Tableau106[],5,FALSE)</f>
        <v>MOTT</v>
      </c>
      <c r="G119" s="346" t="str">
        <f>VLOOKUP(Tableau1[[#This Row],[PARCS]],Tableau106[],7,FALSE)</f>
        <v>FUTUREN</v>
      </c>
      <c r="H119" s="346" t="str">
        <f>VLOOKUP(Tableau1[[#This Row],[PARCS]],Tableau106[],9,FALSE)</f>
        <v>NiL</v>
      </c>
      <c r="I119" s="347">
        <v>28899.800999999999</v>
      </c>
      <c r="J119" s="348">
        <v>2078101</v>
      </c>
      <c r="K119" s="354">
        <f>VLOOKUP(Tableau1[[#This Row],[PARCS]],Tableau25[],10,FALSE)</f>
        <v>30394</v>
      </c>
      <c r="L119" s="252">
        <f>VLOOKUP(Tableau1[[#This Row],[PARCS]],Tableau25[],12,FALSE)</f>
        <v>0</v>
      </c>
      <c r="M119" s="252">
        <f>VLOOKUP(Tableau1[[#This Row],[PARCS]],Tableau25[],13,FALSE)</f>
        <v>2324036.9075559997</v>
      </c>
      <c r="N119" s="354">
        <f>VLOOKUP(Tableau1[[#This Row],[PARCS]],Tableau254[],10,FALSE)</f>
        <v>33191.455999999998</v>
      </c>
      <c r="O119" s="252">
        <f>VLOOKUP(Tableau1[[#This Row],[PARCS]],Tableau254[],12,FALSE)</f>
        <v>387000</v>
      </c>
      <c r="P119" s="252">
        <f>VLOOKUP(Tableau1[[#This Row],[PARCS]],Tableau254[],13,FALSE)</f>
        <v>2634472.2456319998</v>
      </c>
      <c r="Q119" s="354">
        <f>VLOOKUP(Tableau1[[#This Row],[PARCS]],Tableau2546[],10,FALSE)</f>
        <v>30394</v>
      </c>
      <c r="R119" s="252">
        <f>VLOOKUP(Tableau1[[#This Row],[PARCS]],Tableau2546[],12,FALSE)</f>
        <v>0</v>
      </c>
      <c r="S119" s="355">
        <f>VLOOKUP(Tableau1[[#This Row],[PARCS]],Tableau2546[],13,FALSE)</f>
        <v>2472743.3821999999</v>
      </c>
      <c r="T119" s="252">
        <f t="shared" si="8"/>
        <v>556371.2456319998</v>
      </c>
      <c r="U119" s="351">
        <f t="shared" si="9"/>
        <v>0.26773060868167609</v>
      </c>
      <c r="V119" s="252">
        <f>Tableau1[[#This Row],[CA7]]-Tableau1[[#This Row],[CA4]]</f>
        <v>-161728.86343199993</v>
      </c>
      <c r="W119" s="351">
        <f>(Tableau1[[#This Row],[CA7]]-Tableau1[[#This Row],[CA4]])/Tableau1[[#This Row],[CA4]]</f>
        <v>-6.1389473242752568E-2</v>
      </c>
      <c r="X119" s="6" t="s">
        <v>554</v>
      </c>
    </row>
    <row r="120" spans="1:24" ht="15.75" customHeight="1">
      <c r="A120" s="345" t="s">
        <v>555</v>
      </c>
      <c r="B120" s="346" t="str">
        <f>VLOOKUP(Tableau1[[#This Row],[PARCS]],Tableau106[],3,FALSE)</f>
        <v>A374</v>
      </c>
      <c r="C120" s="346" t="str">
        <f>VLOOKUP(Tableau1[[#This Row],[PARCS]],Tableau106[],2,FALSE)</f>
        <v>FR68S02E</v>
      </c>
      <c r="D120" s="352" t="str">
        <f>VLOOKUP(Tableau1[[#This Row],[PARCS]],Tableau106[],8,FALSE)</f>
        <v>SOLAIRE</v>
      </c>
      <c r="E120" s="352" t="str">
        <f>VLOOKUP(A120,Tableau106[],6,FALSE)</f>
        <v>N</v>
      </c>
      <c r="F120" s="353" t="str">
        <f>VLOOKUP(Tableau1[[#This Row],[PARCS]],Tableau106[],5,FALSE)</f>
        <v>OTTM</v>
      </c>
      <c r="G120" s="346" t="str">
        <f>VLOOKUP(Tableau1[[#This Row],[PARCS]],Tableau106[],7,FALSE)</f>
        <v>GROUPE</v>
      </c>
      <c r="H120" s="346" t="str">
        <f>VLOOKUP(Tableau1[[#This Row],[PARCS]],Tableau106[],9,FALSE)</f>
        <v>ZaA</v>
      </c>
      <c r="I120" s="347"/>
      <c r="J120" s="348"/>
      <c r="K120" s="354">
        <f>VLOOKUP(Tableau1[[#This Row],[PARCS]],Tableau25[],10,FALSE)</f>
        <v>15782</v>
      </c>
      <c r="L120" s="252">
        <f>VLOOKUP(Tableau1[[#This Row],[PARCS]],Tableau25[],12,FALSE)</f>
        <v>0</v>
      </c>
      <c r="M120" s="252">
        <f>VLOOKUP(Tableau1[[#This Row],[PARCS]],Tableau25[],13,FALSE)</f>
        <v>0</v>
      </c>
      <c r="N120" s="354">
        <f>VLOOKUP(Tableau1[[#This Row],[PARCS]],Tableau254[],10,FALSE)</f>
        <v>15782</v>
      </c>
      <c r="O120" s="252">
        <f>VLOOKUP(Tableau1[[#This Row],[PARCS]],Tableau254[],12,FALSE)</f>
        <v>0</v>
      </c>
      <c r="P120" s="252">
        <f>VLOOKUP(Tableau1[[#This Row],[PARCS]],Tableau254[],13,FALSE)</f>
        <v>2695854.9366666661</v>
      </c>
      <c r="Q120" s="354">
        <f>VLOOKUP(Tableau1[[#This Row],[PARCS]],Tableau2546[],10,FALSE)</f>
        <v>15782</v>
      </c>
      <c r="R120" s="252">
        <f>VLOOKUP(Tableau1[[#This Row],[PARCS]],Tableau2546[],12,FALSE)</f>
        <v>0</v>
      </c>
      <c r="S120" s="355">
        <f>VLOOKUP(Tableau1[[#This Row],[PARCS]],Tableau2546[],13,FALSE)</f>
        <v>2763251.3100833325</v>
      </c>
      <c r="T120" s="252">
        <f t="shared" si="8"/>
        <v>2695854.9366666661</v>
      </c>
      <c r="U120" s="351" t="str">
        <f t="shared" si="9"/>
        <v/>
      </c>
      <c r="V120" s="252">
        <f>Tableau1[[#This Row],[CA7]]-Tableau1[[#This Row],[CA4]]</f>
        <v>67396.373416666407</v>
      </c>
      <c r="W120" s="351">
        <f>(Tableau1[[#This Row],[CA7]]-Tableau1[[#This Row],[CA4]])/Tableau1[[#This Row],[CA4]]</f>
        <v>2.4999999999999908E-2</v>
      </c>
    </row>
    <row r="121" spans="1:24" ht="15.75" customHeight="1">
      <c r="A121" s="345" t="s">
        <v>556</v>
      </c>
      <c r="B121" s="346" t="str">
        <f>VLOOKUP(Tableau1[[#This Row],[PARCS]],Tableau106[],3,FALSE)</f>
        <v>A160</v>
      </c>
      <c r="C121" s="346" t="str">
        <f>VLOOKUP(Tableau1[[#This Row],[PARCS]],Tableau106[],2,FALSE)</f>
        <v>FR11E85E</v>
      </c>
      <c r="D121" s="352" t="str">
        <f>VLOOKUP(Tableau1[[#This Row],[PARCS]],Tableau106[],8,FALSE)</f>
        <v>EOLIEN</v>
      </c>
      <c r="E121" s="352" t="str">
        <f>VLOOKUP(A121,Tableau106[],6,FALSE)</f>
        <v>S</v>
      </c>
      <c r="F121" s="353" t="str">
        <f>VLOOKUP(Tableau1[[#This Row],[PARCS]],Tableau106[],5,FALSE)</f>
        <v>LUC2</v>
      </c>
      <c r="G121" s="346" t="str">
        <f>VLOOKUP(Tableau1[[#This Row],[PARCS]],Tableau106[],7,FALSE)</f>
        <v>FUTUREN</v>
      </c>
      <c r="H121" s="346" t="str">
        <f>VLOOKUP(Tableau1[[#This Row],[PARCS]],Tableau106[],9,FALSE)</f>
        <v>StE</v>
      </c>
      <c r="I121" s="347">
        <v>22890.823</v>
      </c>
      <c r="J121" s="348">
        <v>2093288.44</v>
      </c>
      <c r="K121" s="354">
        <f>VLOOKUP(Tableau1[[#This Row],[PARCS]],Tableau25[],10,FALSE)</f>
        <v>27757</v>
      </c>
      <c r="L121" s="252">
        <f>VLOOKUP(Tableau1[[#This Row],[PARCS]],Tableau25[],12,FALSE)</f>
        <v>0</v>
      </c>
      <c r="M121" s="252">
        <f>VLOOKUP(Tableau1[[#This Row],[PARCS]],Tableau25[],13,FALSE)</f>
        <v>2622529.7237968002</v>
      </c>
      <c r="N121" s="354">
        <f>VLOOKUP(Tableau1[[#This Row],[PARCS]],Tableau254[],10,FALSE)</f>
        <v>28426.825375</v>
      </c>
      <c r="O121" s="252">
        <f>VLOOKUP(Tableau1[[#This Row],[PARCS]],Tableau254[],12,FALSE)</f>
        <v>55057</v>
      </c>
      <c r="P121" s="252">
        <f>VLOOKUP(Tableau1[[#This Row],[PARCS]],Tableau254[],13,FALSE)</f>
        <v>2736337.7837721249</v>
      </c>
      <c r="Q121" s="354">
        <f>VLOOKUP(Tableau1[[#This Row],[PARCS]],Tableau2546[],10,FALSE)</f>
        <v>28836.362862164966</v>
      </c>
      <c r="R121" s="252">
        <f>VLOOKUP(Tableau1[[#This Row],[PARCS]],Tableau2546[],12,FALSE)</f>
        <v>0</v>
      </c>
      <c r="S121" s="355">
        <f>VLOOKUP(Tableau1[[#This Row],[PARCS]],Tableau2546[],13,FALSE)</f>
        <v>2845153.4390678657</v>
      </c>
      <c r="T121" s="252">
        <f t="shared" si="8"/>
        <v>643049.34377212496</v>
      </c>
      <c r="U121" s="351">
        <f t="shared" si="9"/>
        <v>0.30719576503853668</v>
      </c>
      <c r="V121" s="252">
        <f>Tableau1[[#This Row],[CA7]]-Tableau1[[#This Row],[CA4]]</f>
        <v>108815.65529574081</v>
      </c>
      <c r="W121" s="351">
        <f>(Tableau1[[#This Row],[CA7]]-Tableau1[[#This Row],[CA4]])/Tableau1[[#This Row],[CA4]]</f>
        <v>3.9766894255918624E-2</v>
      </c>
      <c r="X121" s="6" t="s">
        <v>545</v>
      </c>
    </row>
    <row r="122" spans="1:24" ht="15.75" customHeight="1">
      <c r="A122" s="345" t="s">
        <v>557</v>
      </c>
      <c r="B122" s="346" t="str">
        <f>VLOOKUP(Tableau1[[#This Row],[PARCS]],Tableau106[],3,FALSE)</f>
        <v>A541</v>
      </c>
      <c r="C122" s="346" t="str">
        <f>VLOOKUP(Tableau1[[#This Row],[PARCS]],Tableau106[],2,FALSE)</f>
        <v>FR55E08E</v>
      </c>
      <c r="D122" s="352" t="str">
        <f>VLOOKUP(Tableau1[[#This Row],[PARCS]],Tableau106[],8,FALSE)</f>
        <v>EOLIEN</v>
      </c>
      <c r="E122" s="352" t="str">
        <f>VLOOKUP(A122,Tableau106[],6,FALSE)</f>
        <v>N</v>
      </c>
      <c r="F122" s="353" t="str">
        <f>VLOOKUP(Tableau1[[#This Row],[PARCS]],Tableau106[],5,FALSE)</f>
        <v>STEN</v>
      </c>
      <c r="G122" s="346" t="str">
        <f>VLOOKUP(Tableau1[[#This Row],[PARCS]],Tableau106[],7,FALSE)</f>
        <v>EGM</v>
      </c>
      <c r="H122" s="346" t="str">
        <f>VLOOKUP(Tableau1[[#This Row],[PARCS]],Tableau106[],9,FALSE)</f>
        <v>MaA</v>
      </c>
      <c r="I122" s="347">
        <v>15050.777</v>
      </c>
      <c r="J122" s="348">
        <v>2201655.9900000002</v>
      </c>
      <c r="K122" s="354">
        <f>VLOOKUP(Tableau1[[#This Row],[PARCS]],Tableau25[],10,FALSE)</f>
        <v>15835</v>
      </c>
      <c r="L122" s="252">
        <f>VLOOKUP(Tableau1[[#This Row],[PARCS]],Tableau25[],12,FALSE)</f>
        <v>0</v>
      </c>
      <c r="M122" s="252">
        <f>VLOOKUP(Tableau1[[#This Row],[PARCS]],Tableau25[],13,FALSE)</f>
        <v>3491294.466</v>
      </c>
      <c r="N122" s="354">
        <f>VLOOKUP(Tableau1[[#This Row],[PARCS]],Tableau254[],10,FALSE)</f>
        <v>16863.151451027356</v>
      </c>
      <c r="O122" s="252">
        <f>VLOOKUP(Tableau1[[#This Row],[PARCS]],Tableau254[],12,FALSE)</f>
        <v>0</v>
      </c>
      <c r="P122" s="252">
        <f>VLOOKUP(Tableau1[[#This Row],[PARCS]],Tableau254[],13,FALSE)</f>
        <v>2836175.5004575267</v>
      </c>
      <c r="Q122" s="354">
        <f>VLOOKUP(Tableau1[[#This Row],[PARCS]],Tableau2546[],10,FALSE)</f>
        <v>15835</v>
      </c>
      <c r="R122" s="252">
        <f>VLOOKUP(Tableau1[[#This Row],[PARCS]],Tableau2546[],12,FALSE)</f>
        <v>0</v>
      </c>
      <c r="S122" s="355">
        <f>VLOOKUP(Tableau1[[#This Row],[PARCS]],Tableau2546[],13,FALSE)</f>
        <v>2729834.3467812501</v>
      </c>
      <c r="T122" s="252">
        <f t="shared" si="8"/>
        <v>634519.51045752643</v>
      </c>
      <c r="U122" s="351">
        <f t="shared" si="9"/>
        <v>0.28820102383820934</v>
      </c>
      <c r="V122" s="252">
        <f>Tableau1[[#This Row],[CA7]]-Tableau1[[#This Row],[CA4]]</f>
        <v>-106341.15367627656</v>
      </c>
      <c r="W122" s="351">
        <f>(Tableau1[[#This Row],[CA7]]-Tableau1[[#This Row],[CA4]])/Tableau1[[#This Row],[CA4]]</f>
        <v>-3.7494560424459561E-2</v>
      </c>
    </row>
    <row r="123" spans="1:24" ht="15.75" customHeight="1">
      <c r="A123" s="345" t="s">
        <v>558</v>
      </c>
      <c r="B123" s="346" t="str">
        <f>VLOOKUP(Tableau1[[#This Row],[PARCS]],Tableau106[],3,FALSE)</f>
        <v>A540</v>
      </c>
      <c r="C123" s="346" t="str">
        <f>VLOOKUP(Tableau1[[#This Row],[PARCS]],Tableau106[],2,FALSE)</f>
        <v>FR56E01E</v>
      </c>
      <c r="D123" s="352" t="str">
        <f>VLOOKUP(Tableau1[[#This Row],[PARCS]],Tableau106[],8,FALSE)</f>
        <v>EOLIEN</v>
      </c>
      <c r="E123" s="352" t="str">
        <f>VLOOKUP(A123,Tableau106[],6,FALSE)</f>
        <v>N</v>
      </c>
      <c r="F123" s="353" t="str">
        <f>VLOOKUP(Tableau1[[#This Row],[PARCS]],Tableau106[],5,FALSE)</f>
        <v>LBDF</v>
      </c>
      <c r="G123" s="346" t="str">
        <f>VLOOKUP(Tableau1[[#This Row],[PARCS]],Tableau106[],7,FALSE)</f>
        <v>EGM</v>
      </c>
      <c r="H123" s="346" t="str">
        <f>VLOOKUP(Tableau1[[#This Row],[PARCS]],Tableau106[],9,FALSE)</f>
        <v>BoK</v>
      </c>
      <c r="I123" s="347">
        <v>15320.380999999999</v>
      </c>
      <c r="J123" s="348">
        <v>2278590.2200000002</v>
      </c>
      <c r="K123" s="354">
        <f>VLOOKUP(Tableau1[[#This Row],[PARCS]],Tableau25[],10,FALSE)</f>
        <v>17780</v>
      </c>
      <c r="L123" s="252">
        <f>VLOOKUP(Tableau1[[#This Row],[PARCS]],Tableau25[],12,FALSE)</f>
        <v>0</v>
      </c>
      <c r="M123" s="252">
        <f>VLOOKUP(Tableau1[[#This Row],[PARCS]],Tableau25[],13,FALSE)</f>
        <v>4304324.6400000006</v>
      </c>
      <c r="N123" s="354">
        <f>VLOOKUP(Tableau1[[#This Row],[PARCS]],Tableau254[],10,FALSE)</f>
        <v>17827.788620908679</v>
      </c>
      <c r="O123" s="252">
        <f>VLOOKUP(Tableau1[[#This Row],[PARCS]],Tableau254[],12,FALSE)</f>
        <v>24859</v>
      </c>
      <c r="P123" s="252">
        <f>VLOOKUP(Tableau1[[#This Row],[PARCS]],Tableau254[],13,FALSE)</f>
        <v>3010831.2247516448</v>
      </c>
      <c r="Q123" s="354">
        <f>VLOOKUP(Tableau1[[#This Row],[PARCS]],Tableau2546[],10,FALSE)</f>
        <v>17780</v>
      </c>
      <c r="R123" s="252">
        <f>VLOOKUP(Tableau1[[#This Row],[PARCS]],Tableau2546[],12,FALSE)</f>
        <v>0</v>
      </c>
      <c r="S123" s="355">
        <f>VLOOKUP(Tableau1[[#This Row],[PARCS]],Tableau2546[],13,FALSE)</f>
        <v>3077829.4954166659</v>
      </c>
      <c r="T123" s="252">
        <f t="shared" si="8"/>
        <v>732241.00475164456</v>
      </c>
      <c r="U123" s="351">
        <f t="shared" si="9"/>
        <v>0.32135703836719026</v>
      </c>
      <c r="V123" s="252">
        <f>Tableau1[[#This Row],[CA7]]-Tableau1[[#This Row],[CA4]]</f>
        <v>66998.270665021148</v>
      </c>
      <c r="W123" s="351">
        <f>(Tableau1[[#This Row],[CA7]]-Tableau1[[#This Row],[CA4]])/Tableau1[[#This Row],[CA4]]</f>
        <v>2.2252416579925584E-2</v>
      </c>
    </row>
    <row r="124" spans="1:24" ht="15.75" customHeight="1">
      <c r="A124" s="345" t="s">
        <v>559</v>
      </c>
      <c r="B124" s="346" t="str">
        <f>VLOOKUP(Tableau1[[#This Row],[PARCS]],Tableau106[],3,FALSE)</f>
        <v>A960</v>
      </c>
      <c r="C124" s="346" t="str">
        <f>VLOOKUP(Tableau1[[#This Row],[PARCS]],Tableau106[],2,FALSE)</f>
        <v>FRD1E01E</v>
      </c>
      <c r="D124" s="352" t="str">
        <f>VLOOKUP(Tableau1[[#This Row],[PARCS]],Tableau106[],8,FALSE)</f>
        <v>EOLIEN DOM</v>
      </c>
      <c r="E124" s="352" t="str">
        <f>VLOOKUP(A124,Tableau106[],6,FALSE)</f>
        <v>DOM</v>
      </c>
      <c r="F124" s="353" t="str">
        <f>VLOOKUP(Tableau1[[#This Row],[PARCS]],Tableau106[],5,FALSE)</f>
        <v>PCR1</v>
      </c>
      <c r="G124" s="346" t="str">
        <f>VLOOKUP(Tableau1[[#This Row],[PARCS]],Tableau106[],7,FALSE)</f>
        <v>GROUPE</v>
      </c>
      <c r="H124" s="346" t="str">
        <f>VLOOKUP(Tableau1[[#This Row],[PARCS]],Tableau106[],9,FALSE)</f>
        <v>DoJ</v>
      </c>
      <c r="I124" s="347">
        <v>17191.685000000001</v>
      </c>
      <c r="J124" s="348">
        <v>3819887.19</v>
      </c>
      <c r="K124" s="354">
        <f>VLOOKUP(Tableau1[[#This Row],[PARCS]],Tableau25[],10,FALSE)</f>
        <v>14554.268499999998</v>
      </c>
      <c r="L124" s="252">
        <f>VLOOKUP(Tableau1[[#This Row],[PARCS]],Tableau25[],12,FALSE)</f>
        <v>0</v>
      </c>
      <c r="M124" s="252">
        <f>VLOOKUP(Tableau1[[#This Row],[PARCS]],Tableau25[],13,FALSE)</f>
        <v>3348786.6324966354</v>
      </c>
      <c r="N124" s="354">
        <f>VLOOKUP(Tableau1[[#This Row],[PARCS]],Tableau254[],10,FALSE)</f>
        <v>14582.619261366661</v>
      </c>
      <c r="O124" s="252">
        <f>VLOOKUP(Tableau1[[#This Row],[PARCS]],Tableau254[],12,FALSE)</f>
        <v>0</v>
      </c>
      <c r="P124" s="252">
        <f>VLOOKUP(Tableau1[[#This Row],[PARCS]],Tableau254[],13,FALSE)</f>
        <v>3420994.9830010505</v>
      </c>
      <c r="Q124" s="354">
        <f>VLOOKUP(Tableau1[[#This Row],[PARCS]],Tableau2546[],10,FALSE)</f>
        <v>18935</v>
      </c>
      <c r="R124" s="252">
        <f>VLOOKUP(Tableau1[[#This Row],[PARCS]],Tableau2546[],12,FALSE)</f>
        <v>0</v>
      </c>
      <c r="S124" s="355">
        <f>VLOOKUP(Tableau1[[#This Row],[PARCS]],Tableau2546[],13,FALSE)</f>
        <v>4553088.3247499997</v>
      </c>
      <c r="T124" s="252">
        <f t="shared" si="8"/>
        <v>-398892.2069989494</v>
      </c>
      <c r="U124" s="351">
        <f t="shared" si="9"/>
        <v>-0.10442512753863535</v>
      </c>
      <c r="V124" s="252">
        <f>Tableau1[[#This Row],[CA7]]-Tableau1[[#This Row],[CA4]]</f>
        <v>1132093.3417489491</v>
      </c>
      <c r="W124" s="351">
        <f>(Tableau1[[#This Row],[CA7]]-Tableau1[[#This Row],[CA4]])/Tableau1[[#This Row],[CA4]]</f>
        <v>0.33092516866418376</v>
      </c>
    </row>
    <row r="125" spans="1:24" ht="15.75" customHeight="1">
      <c r="A125" s="345" t="s">
        <v>560</v>
      </c>
      <c r="B125" s="346" t="str">
        <f>VLOOKUP(Tableau1[[#This Row],[PARCS]],Tableau106[],3,FALSE)</f>
        <v>A370</v>
      </c>
      <c r="C125" s="346" t="str">
        <f>VLOOKUP(Tableau1[[#This Row],[PARCS]],Tableau106[],2,FALSE)</f>
        <v>FR11E94E</v>
      </c>
      <c r="D125" s="352" t="str">
        <f>VLOOKUP(Tableau1[[#This Row],[PARCS]],Tableau106[],8,FALSE)</f>
        <v>EOLIEN</v>
      </c>
      <c r="E125" s="352" t="str">
        <f>VLOOKUP(A125,Tableau106[],6,FALSE)</f>
        <v>S</v>
      </c>
      <c r="F125" s="353" t="str">
        <f>VLOOKUP(Tableau1[[#This Row],[PARCS]],Tableau106[],5,FALSE)</f>
        <v>PLGR</v>
      </c>
      <c r="G125" s="346" t="str">
        <f>VLOOKUP(Tableau1[[#This Row],[PARCS]],Tableau106[],7,FALSE)</f>
        <v>GROUPE</v>
      </c>
      <c r="H125" s="346" t="str">
        <f>VLOOKUP(Tableau1[[#This Row],[PARCS]],Tableau106[],9,FALSE)</f>
        <v>ThC</v>
      </c>
      <c r="I125" s="347">
        <v>20564.98</v>
      </c>
      <c r="J125" s="348">
        <v>1496038.58</v>
      </c>
      <c r="K125" s="354">
        <f>VLOOKUP(Tableau1[[#This Row],[PARCS]],Tableau25[],10,FALSE)</f>
        <v>26372.756499599986</v>
      </c>
      <c r="L125" s="252">
        <f>VLOOKUP(Tableau1[[#This Row],[PARCS]],Tableau25[],12,FALSE)</f>
        <v>0</v>
      </c>
      <c r="M125" s="252">
        <f>VLOOKUP(Tableau1[[#This Row],[PARCS]],Tableau25[],13,FALSE)</f>
        <v>1982349.805756676</v>
      </c>
      <c r="N125" s="354">
        <f>VLOOKUP(Tableau1[[#This Row],[PARCS]],Tableau254[],10,FALSE)</f>
        <v>26849.794272727268</v>
      </c>
      <c r="O125" s="252">
        <f>VLOOKUP(Tableau1[[#This Row],[PARCS]],Tableau254[],12,FALSE)</f>
        <v>0</v>
      </c>
      <c r="P125" s="252">
        <f>VLOOKUP(Tableau1[[#This Row],[PARCS]],Tableau254[],13,FALSE)</f>
        <v>2059003.3235983634</v>
      </c>
      <c r="Q125" s="354">
        <f>VLOOKUP(Tableau1[[#This Row],[PARCS]],Tableau2546[],10,FALSE)</f>
        <v>27398.429740781965</v>
      </c>
      <c r="R125" s="252">
        <f>VLOOKUP(Tableau1[[#This Row],[PARCS]],Tableau2546[],12,FALSE)</f>
        <v>0</v>
      </c>
      <c r="S125" s="355">
        <f>VLOOKUP(Tableau1[[#This Row],[PARCS]],Tableau2546[],13,FALSE)</f>
        <v>2153602.8826791458</v>
      </c>
      <c r="T125" s="252">
        <f t="shared" si="8"/>
        <v>562964.74359836336</v>
      </c>
      <c r="U125" s="351">
        <f t="shared" si="9"/>
        <v>0.37630362687462465</v>
      </c>
      <c r="V125" s="252">
        <f>Tableau1[[#This Row],[CA7]]-Tableau1[[#This Row],[CA4]]</f>
        <v>94599.559080782346</v>
      </c>
      <c r="W125" s="351">
        <f>(Tableau1[[#This Row],[CA7]]-Tableau1[[#This Row],[CA4]])/Tableau1[[#This Row],[CA4]]</f>
        <v>4.5944345012254716E-2</v>
      </c>
      <c r="X125" s="6" t="s">
        <v>561</v>
      </c>
    </row>
    <row r="126" spans="1:24" ht="15.75" customHeight="1">
      <c r="A126" s="345" t="s">
        <v>562</v>
      </c>
      <c r="B126" s="346" t="str">
        <f>VLOOKUP(Tableau1[[#This Row],[PARCS]],Tableau106[],3,FALSE)</f>
        <v>A166</v>
      </c>
      <c r="C126" s="346" t="str">
        <f>VLOOKUP(Tableau1[[#This Row],[PARCS]],Tableau106[],2,FALSE)</f>
        <v>FR97S86E</v>
      </c>
      <c r="D126" s="352" t="str">
        <f>VLOOKUP(Tableau1[[#This Row],[PARCS]],Tableau106[],8,FALSE)</f>
        <v>SOLAIRE DOM</v>
      </c>
      <c r="E126" s="352" t="str">
        <f>VLOOKUP(A126,Tableau106[],6,FALSE)</f>
        <v>DOM</v>
      </c>
      <c r="F126" s="353" t="str">
        <f>VLOOKUP(Tableau1[[#This Row],[PARCS]],Tableau106[],5,FALSE)</f>
        <v>PIER</v>
      </c>
      <c r="G126" s="346" t="str">
        <f>VLOOKUP(Tableau1[[#This Row],[PARCS]],Tableau106[],7,FALSE)</f>
        <v>GROUPE</v>
      </c>
      <c r="H126" s="346" t="str">
        <f>VLOOKUP(Tableau1[[#This Row],[PARCS]],Tableau106[],9,FALSE)</f>
        <v>BéK</v>
      </c>
      <c r="I126" s="347">
        <v>4520.9549999999999</v>
      </c>
      <c r="J126" s="348">
        <v>2248908.9</v>
      </c>
      <c r="K126" s="354">
        <f>VLOOKUP(Tableau1[[#This Row],[PARCS]],Tableau25[],10,FALSE)</f>
        <v>5284</v>
      </c>
      <c r="L126" s="252">
        <f>VLOOKUP(Tableau1[[#This Row],[PARCS]],Tableau25[],12,FALSE)</f>
        <v>0</v>
      </c>
      <c r="M126" s="252">
        <f>VLOOKUP(Tableau1[[#This Row],[PARCS]],Tableau25[],13,FALSE)</f>
        <v>2719342.3856736002</v>
      </c>
      <c r="N126" s="354">
        <f>VLOOKUP(Tableau1[[#This Row],[PARCS]],Tableau254[],10,FALSE)</f>
        <v>5251.3455833333319</v>
      </c>
      <c r="O126" s="252">
        <f>VLOOKUP(Tableau1[[#This Row],[PARCS]],Tableau254[],12,FALSE)</f>
        <v>0</v>
      </c>
      <c r="P126" s="252">
        <f>VLOOKUP(Tableau1[[#This Row],[PARCS]],Tableau254[],13,FALSE)</f>
        <v>2822719.0319900825</v>
      </c>
      <c r="Q126" s="354">
        <f>VLOOKUP(Tableau1[[#This Row],[PARCS]],Tableau2546[],10,FALSE)</f>
        <v>5238.4987890230877</v>
      </c>
      <c r="R126" s="252">
        <f>VLOOKUP(Tableau1[[#This Row],[PARCS]],Tableau2546[],12,FALSE)</f>
        <v>0</v>
      </c>
      <c r="S126" s="355">
        <f>VLOOKUP(Tableau1[[#This Row],[PARCS]],Tableau2546[],13,FALSE)</f>
        <v>2886208.9241863582</v>
      </c>
      <c r="T126" s="252">
        <f t="shared" si="8"/>
        <v>573810.13199008256</v>
      </c>
      <c r="U126" s="351">
        <f t="shared" si="9"/>
        <v>0.25515045629019589</v>
      </c>
      <c r="V126" s="252">
        <f>Tableau1[[#This Row],[CA7]]-Tableau1[[#This Row],[CA4]]</f>
        <v>63489.892196275759</v>
      </c>
      <c r="W126" s="351">
        <f>(Tableau1[[#This Row],[CA7]]-Tableau1[[#This Row],[CA4]])/Tableau1[[#This Row],[CA4]]</f>
        <v>2.2492459035681603E-2</v>
      </c>
    </row>
    <row r="127" spans="1:24" ht="15.75" customHeight="1">
      <c r="A127" s="345" t="s">
        <v>563</v>
      </c>
      <c r="B127" s="346" t="str">
        <f>VLOOKUP(Tableau1[[#This Row],[PARCS]],Tableau106[],3,FALSE)</f>
        <v>A114</v>
      </c>
      <c r="C127" s="346" t="str">
        <f>VLOOKUP(Tableau1[[#This Row],[PARCS]],Tableau106[],2,FALSE)</f>
        <v>FR11E95E</v>
      </c>
      <c r="D127" s="352" t="str">
        <f>VLOOKUP(Tableau1[[#This Row],[PARCS]],Tableau106[],8,FALSE)</f>
        <v>EOLIEN</v>
      </c>
      <c r="E127" s="352" t="str">
        <f>VLOOKUP(A127,Tableau106[],6,FALSE)</f>
        <v>S</v>
      </c>
      <c r="F127" s="353" t="str">
        <f>VLOOKUP(Tableau1[[#This Row],[PARCS]],Tableau106[],5,FALSE)</f>
        <v>CAMB</v>
      </c>
      <c r="G127" s="346" t="str">
        <f>VLOOKUP(Tableau1[[#This Row],[PARCS]],Tableau106[],7,FALSE)</f>
        <v>GROUPE</v>
      </c>
      <c r="H127" s="346" t="str">
        <f>VLOOKUP(Tableau1[[#This Row],[PARCS]],Tableau106[],9,FALSE)</f>
        <v>ThC</v>
      </c>
      <c r="I127" s="347">
        <v>24808.338</v>
      </c>
      <c r="J127" s="348">
        <v>1929415.7</v>
      </c>
      <c r="K127" s="354">
        <f>VLOOKUP(Tableau1[[#This Row],[PARCS]],Tableau25[],10,FALSE)</f>
        <v>32611.90117755784</v>
      </c>
      <c r="L127" s="252">
        <f>VLOOKUP(Tableau1[[#This Row],[PARCS]],Tableau25[],12,FALSE)</f>
        <v>0</v>
      </c>
      <c r="M127" s="252">
        <f>VLOOKUP(Tableau1[[#This Row],[PARCS]],Tableau25[],13,FALSE)</f>
        <v>2620358.4327604901</v>
      </c>
      <c r="N127" s="354">
        <f>VLOOKUP(Tableau1[[#This Row],[PARCS]],Tableau254[],10,FALSE)</f>
        <v>33366.152000000002</v>
      </c>
      <c r="O127" s="252">
        <f>VLOOKUP(Tableau1[[#This Row],[PARCS]],Tableau254[],12,FALSE)</f>
        <v>0</v>
      </c>
      <c r="P127" s="252">
        <f>VLOOKUP(Tableau1[[#This Row],[PARCS]],Tableau254[],13,FALSE)</f>
        <v>2735156.9440480005</v>
      </c>
      <c r="Q127" s="354">
        <f>VLOOKUP(Tableau1[[#This Row],[PARCS]],Tableau2546[],10,FALSE)</f>
        <v>33869.956765686977</v>
      </c>
      <c r="R127" s="252">
        <f>VLOOKUP(Tableau1[[#This Row],[PARCS]],Tableau2546[],12,FALSE)</f>
        <v>0</v>
      </c>
      <c r="S127" s="355">
        <f>VLOOKUP(Tableau1[[#This Row],[PARCS]],Tableau2546[],13,FALSE)</f>
        <v>2845867.2318081846</v>
      </c>
      <c r="T127" s="252">
        <f t="shared" si="8"/>
        <v>805741.24404800055</v>
      </c>
      <c r="U127" s="351">
        <f t="shared" si="9"/>
        <v>0.41760893935298682</v>
      </c>
      <c r="V127" s="252">
        <f>Tableau1[[#This Row],[CA7]]-Tableau1[[#This Row],[CA4]]</f>
        <v>110710.28776018415</v>
      </c>
      <c r="W127" s="351">
        <f>(Tableau1[[#This Row],[CA7]]-Tableau1[[#This Row],[CA4]])/Tableau1[[#This Row],[CA4]]</f>
        <v>4.047675874728205E-2</v>
      </c>
      <c r="X127" s="6" t="s">
        <v>564</v>
      </c>
    </row>
    <row r="128" spans="1:24" ht="15.75" customHeight="1">
      <c r="A128" s="345" t="s">
        <v>565</v>
      </c>
      <c r="B128" s="346" t="str">
        <f>VLOOKUP(Tableau1[[#This Row],[PARCS]],Tableau106[],3,FALSE)</f>
        <v>A540</v>
      </c>
      <c r="C128" s="346" t="str">
        <f>VLOOKUP(Tableau1[[#This Row],[PARCS]],Tableau106[],2,FALSE)</f>
        <v>FR56E02E</v>
      </c>
      <c r="D128" s="352" t="str">
        <f>VLOOKUP(Tableau1[[#This Row],[PARCS]],Tableau106[],8,FALSE)</f>
        <v>EOLIEN</v>
      </c>
      <c r="E128" s="352" t="str">
        <f>VLOOKUP(A128,Tableau106[],6,FALSE)</f>
        <v>N</v>
      </c>
      <c r="F128" s="353" t="str">
        <f>VLOOKUP(Tableau1[[#This Row],[PARCS]],Tableau106[],5,FALSE)</f>
        <v>GRPL</v>
      </c>
      <c r="G128" s="346" t="str">
        <f>VLOOKUP(Tableau1[[#This Row],[PARCS]],Tableau106[],7,FALSE)</f>
        <v>EGM</v>
      </c>
      <c r="H128" s="346" t="str">
        <f>VLOOKUP(Tableau1[[#This Row],[PARCS]],Tableau106[],9,FALSE)</f>
        <v>MaA</v>
      </c>
      <c r="I128" s="347">
        <v>21836.231</v>
      </c>
      <c r="J128" s="348">
        <v>2204093.7200000002</v>
      </c>
      <c r="K128" s="354">
        <f>VLOOKUP(Tableau1[[#This Row],[PARCS]],Tableau25[],10,FALSE)</f>
        <v>21290.716</v>
      </c>
      <c r="L128" s="252">
        <f>VLOOKUP(Tableau1[[#This Row],[PARCS]],Tableau25[],12,FALSE)</f>
        <v>0</v>
      </c>
      <c r="M128" s="252">
        <f>VLOOKUP(Tableau1[[#This Row],[PARCS]],Tableau25[],13,FALSE)</f>
        <v>2198387.4945274624</v>
      </c>
      <c r="N128" s="354">
        <f>VLOOKUP(Tableau1[[#This Row],[PARCS]],Tableau254[],10,FALSE)</f>
        <v>23427.329320400051</v>
      </c>
      <c r="O128" s="252">
        <f>VLOOKUP(Tableau1[[#This Row],[PARCS]],Tableau254[],12,FALSE)</f>
        <v>15848</v>
      </c>
      <c r="P128" s="252">
        <f>VLOOKUP(Tableau1[[#This Row],[PARCS]],Tableau254[],13,FALSE)</f>
        <v>2915687.3161192555</v>
      </c>
      <c r="Q128" s="354">
        <f>VLOOKUP(Tableau1[[#This Row],[PARCS]],Tableau2546[],10,FALSE)</f>
        <v>21290.716</v>
      </c>
      <c r="R128" s="252">
        <f>VLOOKUP(Tableau1[[#This Row],[PARCS]],Tableau2546[],12,FALSE)</f>
        <v>0</v>
      </c>
      <c r="S128" s="355">
        <f>VLOOKUP(Tableau1[[#This Row],[PARCS]],Tableau2546[],13,FALSE)</f>
        <v>2716015.8329143329</v>
      </c>
      <c r="T128" s="252">
        <f t="shared" si="8"/>
        <v>711593.59611925529</v>
      </c>
      <c r="U128" s="351">
        <f t="shared" si="9"/>
        <v>0.32285087955300523</v>
      </c>
      <c r="V128" s="252">
        <f>Tableau1[[#This Row],[CA7]]-Tableau1[[#This Row],[CA4]]</f>
        <v>-199671.48320492264</v>
      </c>
      <c r="W128" s="351">
        <f>(Tableau1[[#This Row],[CA7]]-Tableau1[[#This Row],[CA4]])/Tableau1[[#This Row],[CA4]]</f>
        <v>-6.8481788873946528E-2</v>
      </c>
    </row>
    <row r="129" spans="1:24" ht="15.75" customHeight="1">
      <c r="A129" s="345" t="s">
        <v>566</v>
      </c>
      <c r="B129" s="346" t="str">
        <f>VLOOKUP(Tableau1[[#This Row],[PARCS]],Tableau106[],3,FALSE)</f>
        <v>A545</v>
      </c>
      <c r="C129" s="346" t="str">
        <f>VLOOKUP(Tableau1[[#This Row],[PARCS]],Tableau106[],2,FALSE)</f>
        <v>FR56E05E</v>
      </c>
      <c r="D129" s="352" t="str">
        <f>VLOOKUP(Tableau1[[#This Row],[PARCS]],Tableau106[],8,FALSE)</f>
        <v>EOLIEN</v>
      </c>
      <c r="E129" s="352" t="str">
        <f>VLOOKUP(A129,Tableau106[],6,FALSE)</f>
        <v>N</v>
      </c>
      <c r="F129" s="353" t="str">
        <f>VLOOKUP(Tableau1[[#This Row],[PARCS]],Tableau106[],5,FALSE)</f>
        <v>PLEU</v>
      </c>
      <c r="G129" s="346" t="str">
        <f>VLOOKUP(Tableau1[[#This Row],[PARCS]],Tableau106[],7,FALSE)</f>
        <v>EGM</v>
      </c>
      <c r="H129" s="346" t="str">
        <f>VLOOKUP(Tableau1[[#This Row],[PARCS]],Tableau106[],9,FALSE)</f>
        <v>MaA</v>
      </c>
      <c r="I129" s="347">
        <v>16804.600999999999</v>
      </c>
      <c r="J129" s="348">
        <v>1684486.09</v>
      </c>
      <c r="K129" s="354">
        <f>VLOOKUP(Tableau1[[#This Row],[PARCS]],Tableau25[],10,FALSE)</f>
        <v>16746.345000000001</v>
      </c>
      <c r="L129" s="252">
        <f>VLOOKUP(Tableau1[[#This Row],[PARCS]],Tableau25[],12,FALSE)</f>
        <v>0</v>
      </c>
      <c r="M129" s="252">
        <f>VLOOKUP(Tableau1[[#This Row],[PARCS]],Tableau25[],13,FALSE)</f>
        <v>1716902.34176538</v>
      </c>
      <c r="N129" s="354">
        <f>VLOOKUP(Tableau1[[#This Row],[PARCS]],Tableau254[],10,FALSE)</f>
        <v>18473.27132362561</v>
      </c>
      <c r="O129" s="252">
        <f>VLOOKUP(Tableau1[[#This Row],[PARCS]],Tableau254[],12,FALSE)</f>
        <v>0</v>
      </c>
      <c r="P129" s="252">
        <f>VLOOKUP(Tableau1[[#This Row],[PARCS]],Tableau254[],13,FALSE)</f>
        <v>2302046.7059936053</v>
      </c>
      <c r="Q129" s="354">
        <f>VLOOKUP(Tableau1[[#This Row],[PARCS]],Tableau2546[],10,FALSE)</f>
        <v>16746.345000000001</v>
      </c>
      <c r="R129" s="252">
        <f>VLOOKUP(Tableau1[[#This Row],[PARCS]],Tableau2546[],12,FALSE)</f>
        <v>0</v>
      </c>
      <c r="S129" s="355">
        <f>VLOOKUP(Tableau1[[#This Row],[PARCS]],Tableau2546[],13,FALSE)</f>
        <v>2139016.926729375</v>
      </c>
      <c r="T129" s="252">
        <f t="shared" si="8"/>
        <v>617560.61599360523</v>
      </c>
      <c r="U129" s="351">
        <f t="shared" si="9"/>
        <v>0.36661663142234985</v>
      </c>
      <c r="V129" s="252">
        <f>Tableau1[[#This Row],[CA7]]-Tableau1[[#This Row],[CA4]]</f>
        <v>-163029.77926423028</v>
      </c>
      <c r="W129" s="351">
        <f>(Tableau1[[#This Row],[CA7]]-Tableau1[[#This Row],[CA4]])/Tableau1[[#This Row],[CA4]]</f>
        <v>-7.0819492428092878E-2</v>
      </c>
    </row>
    <row r="130" spans="1:24" ht="15.75" customHeight="1">
      <c r="A130" s="345" t="s">
        <v>567</v>
      </c>
      <c r="B130" s="346" t="str">
        <f>VLOOKUP(Tableau1[[#This Row],[PARCS]],Tableau106[],3,FALSE)</f>
        <v>A532</v>
      </c>
      <c r="C130" s="346" t="str">
        <f>VLOOKUP(Tableau1[[#This Row],[PARCS]],Tableau106[],2,FALSE)</f>
        <v>FR51E04E</v>
      </c>
      <c r="D130" s="352" t="str">
        <f>VLOOKUP(Tableau1[[#This Row],[PARCS]],Tableau106[],8,FALSE)</f>
        <v>EOLIEN</v>
      </c>
      <c r="E130" s="352" t="str">
        <f>VLOOKUP(A130,Tableau106[],6,FALSE)</f>
        <v>N</v>
      </c>
      <c r="F130" s="353" t="str">
        <f>VLOOKUP(Tableau1[[#This Row],[PARCS]],Tableau106[],5,FALSE)</f>
        <v>CLA2</v>
      </c>
      <c r="G130" s="346" t="str">
        <f>VLOOKUP(Tableau1[[#This Row],[PARCS]],Tableau106[],7,FALSE)</f>
        <v>GROUPE</v>
      </c>
      <c r="H130" s="346" t="str">
        <f>VLOOKUP(Tableau1[[#This Row],[PARCS]],Tableau106[],9,FALSE)</f>
        <v>AyB</v>
      </c>
      <c r="I130" s="347">
        <v>7463.1819999999998</v>
      </c>
      <c r="J130" s="348">
        <v>613093.91</v>
      </c>
      <c r="K130" s="354">
        <f>VLOOKUP(Tableau1[[#This Row],[PARCS]],Tableau25[],10,FALSE)</f>
        <v>8408.1621230526234</v>
      </c>
      <c r="L130" s="252">
        <f>VLOOKUP(Tableau1[[#This Row],[PARCS]],Tableau25[],12,FALSE)</f>
        <v>0</v>
      </c>
      <c r="M130" s="252">
        <f>VLOOKUP(Tableau1[[#This Row],[PARCS]],Tableau25[],13,FALSE)</f>
        <v>795249.17320577404</v>
      </c>
      <c r="N130" s="354">
        <f>VLOOKUP(Tableau1[[#This Row],[PARCS]],Tableau254[],10,FALSE)</f>
        <v>9199</v>
      </c>
      <c r="O130" s="252">
        <f>VLOOKUP(Tableau1[[#This Row],[PARCS]],Tableau254[],12,FALSE)</f>
        <v>0</v>
      </c>
      <c r="P130" s="252">
        <f>VLOOKUP(Tableau1[[#This Row],[PARCS]],Tableau254[],13,FALSE)</f>
        <v>886783.60000000009</v>
      </c>
      <c r="Q130" s="354">
        <f>VLOOKUP(Tableau1[[#This Row],[PARCS]],Tableau2546[],10,FALSE)</f>
        <v>7912.453388783988</v>
      </c>
      <c r="R130" s="252">
        <f>VLOOKUP(Tableau1[[#This Row],[PARCS]],Tableau2546[],12,FALSE)</f>
        <v>0</v>
      </c>
      <c r="S130" s="355">
        <f>VLOOKUP(Tableau1[[#This Row],[PARCS]],Tableau2546[],13,FALSE)</f>
        <v>781829.51934574591</v>
      </c>
      <c r="T130" s="252">
        <f t="shared" si="8"/>
        <v>273689.69000000006</v>
      </c>
      <c r="U130" s="351">
        <f t="shared" si="9"/>
        <v>0.44640745167408374</v>
      </c>
      <c r="V130" s="252">
        <f>Tableau1[[#This Row],[CA7]]-Tableau1[[#This Row],[CA4]]</f>
        <v>-104954.08065425418</v>
      </c>
      <c r="W130" s="351">
        <f>(Tableau1[[#This Row],[CA7]]-Tableau1[[#This Row],[CA4]])/Tableau1[[#This Row],[CA4]]</f>
        <v>-0.11835365545128955</v>
      </c>
    </row>
    <row r="131" spans="1:24" ht="15.75" customHeight="1">
      <c r="A131" s="345" t="s">
        <v>568</v>
      </c>
      <c r="B131" s="346" t="str">
        <f>VLOOKUP(Tableau1[[#This Row],[PARCS]],Tableau106[],3,FALSE)</f>
        <v>A100</v>
      </c>
      <c r="C131" s="346" t="str">
        <f>VLOOKUP(Tableau1[[#This Row],[PARCS]],Tableau106[],2,FALSE)</f>
        <v>FR34E05E</v>
      </c>
      <c r="D131" s="352" t="str">
        <f>VLOOKUP(Tableau1[[#This Row],[PARCS]],Tableau106[],8,FALSE)</f>
        <v>EOLIEN</v>
      </c>
      <c r="E131" s="352" t="str">
        <f>VLOOKUP(A131,Tableau106[],6,FALSE)</f>
        <v>S</v>
      </c>
      <c r="F131" s="353" t="str">
        <f>VLOOKUP(Tableau1[[#This Row],[PARCS]],Tableau106[],5,FALSE)</f>
        <v>JONC</v>
      </c>
      <c r="G131" s="346" t="str">
        <f>VLOOKUP(Tableau1[[#This Row],[PARCS]],Tableau106[],7,FALSE)</f>
        <v>GROUPE</v>
      </c>
      <c r="H131" s="346" t="str">
        <f>VLOOKUP(Tableau1[[#This Row],[PARCS]],Tableau106[],9,FALSE)</f>
        <v>KéC</v>
      </c>
      <c r="I131" s="347">
        <v>17018.464</v>
      </c>
      <c r="J131" s="348">
        <v>1532622.8</v>
      </c>
      <c r="K131" s="354">
        <f>VLOOKUP(Tableau1[[#This Row],[PARCS]],Tableau25[],10,FALSE)</f>
        <v>27308.025600842044</v>
      </c>
      <c r="L131" s="252">
        <f>VLOOKUP(Tableau1[[#This Row],[PARCS]],Tableau25[],12,FALSE)</f>
        <v>0</v>
      </c>
      <c r="M131" s="252">
        <f>VLOOKUP(Tableau1[[#This Row],[PARCS]],Tableau25[],13,FALSE)</f>
        <v>2459940.8080755961</v>
      </c>
      <c r="N131" s="354">
        <f>VLOOKUP(Tableau1[[#This Row],[PARCS]],Tableau254[],10,FALSE)</f>
        <v>21573.815309183305</v>
      </c>
      <c r="O131" s="252">
        <f>VLOOKUP(Tableau1[[#This Row],[PARCS]],Tableau254[],12,FALSE)</f>
        <v>0</v>
      </c>
      <c r="P131" s="252">
        <f>VLOOKUP(Tableau1[[#This Row],[PARCS]],Tableau254[],13,FALSE)</f>
        <v>2052338.6241779169</v>
      </c>
      <c r="Q131" s="354">
        <f>VLOOKUP(Tableau1[[#This Row],[PARCS]],Tableau2546[],10,FALSE)</f>
        <v>26600.015679059787</v>
      </c>
      <c r="R131" s="252">
        <f>VLOOKUP(Tableau1[[#This Row],[PARCS]],Tableau2546[],12,FALSE)</f>
        <v>0</v>
      </c>
      <c r="S131" s="355">
        <f>VLOOKUP(Tableau1[[#This Row],[PARCS]],Tableau2546[],13,FALSE)</f>
        <v>2593748.243853752</v>
      </c>
      <c r="T131" s="252">
        <f t="shared" si="8"/>
        <v>519715.82417791686</v>
      </c>
      <c r="U131" s="351">
        <f t="shared" si="9"/>
        <v>0.33910223975391524</v>
      </c>
      <c r="V131" s="252">
        <f>Tableau1[[#This Row],[CA7]]-Tableau1[[#This Row],[CA4]]</f>
        <v>541409.61967583513</v>
      </c>
      <c r="W131" s="351">
        <f>(Tableau1[[#This Row],[CA7]]-Tableau1[[#This Row],[CA4]])/Tableau1[[#This Row],[CA4]]</f>
        <v>0.26380131100085968</v>
      </c>
      <c r="X131" s="6" t="s">
        <v>569</v>
      </c>
    </row>
    <row r="132" spans="1:24" ht="15.75" customHeight="1">
      <c r="A132" s="345" t="s">
        <v>570</v>
      </c>
      <c r="B132" s="346" t="str">
        <f>VLOOKUP(Tableau1[[#This Row],[PARCS]],Tableau106[],3,FALSE)</f>
        <v>A532</v>
      </c>
      <c r="C132" s="346" t="str">
        <f>VLOOKUP(Tableau1[[#This Row],[PARCS]],Tableau106[],2,FALSE)</f>
        <v>FR51E03E</v>
      </c>
      <c r="D132" s="352" t="str">
        <f>VLOOKUP(Tableau1[[#This Row],[PARCS]],Tableau106[],8,FALSE)</f>
        <v>EOLIEN</v>
      </c>
      <c r="E132" s="352" t="str">
        <f>VLOOKUP(A132,Tableau106[],6,FALSE)</f>
        <v>N</v>
      </c>
      <c r="F132" s="353" t="str">
        <f>VLOOKUP(Tableau1[[#This Row],[PARCS]],Tableau106[],5,FALSE)</f>
        <v>CLAM</v>
      </c>
      <c r="G132" s="346" t="str">
        <f>VLOOKUP(Tableau1[[#This Row],[PARCS]],Tableau106[],7,FALSE)</f>
        <v>GROUPE</v>
      </c>
      <c r="H132" s="346" t="str">
        <f>VLOOKUP(Tableau1[[#This Row],[PARCS]],Tableau106[],9,FALSE)</f>
        <v>AyB</v>
      </c>
      <c r="I132" s="347">
        <v>14462.057000000001</v>
      </c>
      <c r="J132" s="348">
        <v>1662006.33</v>
      </c>
      <c r="K132" s="354">
        <f>VLOOKUP(Tableau1[[#This Row],[PARCS]],Tableau25[],10,FALSE)</f>
        <v>17576.701385321012</v>
      </c>
      <c r="L132" s="252">
        <f>VLOOKUP(Tableau1[[#This Row],[PARCS]],Tableau25[],12,FALSE)</f>
        <v>0</v>
      </c>
      <c r="M132" s="252">
        <f>VLOOKUP(Tableau1[[#This Row],[PARCS]],Tableau25[],13,FALSE)</f>
        <v>4255108.4849695936</v>
      </c>
      <c r="N132" s="354">
        <f>VLOOKUP(Tableau1[[#This Row],[PARCS]],Tableau254[],10,FALSE)</f>
        <v>18108.684000000001</v>
      </c>
      <c r="O132" s="252">
        <f>VLOOKUP(Tableau1[[#This Row],[PARCS]],Tableau254[],12,FALSE)</f>
        <v>166004.01</v>
      </c>
      <c r="P132" s="252">
        <f>VLOOKUP(Tableau1[[#This Row],[PARCS]],Tableau254[],13,FALSE)</f>
        <v>2478927.9339000001</v>
      </c>
      <c r="Q132" s="354">
        <f>VLOOKUP(Tableau1[[#This Row],[PARCS]],Tableau2546[],10,FALSE)</f>
        <v>16211.145023819983</v>
      </c>
      <c r="R132" s="252">
        <f>VLOOKUP(Tableau1[[#This Row],[PARCS]],Tableau2546[],12,FALSE)</f>
        <v>0</v>
      </c>
      <c r="S132" s="355">
        <f>VLOOKUP(Tableau1[[#This Row],[PARCS]],Tableau2546[],13,FALSE)</f>
        <v>2274649.9274079008</v>
      </c>
      <c r="T132" s="252">
        <f t="shared" si="8"/>
        <v>816921.60389999999</v>
      </c>
      <c r="U132" s="351">
        <f t="shared" si="9"/>
        <v>0.49152737216109155</v>
      </c>
      <c r="V132" s="252">
        <f>Tableau1[[#This Row],[CA7]]-Tableau1[[#This Row],[CA4]]</f>
        <v>-204278.00649209926</v>
      </c>
      <c r="W132" s="351">
        <f>(Tableau1[[#This Row],[CA7]]-Tableau1[[#This Row],[CA4]])/Tableau1[[#This Row],[CA4]]</f>
        <v>-8.2405786670335629E-2</v>
      </c>
    </row>
    <row r="133" spans="1:24" ht="15.75" customHeight="1">
      <c r="A133" s="345" t="s">
        <v>571</v>
      </c>
      <c r="B133" s="346" t="str">
        <f>VLOOKUP(Tableau1[[#This Row],[PARCS]],Tableau106[],3,FALSE)</f>
        <v>A084</v>
      </c>
      <c r="C133" s="346" t="str">
        <f>VLOOKUP(Tableau1[[#This Row],[PARCS]],Tableau106[],2,FALSE)</f>
        <v>FR34E93E</v>
      </c>
      <c r="D133" s="352" t="str">
        <f>VLOOKUP(Tableau1[[#This Row],[PARCS]],Tableau106[],8,FALSE)</f>
        <v>EOLIEN</v>
      </c>
      <c r="E133" s="352" t="str">
        <f>VLOOKUP(A133,Tableau106[],6,FALSE)</f>
        <v>S</v>
      </c>
      <c r="F133" s="353" t="str">
        <f>VLOOKUP(Tableau1[[#This Row],[PARCS]],Tableau106[],5,FALSE)</f>
        <v>AUM3</v>
      </c>
      <c r="G133" s="346" t="str">
        <f>VLOOKUP(Tableau1[[#This Row],[PARCS]],Tableau106[],7,FALSE)</f>
        <v>FUTUREN</v>
      </c>
      <c r="H133" s="346" t="str">
        <f>VLOOKUP(Tableau1[[#This Row],[PARCS]],Tableau106[],9,FALSE)</f>
        <v>KéD</v>
      </c>
      <c r="I133" s="347">
        <v>20085.553</v>
      </c>
      <c r="J133" s="348">
        <v>1844218.03</v>
      </c>
      <c r="K133" s="354">
        <f>VLOOKUP(Tableau1[[#This Row],[PARCS]],Tableau25[],10,FALSE)</f>
        <v>32731.784273010468</v>
      </c>
      <c r="L133" s="252">
        <f>VLOOKUP(Tableau1[[#This Row],[PARCS]],Tableau25[],12,FALSE)</f>
        <v>0</v>
      </c>
      <c r="M133" s="252">
        <f>VLOOKUP(Tableau1[[#This Row],[PARCS]],Tableau25[],13,FALSE)</f>
        <v>3093782.4306535143</v>
      </c>
      <c r="N133" s="354">
        <f>VLOOKUP(Tableau1[[#This Row],[PARCS]],Tableau254[],10,FALSE)</f>
        <v>24977.48</v>
      </c>
      <c r="O133" s="252">
        <f>VLOOKUP(Tableau1[[#This Row],[PARCS]],Tableau254[],12,FALSE)</f>
        <v>20000</v>
      </c>
      <c r="P133" s="252">
        <f>VLOOKUP(Tableau1[[#This Row],[PARCS]],Tableau254[],13,FALSE)</f>
        <v>2405406.2564399997</v>
      </c>
      <c r="Q133" s="354">
        <f>VLOOKUP(Tableau1[[#This Row],[PARCS]],Tableau2546[],10,FALSE)</f>
        <v>24824.766</v>
      </c>
      <c r="R133" s="252">
        <f>VLOOKUP(Tableau1[[#This Row],[PARCS]],Tableau2546[],12,FALSE)</f>
        <v>0</v>
      </c>
      <c r="S133" s="355">
        <f>VLOOKUP(Tableau1[[#This Row],[PARCS]],Tableau2546[],13,FALSE)</f>
        <v>2450466.9261004496</v>
      </c>
      <c r="T133" s="252">
        <f t="shared" si="8"/>
        <v>561188.22643999965</v>
      </c>
      <c r="U133" s="351">
        <f t="shared" si="9"/>
        <v>0.30429603078980832</v>
      </c>
      <c r="V133" s="252">
        <f>Tableau1[[#This Row],[CA7]]-Tableau1[[#This Row],[CA4]]</f>
        <v>45060.669660449959</v>
      </c>
      <c r="W133" s="351">
        <f>(Tableau1[[#This Row],[CA7]]-Tableau1[[#This Row],[CA4]])/Tableau1[[#This Row],[CA4]]</f>
        <v>1.8733080759147827E-2</v>
      </c>
      <c r="X133" s="6" t="s">
        <v>572</v>
      </c>
    </row>
    <row r="134" spans="1:24" ht="15.75" customHeight="1">
      <c r="A134" s="345" t="s">
        <v>573</v>
      </c>
      <c r="B134" s="346" t="str">
        <f>VLOOKUP(Tableau1[[#This Row],[PARCS]],Tableau106[],3,FALSE)</f>
        <v>F037</v>
      </c>
      <c r="C134" s="346" t="str">
        <f>VLOOKUP(Tableau1[[#This Row],[PARCS]],Tableau106[],2,FALSE)</f>
        <v>FR14E05E</v>
      </c>
      <c r="D134" s="352" t="str">
        <f>VLOOKUP(Tableau1[[#This Row],[PARCS]],Tableau106[],8,FALSE)</f>
        <v>EOLIEN</v>
      </c>
      <c r="E134" s="352" t="str">
        <f>VLOOKUP(A134,Tableau106[],6,FALSE)</f>
        <v>N</v>
      </c>
      <c r="F134" s="353" t="str">
        <f>VLOOKUP(Tableau1[[#This Row],[PARCS]],Tableau106[],5,FALSE)</f>
        <v>SABL</v>
      </c>
      <c r="G134" s="346" t="str">
        <f>VLOOKUP(Tableau1[[#This Row],[PARCS]],Tableau106[],7,FALSE)</f>
        <v>FUTUREN</v>
      </c>
      <c r="H134" s="346" t="str">
        <f>VLOOKUP(Tableau1[[#This Row],[PARCS]],Tableau106[],9,FALSE)</f>
        <v>AnN</v>
      </c>
      <c r="I134" s="347">
        <v>17188.539000000001</v>
      </c>
      <c r="J134" s="348">
        <v>1378709.5</v>
      </c>
      <c r="K134" s="354">
        <f>VLOOKUP(Tableau1[[#This Row],[PARCS]],Tableau25[],10,FALSE)</f>
        <v>17738.165934084165</v>
      </c>
      <c r="L134" s="252">
        <f>VLOOKUP(Tableau1[[#This Row],[PARCS]],Tableau25[],12,FALSE)</f>
        <v>0</v>
      </c>
      <c r="M134" s="252">
        <f>VLOOKUP(Tableau1[[#This Row],[PARCS]],Tableau25[],13,FALSE)</f>
        <v>4294197.114650568</v>
      </c>
      <c r="N134" s="354">
        <f>VLOOKUP(Tableau1[[#This Row],[PARCS]],Tableau254[],10,FALSE)</f>
        <v>19796.386066666666</v>
      </c>
      <c r="O134" s="252">
        <f>VLOOKUP(Tableau1[[#This Row],[PARCS]],Tableau254[],12,FALSE)</f>
        <v>21837.4</v>
      </c>
      <c r="P134" s="252">
        <f>VLOOKUP(Tableau1[[#This Row],[PARCS]],Tableau254[],13,FALSE)</f>
        <v>2066940.6692206662</v>
      </c>
      <c r="Q134" s="354">
        <f>VLOOKUP(Tableau1[[#This Row],[PARCS]],Tableau2546[],10,FALSE)</f>
        <v>18200.365259777431</v>
      </c>
      <c r="R134" s="252">
        <f>VLOOKUP(Tableau1[[#This Row],[PARCS]],Tableau2546[],12,FALSE)</f>
        <v>0</v>
      </c>
      <c r="S134" s="355">
        <f>VLOOKUP(Tableau1[[#This Row],[PARCS]],Tableau2546[],13,FALSE)</f>
        <v>1947807.6401926952</v>
      </c>
      <c r="T134" s="252">
        <f t="shared" ref="T134:T165" si="10">P134-J134</f>
        <v>688231.16922066617</v>
      </c>
      <c r="U134" s="351">
        <f t="shared" ref="U134:U165" si="11">IFERROR((P134-J134)/J134,"")</f>
        <v>0.49918504893211091</v>
      </c>
      <c r="V134" s="252">
        <f>Tableau1[[#This Row],[CA7]]-Tableau1[[#This Row],[CA4]]</f>
        <v>-119133.02902797097</v>
      </c>
      <c r="W134" s="351">
        <f>(Tableau1[[#This Row],[CA7]]-Tableau1[[#This Row],[CA4]])/Tableau1[[#This Row],[CA4]]</f>
        <v>-5.7637372374548967E-2</v>
      </c>
    </row>
    <row r="135" spans="1:24" ht="15.75" customHeight="1">
      <c r="A135" s="345" t="s">
        <v>155</v>
      </c>
      <c r="B135" s="346" t="str">
        <f>VLOOKUP(Tableau1[[#This Row],[PARCS]],Tableau106[],3,FALSE)</f>
        <v>F239</v>
      </c>
      <c r="C135" s="346" t="str">
        <f>VLOOKUP(Tableau1[[#This Row],[PARCS]],Tableau106[],2,FALSE)</f>
        <v>FR28E91E</v>
      </c>
      <c r="D135" s="352" t="str">
        <f>VLOOKUP(Tableau1[[#This Row],[PARCS]],Tableau106[],8,FALSE)</f>
        <v>EOLIEN</v>
      </c>
      <c r="E135" s="352" t="str">
        <f>VLOOKUP(A135,Tableau106[],6,FALSE)</f>
        <v>N</v>
      </c>
      <c r="F135" s="353" t="str">
        <f>VLOOKUP(Tableau1[[#This Row],[PARCS]],Tableau106[],5,FALSE)</f>
        <v>GAR1, GAR2</v>
      </c>
      <c r="G135" s="346" t="str">
        <f>VLOOKUP(Tableau1[[#This Row],[PARCS]],Tableau106[],7,FALSE)</f>
        <v>FUTUREN</v>
      </c>
      <c r="H135" s="346" t="str">
        <f>VLOOKUP(Tableau1[[#This Row],[PARCS]],Tableau106[],9,FALSE)</f>
        <v>NoS</v>
      </c>
      <c r="I135" s="347">
        <v>33821.383999999998</v>
      </c>
      <c r="J135" s="348">
        <v>3201264.4000000004</v>
      </c>
      <c r="K135" s="354">
        <f>VLOOKUP(Tableau1[[#This Row],[PARCS]],Tableau25[],10,FALSE)</f>
        <v>38297</v>
      </c>
      <c r="L135" s="252">
        <f>VLOOKUP(Tableau1[[#This Row],[PARCS]],Tableau25[],12,FALSE)</f>
        <v>0</v>
      </c>
      <c r="M135" s="252">
        <f>VLOOKUP(Tableau1[[#This Row],[PARCS]],Tableau25[],13,FALSE)</f>
        <v>3820933.3571359995</v>
      </c>
      <c r="N135" s="354">
        <f>VLOOKUP(Tableau1[[#This Row],[PARCS]],Tableau254[],10,FALSE)</f>
        <v>48991.048000000003</v>
      </c>
      <c r="O135" s="252">
        <f>VLOOKUP(Tableau1[[#This Row],[PARCS]],Tableau254[],12,FALSE)</f>
        <v>0</v>
      </c>
      <c r="P135" s="252">
        <f>VLOOKUP(Tableau1[[#This Row],[PARCS]],Tableau254[],13,FALSE)</f>
        <v>4836396.25856</v>
      </c>
      <c r="Q135" s="354">
        <f>VLOOKUP(Tableau1[[#This Row],[PARCS]],Tableau2546[],10,FALSE)</f>
        <v>34504</v>
      </c>
      <c r="R135" s="252">
        <f>VLOOKUP(Tableau1[[#This Row],[PARCS]],Tableau2546[],12,FALSE)</f>
        <v>0</v>
      </c>
      <c r="S135" s="355">
        <f>VLOOKUP(Tableau1[[#This Row],[PARCS]],Tableau2546[],13,FALSE)</f>
        <v>3491390.7519999994</v>
      </c>
      <c r="T135" s="252">
        <f t="shared" si="10"/>
        <v>1635131.8585599996</v>
      </c>
      <c r="U135" s="351">
        <f t="shared" si="11"/>
        <v>0.51077688508328134</v>
      </c>
      <c r="V135" s="252">
        <f>Tableau1[[#This Row],[CA7]]-Tableau1[[#This Row],[CA4]]</f>
        <v>-1345005.5065600006</v>
      </c>
      <c r="W135" s="351">
        <f>(Tableau1[[#This Row],[CA7]]-Tableau1[[#This Row],[CA4]])/Tableau1[[#This Row],[CA4]]</f>
        <v>-0.27810076649105375</v>
      </c>
    </row>
    <row r="136" spans="1:24" ht="15.75" customHeight="1">
      <c r="A136" s="345" t="s">
        <v>574</v>
      </c>
      <c r="B136" s="346" t="str">
        <f>VLOOKUP(Tableau1[[#This Row],[PARCS]],Tableau106[],3,FALSE)</f>
        <v>A041</v>
      </c>
      <c r="C136" s="346" t="str">
        <f>VLOOKUP(Tableau1[[#This Row],[PARCS]],Tableau106[],2,FALSE)</f>
        <v>FR97S92E</v>
      </c>
      <c r="D136" s="352" t="str">
        <f>VLOOKUP(Tableau1[[#This Row],[PARCS]],Tableau106[],8,FALSE)</f>
        <v>SOLAIRE DOM</v>
      </c>
      <c r="E136" s="352" t="str">
        <f>VLOOKUP(A136,Tableau106[],6,FALSE)</f>
        <v>DOM</v>
      </c>
      <c r="F136" s="353" t="str">
        <f>VLOOKUP(Tableau1[[#This Row],[PARCS]],Tableau106[],5,FALSE)</f>
        <v>POTI</v>
      </c>
      <c r="G136" s="346" t="str">
        <f>VLOOKUP(Tableau1[[#This Row],[PARCS]],Tableau106[],7,FALSE)</f>
        <v>GROUPE</v>
      </c>
      <c r="H136" s="346" t="str">
        <f>VLOOKUP(Tableau1[[#This Row],[PARCS]],Tableau106[],9,FALSE)</f>
        <v>DoJ</v>
      </c>
      <c r="I136" s="347">
        <v>3407.7280000000001</v>
      </c>
      <c r="J136" s="348">
        <v>1350364.5</v>
      </c>
      <c r="K136" s="354">
        <f>VLOOKUP(Tableau1[[#This Row],[PARCS]],Tableau25[],10,FALSE)</f>
        <v>5495</v>
      </c>
      <c r="L136" s="252">
        <f>VLOOKUP(Tableau1[[#This Row],[PARCS]],Tableau25[],12,FALSE)</f>
        <v>0</v>
      </c>
      <c r="M136" s="252">
        <f>VLOOKUP(Tableau1[[#This Row],[PARCS]],Tableau25[],13,FALSE)</f>
        <v>2719277.5261399997</v>
      </c>
      <c r="N136" s="354">
        <f>VLOOKUP(Tableau1[[#This Row],[PARCS]],Tableau254[],10,FALSE)</f>
        <v>3521.5182727272731</v>
      </c>
      <c r="O136" s="252">
        <f>VLOOKUP(Tableau1[[#This Row],[PARCS]],Tableau254[],12,FALSE)</f>
        <v>0</v>
      </c>
      <c r="P136" s="252">
        <f>VLOOKUP(Tableau1[[#This Row],[PARCS]],Tableau254[],13,FALSE)</f>
        <v>1801858.7761246366</v>
      </c>
      <c r="Q136" s="354">
        <f>VLOOKUP(Tableau1[[#This Row],[PARCS]],Tableau2546[],10,FALSE)</f>
        <v>5426.2537635860526</v>
      </c>
      <c r="R136" s="252">
        <f>VLOOKUP(Tableau1[[#This Row],[PARCS]],Tableau2546[],12,FALSE)</f>
        <v>0</v>
      </c>
      <c r="S136" s="355">
        <f>VLOOKUP(Tableau1[[#This Row],[PARCS]],Tableau2546[],13,FALSE)</f>
        <v>948622.70223484503</v>
      </c>
      <c r="T136" s="252">
        <f t="shared" si="10"/>
        <v>451494.27612463664</v>
      </c>
      <c r="U136" s="351">
        <f t="shared" si="11"/>
        <v>0.33434993005565283</v>
      </c>
      <c r="V136" s="252">
        <f>Tableau1[[#This Row],[CA7]]-Tableau1[[#This Row],[CA4]]</f>
        <v>-853236.07388979162</v>
      </c>
      <c r="W136" s="351">
        <f>(Tableau1[[#This Row],[CA7]]-Tableau1[[#This Row],[CA4]])/Tableau1[[#This Row],[CA4]]</f>
        <v>-0.47353104760235232</v>
      </c>
    </row>
    <row r="137" spans="1:24" ht="15.75" customHeight="1">
      <c r="A137" s="345" t="s">
        <v>575</v>
      </c>
      <c r="B137" s="346" t="str">
        <f>VLOOKUP(Tableau1[[#This Row],[PARCS]],Tableau106[],3,FALSE)</f>
        <v>A893</v>
      </c>
      <c r="C137" s="346" t="str">
        <f>VLOOKUP(Tableau1[[#This Row],[PARCS]],Tableau106[],2,FALSE)</f>
        <v>FR34E97E</v>
      </c>
      <c r="D137" s="346" t="str">
        <f>VLOOKUP(Tableau1[[#This Row],[PARCS]],Tableau106[],8,FALSE)</f>
        <v>EOLIEN</v>
      </c>
      <c r="E137" s="346" t="str">
        <f>VLOOKUP(A137,Tableau106[],6,FALSE)</f>
        <v>S</v>
      </c>
      <c r="F137" s="346" t="str">
        <f>VLOOKUP(Tableau1[[#This Row],[PARCS]],Tableau106[],5,FALSE)</f>
        <v>AUQB</v>
      </c>
      <c r="G137" s="346" t="str">
        <f>VLOOKUP(Tableau1[[#This Row],[PARCS]],Tableau106[],7,FALSE)</f>
        <v>GROUPE</v>
      </c>
      <c r="H137" s="346" t="str">
        <f>VLOOKUP(Tableau1[[#This Row],[PARCS]],Tableau106[],9,FALSE)</f>
        <v>KéD</v>
      </c>
      <c r="I137" s="347">
        <v>13855.931</v>
      </c>
      <c r="J137" s="348">
        <v>724528.7</v>
      </c>
      <c r="K137" s="349">
        <f>VLOOKUP(Tableau1[[#This Row],[PARCS]],Tableau25[],10,FALSE)</f>
        <v>18171.034</v>
      </c>
      <c r="L137" s="350">
        <f>VLOOKUP(Tableau1[[#This Row],[PARCS]],Tableau25[],12,FALSE)</f>
        <v>30000</v>
      </c>
      <c r="M137" s="350">
        <f>VLOOKUP(Tableau1[[#This Row],[PARCS]],Tableau25[],13,FALSE)</f>
        <v>963064.80200000003</v>
      </c>
      <c r="N137" s="349">
        <f>VLOOKUP(Tableau1[[#This Row],[PARCS]],Tableau254[],10,FALSE)</f>
        <v>17722.38</v>
      </c>
      <c r="O137" s="350">
        <f>VLOOKUP(Tableau1[[#This Row],[PARCS]],Tableau254[],12,FALSE)</f>
        <v>0</v>
      </c>
      <c r="P137" s="350">
        <f>VLOOKUP(Tableau1[[#This Row],[PARCS]],Tableau254[],13,FALSE)</f>
        <v>939286.14</v>
      </c>
      <c r="Q137" s="349">
        <f>VLOOKUP(Tableau1[[#This Row],[PARCS]],Tableau2546[],10,FALSE)</f>
        <v>16985.752</v>
      </c>
      <c r="R137" s="350">
        <f>VLOOKUP(Tableau1[[#This Row],[PARCS]],Tableau2546[],12,FALSE)</f>
        <v>0</v>
      </c>
      <c r="S137" s="458">
        <f>VLOOKUP(Tableau1[[#This Row],[PARCS]],Tableau2546[],13,FALSE)</f>
        <v>900244.85600000003</v>
      </c>
      <c r="T137" s="252">
        <f t="shared" si="10"/>
        <v>214757.44000000006</v>
      </c>
      <c r="U137" s="351">
        <f t="shared" si="11"/>
        <v>0.29640984546229854</v>
      </c>
      <c r="V137" s="252">
        <f>Tableau1[[#This Row],[CA7]]-Tableau1[[#This Row],[CA4]]</f>
        <v>-39041.283999999985</v>
      </c>
      <c r="W137" s="351">
        <f>(Tableau1[[#This Row],[CA7]]-Tableau1[[#This Row],[CA4]])/Tableau1[[#This Row],[CA4]]</f>
        <v>-4.1564846256541145E-2</v>
      </c>
      <c r="X137" s="6" t="s">
        <v>576</v>
      </c>
    </row>
    <row r="138" spans="1:24" ht="15.75" customHeight="1">
      <c r="A138" s="345" t="s">
        <v>577</v>
      </c>
      <c r="B138" s="346" t="str">
        <f>VLOOKUP(Tableau1[[#This Row],[PARCS]],Tableau106[],3,FALSE)</f>
        <v>A045</v>
      </c>
      <c r="C138" s="346" t="str">
        <f>VLOOKUP(Tableau1[[#This Row],[PARCS]],Tableau106[],2,FALSE)</f>
        <v>FR97S74E</v>
      </c>
      <c r="D138" s="352" t="str">
        <f>VLOOKUP(Tableau1[[#This Row],[PARCS]],Tableau106[],8,FALSE)</f>
        <v>SOLAIRE DOM</v>
      </c>
      <c r="E138" s="352" t="str">
        <f>VLOOKUP(A138,Tableau106[],6,FALSE)</f>
        <v>DOM</v>
      </c>
      <c r="F138" s="353" t="str">
        <f>VLOOKUP(Tableau1[[#This Row],[PARCS]],Tableau106[],5,FALSE)</f>
        <v>PROV</v>
      </c>
      <c r="G138" s="346" t="str">
        <f>VLOOKUP(Tableau1[[#This Row],[PARCS]],Tableau106[],7,FALSE)</f>
        <v>GROUPE</v>
      </c>
      <c r="H138" s="346" t="str">
        <f>VLOOKUP(Tableau1[[#This Row],[PARCS]],Tableau106[],9,FALSE)</f>
        <v>DoJ</v>
      </c>
      <c r="I138" s="347">
        <v>498.84800000000001</v>
      </c>
      <c r="J138" s="348">
        <v>244935.9</v>
      </c>
      <c r="K138" s="354">
        <f>VLOOKUP(Tableau1[[#This Row],[PARCS]],Tableau25[],10,FALSE)</f>
        <v>793</v>
      </c>
      <c r="L138" s="252">
        <f>VLOOKUP(Tableau1[[#This Row],[PARCS]],Tableau25[],12,FALSE)</f>
        <v>0</v>
      </c>
      <c r="M138" s="252">
        <f>VLOOKUP(Tableau1[[#This Row],[PARCS]],Tableau25[],13,FALSE)</f>
        <v>392644.1980032</v>
      </c>
      <c r="N138" s="354">
        <f>VLOOKUP(Tableau1[[#This Row],[PARCS]],Tableau254[],10,FALSE)</f>
        <v>705.62790909090904</v>
      </c>
      <c r="O138" s="252">
        <f>VLOOKUP(Tableau1[[#This Row],[PARCS]],Tableau254[],12,FALSE)</f>
        <v>0</v>
      </c>
      <c r="P138" s="252">
        <f>VLOOKUP(Tableau1[[#This Row],[PARCS]],Tableau254[],13,FALSE)</f>
        <v>362538.21276063629</v>
      </c>
      <c r="Q138" s="354">
        <f>VLOOKUP(Tableau1[[#This Row],[PARCS]],Tableau2546[],10,FALSE)*1.05</f>
        <v>817.64534588595586</v>
      </c>
      <c r="R138" s="252">
        <f>VLOOKUP(Tableau1[[#This Row],[PARCS]],Tableau2546[],12,FALSE)</f>
        <v>0</v>
      </c>
      <c r="S138" s="355">
        <f>VLOOKUP(Tableau1[[#This Row],[PARCS]],Tableau2546[],13,FALSE)</f>
        <v>410088.48527714098</v>
      </c>
      <c r="T138" s="252">
        <f t="shared" si="10"/>
        <v>117602.3127606363</v>
      </c>
      <c r="U138" s="351">
        <f t="shared" si="11"/>
        <v>0.48013505884860613</v>
      </c>
      <c r="V138" s="252">
        <f>Tableau1[[#This Row],[CA7]]-Tableau1[[#This Row],[CA4]]</f>
        <v>47550.272516504687</v>
      </c>
      <c r="W138" s="351">
        <f>(Tableau1[[#This Row],[CA7]]-Tableau1[[#This Row],[CA4]])/Tableau1[[#This Row],[CA4]]</f>
        <v>0.13115933946499447</v>
      </c>
    </row>
    <row r="139" spans="1:24" ht="15.75" customHeight="1">
      <c r="A139" s="345" t="s">
        <v>578</v>
      </c>
      <c r="B139" s="346" t="str">
        <f>VLOOKUP(Tableau1[[#This Row],[PARCS]],Tableau106[],3,FALSE)</f>
        <v>A544</v>
      </c>
      <c r="C139" s="346" t="str">
        <f>VLOOKUP(Tableau1[[#This Row],[PARCS]],Tableau106[],2,FALSE)</f>
        <v>FR55E07E</v>
      </c>
      <c r="D139" s="352" t="str">
        <f>VLOOKUP(Tableau1[[#This Row],[PARCS]],Tableau106[],8,FALSE)</f>
        <v>EOLIEN</v>
      </c>
      <c r="E139" s="352" t="str">
        <f>VLOOKUP(A139,Tableau106[],6,FALSE)</f>
        <v>N</v>
      </c>
      <c r="F139" s="353" t="str">
        <f>VLOOKUP(Tableau1[[#This Row],[PARCS]],Tableau106[],5,FALSE)</f>
        <v>STAU</v>
      </c>
      <c r="G139" s="346" t="str">
        <f>VLOOKUP(Tableau1[[#This Row],[PARCS]],Tableau106[],7,FALSE)</f>
        <v>EGM</v>
      </c>
      <c r="H139" s="346" t="str">
        <f>VLOOKUP(Tableau1[[#This Row],[PARCS]],Tableau106[],9,FALSE)</f>
        <v>NoS</v>
      </c>
      <c r="I139" s="347">
        <v>18784.944</v>
      </c>
      <c r="J139" s="348">
        <v>1419071.62</v>
      </c>
      <c r="K139" s="354">
        <f>VLOOKUP(Tableau1[[#This Row],[PARCS]],Tableau25[],10,FALSE)</f>
        <v>19385</v>
      </c>
      <c r="L139" s="252">
        <f>VLOOKUP(Tableau1[[#This Row],[PARCS]],Tableau25[],12,FALSE)</f>
        <v>0</v>
      </c>
      <c r="M139" s="252">
        <f>VLOOKUP(Tableau1[[#This Row],[PARCS]],Tableau25[],13,FALSE)</f>
        <v>4439165</v>
      </c>
      <c r="N139" s="354">
        <f>VLOOKUP(Tableau1[[#This Row],[PARCS]],Tableau254[],10,FALSE)</f>
        <v>21210.114347967923</v>
      </c>
      <c r="O139" s="252">
        <f>VLOOKUP(Tableau1[[#This Row],[PARCS]],Tableau254[],12,FALSE)</f>
        <v>0</v>
      </c>
      <c r="P139" s="252">
        <f>VLOOKUP(Tableau1[[#This Row],[PARCS]],Tableau254[],13,FALSE)</f>
        <v>2503588.8723482634</v>
      </c>
      <c r="Q139" s="354">
        <f>VLOOKUP(Tableau1[[#This Row],[PARCS]],Tableau2546[],10,FALSE)</f>
        <v>19385</v>
      </c>
      <c r="R139" s="252">
        <f>VLOOKUP(Tableau1[[#This Row],[PARCS]],Tableau2546[],12,FALSE)</f>
        <v>0</v>
      </c>
      <c r="S139" s="355">
        <f>VLOOKUP(Tableau1[[#This Row],[PARCS]],Tableau2546[],13,FALSE)</f>
        <v>2345360.8609374994</v>
      </c>
      <c r="T139" s="252">
        <f t="shared" si="10"/>
        <v>1084517.2523482633</v>
      </c>
      <c r="U139" s="351">
        <f t="shared" si="11"/>
        <v>0.76424419815277767</v>
      </c>
      <c r="V139" s="252">
        <f>Tableau1[[#This Row],[CA7]]-Tableau1[[#This Row],[CA4]]</f>
        <v>-158228.01141076395</v>
      </c>
      <c r="W139" s="351">
        <f>(Tableau1[[#This Row],[CA7]]-Tableau1[[#This Row],[CA4]])/Tableau1[[#This Row],[CA4]]</f>
        <v>-6.3200477186317175E-2</v>
      </c>
    </row>
    <row r="140" spans="1:24" ht="15.75" customHeight="1">
      <c r="A140" s="345" t="s">
        <v>579</v>
      </c>
      <c r="B140" s="346" t="str">
        <f>VLOOKUP(Tableau1[[#This Row],[PARCS]],Tableau106[],3,FALSE)</f>
        <v>A899</v>
      </c>
      <c r="C140" s="346" t="str">
        <f>VLOOKUP(Tableau1[[#This Row],[PARCS]],Tableau106[],2,FALSE)</f>
        <v>FR25E01E</v>
      </c>
      <c r="D140" s="352" t="str">
        <f>VLOOKUP(Tableau1[[#This Row],[PARCS]],Tableau106[],8,FALSE)</f>
        <v>EOLIEN</v>
      </c>
      <c r="E140" s="352" t="str">
        <f>VLOOKUP(A140,Tableau106[],6,FALSE)</f>
        <v>N</v>
      </c>
      <c r="F140" s="353" t="str">
        <f>VLOOKUP(Tableau1[[#This Row],[PARCS]],Tableau106[],5,FALSE)</f>
        <v>LOMO</v>
      </c>
      <c r="G140" s="346" t="str">
        <f>VLOOKUP(Tableau1[[#This Row],[PARCS]],Tableau106[],7,FALSE)</f>
        <v>GROUPE</v>
      </c>
      <c r="H140" s="346" t="str">
        <f>VLOOKUP(Tableau1[[#This Row],[PARCS]],Tableau106[],9,FALSE)</f>
        <v>LoH</v>
      </c>
      <c r="I140" s="347">
        <v>32478.960999999999</v>
      </c>
      <c r="J140" s="348">
        <v>3856215.45</v>
      </c>
      <c r="K140" s="354">
        <f>VLOOKUP(Tableau1[[#This Row],[PARCS]],Tableau25[],10,FALSE)</f>
        <v>35914.921884000003</v>
      </c>
      <c r="L140" s="252">
        <f>VLOOKUP(Tableau1[[#This Row],[PARCS]],Tableau25[],12,FALSE)</f>
        <v>0</v>
      </c>
      <c r="M140" s="252">
        <f>VLOOKUP(Tableau1[[#This Row],[PARCS]],Tableau25[],13,FALSE)</f>
        <v>8694571.6090537943</v>
      </c>
      <c r="N140" s="354">
        <f>VLOOKUP(Tableau1[[#This Row],[PARCS]],Tableau254[],10,FALSE)</f>
        <v>35452.913346771093</v>
      </c>
      <c r="O140" s="252">
        <f>VLOOKUP(Tableau1[[#This Row],[PARCS]],Tableau254[],12,FALSE)</f>
        <v>51000</v>
      </c>
      <c r="P140" s="252">
        <f>VLOOKUP(Tableau1[[#This Row],[PARCS]],Tableau254[],13,FALSE)</f>
        <v>6938039.1354737589</v>
      </c>
      <c r="Q140" s="354">
        <f>VLOOKUP(Tableau1[[#This Row],[PARCS]],Tableau2546[],10,FALSE)</f>
        <v>35274.758003319977</v>
      </c>
      <c r="R140" s="252">
        <f>VLOOKUP(Tableau1[[#This Row],[PARCS]],Tableau2546[],12,FALSE)</f>
        <v>0</v>
      </c>
      <c r="S140" s="355">
        <f>VLOOKUP(Tableau1[[#This Row],[PARCS]],Tableau2546[],13,FALSE)</f>
        <v>7075753.9826351721</v>
      </c>
      <c r="T140" s="252">
        <f t="shared" si="10"/>
        <v>3081823.6854737587</v>
      </c>
      <c r="U140" s="351">
        <f t="shared" si="11"/>
        <v>0.79918348065167333</v>
      </c>
      <c r="V140" s="252">
        <f>Tableau1[[#This Row],[CA7]]-Tableau1[[#This Row],[CA4]]</f>
        <v>137714.84716141317</v>
      </c>
      <c r="W140" s="351">
        <f>(Tableau1[[#This Row],[CA7]]-Tableau1[[#This Row],[CA4]])/Tableau1[[#This Row],[CA4]]</f>
        <v>1.9849246231155686E-2</v>
      </c>
    </row>
    <row r="141" spans="1:24" ht="15.75" customHeight="1">
      <c r="A141" s="345" t="s">
        <v>238</v>
      </c>
      <c r="B141" s="346" t="str">
        <f>VLOOKUP(Tableau1[[#This Row],[PARCS]],Tableau106[],3,FALSE)</f>
        <v>F036</v>
      </c>
      <c r="C141" s="346" t="str">
        <f>VLOOKUP(Tableau1[[#This Row],[PARCS]],Tableau106[],2,FALSE)</f>
        <v>FR80E95E</v>
      </c>
      <c r="D141" s="352" t="str">
        <f>VLOOKUP(Tableau1[[#This Row],[PARCS]],Tableau106[],8,FALSE)</f>
        <v>EOLIEN</v>
      </c>
      <c r="E141" s="352" t="str">
        <f>VLOOKUP(A141,Tableau106[],6,FALSE)</f>
        <v>N</v>
      </c>
      <c r="F141" s="353" t="str">
        <f>VLOOKUP(Tableau1[[#This Row],[PARCS]],Tableau106[],5,FALSE)</f>
        <v>MODF</v>
      </c>
      <c r="G141" s="346" t="str">
        <f>VLOOKUP(Tableau1[[#This Row],[PARCS]],Tableau106[],7,FALSE)</f>
        <v>FUTUREN</v>
      </c>
      <c r="H141" s="346" t="str">
        <f>VLOOKUP(Tableau1[[#This Row],[PARCS]],Tableau106[],9,FALSE)</f>
        <v>NiD</v>
      </c>
      <c r="I141" s="347">
        <v>20301.844000000001</v>
      </c>
      <c r="J141" s="348">
        <v>2374799.48</v>
      </c>
      <c r="K141" s="354">
        <f>VLOOKUP(Tableau1[[#This Row],[PARCS]],Tableau25[],10,FALSE)</f>
        <v>14018.743692666529</v>
      </c>
      <c r="L141" s="252">
        <f>VLOOKUP(Tableau1[[#This Row],[PARCS]],Tableau25[],12,FALSE)</f>
        <v>0</v>
      </c>
      <c r="M141" s="252">
        <f>VLOOKUP(Tableau1[[#This Row],[PARCS]],Tableau25[],13,FALSE)</f>
        <v>3393769.6230702549</v>
      </c>
      <c r="N141" s="354">
        <f>VLOOKUP(Tableau1[[#This Row],[PARCS]],Tableau254[],10,FALSE)</f>
        <v>21963.001733333331</v>
      </c>
      <c r="O141" s="252">
        <f>VLOOKUP(Tableau1[[#This Row],[PARCS]],Tableau254[],12,FALSE)</f>
        <v>0</v>
      </c>
      <c r="P141" s="252">
        <f>VLOOKUP(Tableau1[[#This Row],[PARCS]],Tableau254[],13,FALSE)</f>
        <v>4325918.8431541221</v>
      </c>
      <c r="Q141" s="354">
        <f>VLOOKUP(Tableau1[[#This Row],[PARCS]],Tableau2546[],10,FALSE)</f>
        <v>20793.277889279998</v>
      </c>
      <c r="R141" s="252">
        <f>VLOOKUP(Tableau1[[#This Row],[PARCS]],Tableau2546[],12,FALSE)</f>
        <v>0</v>
      </c>
      <c r="S141" s="355">
        <f>VLOOKUP(Tableau1[[#This Row],[PARCS]],Tableau2546[],13,FALSE)</f>
        <v>4197913.5897462629</v>
      </c>
      <c r="T141" s="252">
        <f t="shared" si="10"/>
        <v>1951119.3631541221</v>
      </c>
      <c r="U141" s="351">
        <f t="shared" si="11"/>
        <v>0.82159330907135042</v>
      </c>
      <c r="V141" s="252">
        <f>Tableau1[[#This Row],[CA7]]-Tableau1[[#This Row],[CA4]]</f>
        <v>-128005.25340785924</v>
      </c>
      <c r="W141" s="351">
        <f>(Tableau1[[#This Row],[CA7]]-Tableau1[[#This Row],[CA4]])/Tableau1[[#This Row],[CA4]]</f>
        <v>-2.9590303944428097E-2</v>
      </c>
    </row>
    <row r="142" spans="1:24" ht="15.75" customHeight="1">
      <c r="A142" s="345" t="s">
        <v>580</v>
      </c>
      <c r="B142" s="346" t="str">
        <f>VLOOKUP(Tableau1[[#This Row],[PARCS]],Tableau106[],3,FALSE)</f>
        <v>A064</v>
      </c>
      <c r="C142" s="346" t="str">
        <f>VLOOKUP(Tableau1[[#This Row],[PARCS]],Tableau106[],2,FALSE)</f>
        <v>FR34E92E</v>
      </c>
      <c r="D142" s="352" t="str">
        <f>VLOOKUP(Tableau1[[#This Row],[PARCS]],Tableau106[],8,FALSE)</f>
        <v>EOLIEN</v>
      </c>
      <c r="E142" s="352" t="str">
        <f>VLOOKUP(A142,Tableau106[],6,FALSE)</f>
        <v>S</v>
      </c>
      <c r="F142" s="353" t="str">
        <f>VLOOKUP(Tableau1[[#This Row],[PARCS]],Tableau106[],5,FALSE)</f>
        <v>AUCO</v>
      </c>
      <c r="G142" s="346" t="str">
        <f>VLOOKUP(Tableau1[[#This Row],[PARCS]],Tableau106[],7,FALSE)</f>
        <v>GROUPE</v>
      </c>
      <c r="H142" s="346" t="str">
        <f>VLOOKUP(Tableau1[[#This Row],[PARCS]],Tableau106[],9,FALSE)</f>
        <v>KéD</v>
      </c>
      <c r="I142" s="347">
        <v>15467.914000000001</v>
      </c>
      <c r="J142" s="348">
        <v>817698.5</v>
      </c>
      <c r="K142" s="354">
        <f>VLOOKUP(Tableau1[[#This Row],[PARCS]],Tableau25[],10,FALSE)</f>
        <v>19377.153999999999</v>
      </c>
      <c r="L142" s="252">
        <f>VLOOKUP(Tableau1[[#This Row],[PARCS]],Tableau25[],12,FALSE)</f>
        <v>30000</v>
      </c>
      <c r="M142" s="252">
        <f>VLOOKUP(Tableau1[[#This Row],[PARCS]],Tableau25[],13,FALSE)</f>
        <v>1026989.1619999999</v>
      </c>
      <c r="N142" s="354">
        <f>VLOOKUP(Tableau1[[#This Row],[PARCS]],Tableau254[],10,FALSE)</f>
        <v>21148</v>
      </c>
      <c r="O142" s="252">
        <f>VLOOKUP(Tableau1[[#This Row],[PARCS]],Tableau254[],12,FALSE)</f>
        <v>0</v>
      </c>
      <c r="P142" s="252">
        <f>VLOOKUP(Tableau1[[#This Row],[PARCS]],Tableau254[],13,FALSE)</f>
        <v>1120844</v>
      </c>
      <c r="Q142" s="354">
        <f>VLOOKUP(Tableau1[[#This Row],[PARCS]],Tableau2546[],10,FALSE)</f>
        <v>19130.490000000002</v>
      </c>
      <c r="R142" s="252">
        <f>VLOOKUP(Tableau1[[#This Row],[PARCS]],Tableau2546[],12,FALSE)</f>
        <v>0</v>
      </c>
      <c r="S142" s="355">
        <f>VLOOKUP(Tableau1[[#This Row],[PARCS]],Tableau2546[],13,FALSE)</f>
        <v>1013915.9700000001</v>
      </c>
      <c r="T142" s="252">
        <f t="shared" si="10"/>
        <v>303145.5</v>
      </c>
      <c r="U142" s="351">
        <f t="shared" si="11"/>
        <v>0.3707301652137065</v>
      </c>
      <c r="V142" s="252">
        <f>Tableau1[[#This Row],[CA7]]-Tableau1[[#This Row],[CA4]]</f>
        <v>-106928.02999999991</v>
      </c>
      <c r="W142" s="351">
        <f>(Tableau1[[#This Row],[CA7]]-Tableau1[[#This Row],[CA4]])/Tableau1[[#This Row],[CA4]]</f>
        <v>-9.5399564970682735E-2</v>
      </c>
      <c r="X142" s="6" t="s">
        <v>576</v>
      </c>
    </row>
    <row r="143" spans="1:24" ht="15.75" customHeight="1">
      <c r="A143" s="345" t="s">
        <v>581</v>
      </c>
      <c r="B143" s="346" t="str">
        <f>VLOOKUP(Tableau1[[#This Row],[PARCS]],Tableau106[],3,FALSE)</f>
        <v>A063</v>
      </c>
      <c r="C143" s="346" t="str">
        <f>VLOOKUP(Tableau1[[#This Row],[PARCS]],Tableau106[],2,FALSE)</f>
        <v>FR34E85E</v>
      </c>
      <c r="D143" s="352" t="str">
        <f>VLOOKUP(Tableau1[[#This Row],[PARCS]],Tableau106[],8,FALSE)</f>
        <v>EOLIEN</v>
      </c>
      <c r="E143" s="352" t="str">
        <f>VLOOKUP(A143,Tableau106[],6,FALSE)</f>
        <v>S</v>
      </c>
      <c r="F143" s="353" t="str">
        <f>VLOOKUP(Tableau1[[#This Row],[PARCS]],Tableau106[],5,FALSE)</f>
        <v>FRA1</v>
      </c>
      <c r="G143" s="346" t="str">
        <f>VLOOKUP(Tableau1[[#This Row],[PARCS]],Tableau106[],7,FALSE)</f>
        <v>FUTUREN</v>
      </c>
      <c r="H143" s="346" t="str">
        <f>VLOOKUP(Tableau1[[#This Row],[PARCS]],Tableau106[],9,FALSE)</f>
        <v>OdP</v>
      </c>
      <c r="I143" s="347">
        <v>38140.213000000003</v>
      </c>
      <c r="J143" s="348">
        <v>4507950.58</v>
      </c>
      <c r="K143" s="354">
        <f>VLOOKUP(Tableau1[[#This Row],[PARCS]],Tableau25[],10,FALSE)</f>
        <v>44056</v>
      </c>
      <c r="L143" s="252">
        <f>VLOOKUP(Tableau1[[#This Row],[PARCS]],Tableau25[],12,FALSE)</f>
        <v>0</v>
      </c>
      <c r="M143" s="252">
        <f>VLOOKUP(Tableau1[[#This Row],[PARCS]],Tableau25[],13,FALSE)</f>
        <v>10665428.928000001</v>
      </c>
      <c r="N143" s="354">
        <f>VLOOKUP(Tableau1[[#This Row],[PARCS]],Tableau254[],10,FALSE)</f>
        <v>38568.786444444457</v>
      </c>
      <c r="O143" s="252">
        <f>VLOOKUP(Tableau1[[#This Row],[PARCS]],Tableau254[],12,FALSE)</f>
        <v>0</v>
      </c>
      <c r="P143" s="252">
        <f>VLOOKUP(Tableau1[[#This Row],[PARCS]],Tableau254[],13,FALSE)</f>
        <v>7606907.2871428626</v>
      </c>
      <c r="Q143" s="354">
        <f>VLOOKUP(Tableau1[[#This Row],[PARCS]],Tableau2546[],10,FALSE)</f>
        <v>43790</v>
      </c>
      <c r="R143" s="252">
        <f>VLOOKUP(Tableau1[[#This Row],[PARCS]],Tableau2546[],12,FALSE)</f>
        <v>0</v>
      </c>
      <c r="S143" s="355">
        <f>VLOOKUP(Tableau1[[#This Row],[PARCS]],Tableau2546[],13,FALSE)</f>
        <v>8852602.4107187465</v>
      </c>
      <c r="T143" s="252">
        <f t="shared" si="10"/>
        <v>3098956.7071428625</v>
      </c>
      <c r="U143" s="351">
        <f t="shared" si="11"/>
        <v>0.6874424757209433</v>
      </c>
      <c r="V143" s="252">
        <f>Tableau1[[#This Row],[CA7]]-Tableau1[[#This Row],[CA4]]</f>
        <v>1245695.1235758839</v>
      </c>
      <c r="W143" s="351">
        <f>(Tableau1[[#This Row],[CA7]]-Tableau1[[#This Row],[CA4]])/Tableau1[[#This Row],[CA4]]</f>
        <v>0.16375842067660643</v>
      </c>
      <c r="X143" s="6" t="s">
        <v>582</v>
      </c>
    </row>
    <row r="144" spans="1:24" ht="15.75" customHeight="1">
      <c r="A144" s="345" t="s">
        <v>317</v>
      </c>
      <c r="B144" s="346" t="str">
        <f>VLOOKUP(Tableau1[[#This Row],[PARCS]],Tableau106[],3,FALSE)</f>
        <v>F040</v>
      </c>
      <c r="C144" s="346" t="str">
        <f>VLOOKUP(Tableau1[[#This Row],[PARCS]],Tableau106[],2,FALSE)</f>
        <v>FR14E04E</v>
      </c>
      <c r="D144" s="352" t="str">
        <f>VLOOKUP(Tableau1[[#This Row],[PARCS]],Tableau106[],8,FALSE)</f>
        <v>EOLIEN</v>
      </c>
      <c r="E144" s="352" t="str">
        <f>VLOOKUP(A144,Tableau106[],6,FALSE)</f>
        <v>N</v>
      </c>
      <c r="F144" s="353" t="str">
        <f>VLOOKUP(Tableau1[[#This Row],[PARCS]],Tableau106[],5,FALSE)</f>
        <v>SALL</v>
      </c>
      <c r="G144" s="346" t="str">
        <f>VLOOKUP(Tableau1[[#This Row],[PARCS]],Tableau106[],7,FALSE)</f>
        <v>FUTUREN</v>
      </c>
      <c r="H144" s="346" t="str">
        <f>VLOOKUP(Tableau1[[#This Row],[PARCS]],Tableau106[],9,FALSE)</f>
        <v>MéS</v>
      </c>
      <c r="I144" s="347">
        <v>14284.261</v>
      </c>
      <c r="J144" s="348">
        <v>1692158.74</v>
      </c>
      <c r="K144" s="354">
        <f>VLOOKUP(Tableau1[[#This Row],[PARCS]],Tableau25[],10,FALSE)</f>
        <v>13760.687879578913</v>
      </c>
      <c r="L144" s="252">
        <f>VLOOKUP(Tableau1[[#This Row],[PARCS]],Tableau25[],12,FALSE)</f>
        <v>0</v>
      </c>
      <c r="M144" s="252">
        <f>VLOOKUP(Tableau1[[#This Row],[PARCS]],Tableau25[],13,FALSE)</f>
        <v>3331297.4073915002</v>
      </c>
      <c r="N144" s="354">
        <f>VLOOKUP(Tableau1[[#This Row],[PARCS]],Tableau254[],10,FALSE)</f>
        <v>16156.697</v>
      </c>
      <c r="O144" s="252">
        <f>VLOOKUP(Tableau1[[#This Row],[PARCS]],Tableau254[],12,FALSE)</f>
        <v>0</v>
      </c>
      <c r="P144" s="252">
        <f>VLOOKUP(Tableau1[[#This Row],[PARCS]],Tableau254[],13,FALSE)</f>
        <v>3184218.3931994997</v>
      </c>
      <c r="Q144" s="354">
        <f>VLOOKUP(Tableau1[[#This Row],[PARCS]],Tableau2546[],10,FALSE)</f>
        <v>14843.69904767996</v>
      </c>
      <c r="R144" s="252">
        <f>VLOOKUP(Tableau1[[#This Row],[PARCS]],Tableau2546[],12,FALSE)</f>
        <v>0</v>
      </c>
      <c r="S144" s="355">
        <f>VLOOKUP(Tableau1[[#This Row],[PARCS]],Tableau2546[],13,FALSE)</f>
        <v>2998584.3652950185</v>
      </c>
      <c r="T144" s="252">
        <f t="shared" si="10"/>
        <v>1492059.6531994997</v>
      </c>
      <c r="U144" s="351">
        <f t="shared" si="11"/>
        <v>0.88174922241603626</v>
      </c>
      <c r="V144" s="252">
        <f>Tableau1[[#This Row],[CA7]]-Tableau1[[#This Row],[CA4]]</f>
        <v>-185634.02790448116</v>
      </c>
      <c r="W144" s="351">
        <f>(Tableau1[[#This Row],[CA7]]-Tableau1[[#This Row],[CA4]])/Tableau1[[#This Row],[CA4]]</f>
        <v>-5.8298145724218452E-2</v>
      </c>
    </row>
    <row r="145" spans="1:24" ht="15.75" customHeight="1">
      <c r="A145" s="345" t="s">
        <v>583</v>
      </c>
      <c r="B145" s="346" t="str">
        <f>VLOOKUP(Tableau1[[#This Row],[PARCS]],Tableau106[],3,FALSE)</f>
        <v>A095</v>
      </c>
      <c r="C145" s="346" t="str">
        <f>VLOOKUP(Tableau1[[#This Row],[PARCS]],Tableau106[],2,FALSE)</f>
        <v>FR43E99E</v>
      </c>
      <c r="D145" s="352" t="str">
        <f>VLOOKUP(Tableau1[[#This Row],[PARCS]],Tableau106[],8,FALSE)</f>
        <v>EOLIEN</v>
      </c>
      <c r="E145" s="352" t="str">
        <f>VLOOKUP(A145,Tableau106[],6,FALSE)</f>
        <v>S</v>
      </c>
      <c r="F145" s="353" t="str">
        <f>VLOOKUP(Tableau1[[#This Row],[PARCS]],Tableau106[],5,FALSE)</f>
        <v>BARB</v>
      </c>
      <c r="G145" s="346" t="str">
        <f>VLOOKUP(Tableau1[[#This Row],[PARCS]],Tableau106[],7,FALSE)</f>
        <v>FUTUREN</v>
      </c>
      <c r="H145" s="346" t="str">
        <f>VLOOKUP(Tableau1[[#This Row],[PARCS]],Tableau106[],9,FALSE)</f>
        <v>OdP</v>
      </c>
      <c r="I145" s="347">
        <v>18930.825000000001</v>
      </c>
      <c r="J145" s="348">
        <v>1907798.48</v>
      </c>
      <c r="K145" s="354">
        <f>VLOOKUP(Tableau1[[#This Row],[PARCS]],Tableau25[],10,FALSE)</f>
        <v>20262.82659233678</v>
      </c>
      <c r="L145" s="252">
        <f>VLOOKUP(Tableau1[[#This Row],[PARCS]],Tableau25[],12,FALSE)</f>
        <v>0</v>
      </c>
      <c r="M145" s="252">
        <f>VLOOKUP(Tableau1[[#This Row],[PARCS]],Tableau25[],13,FALSE)</f>
        <v>2100371.5449140691</v>
      </c>
      <c r="N145" s="354">
        <f>VLOOKUP(Tableau1[[#This Row],[PARCS]],Tableau254[],10,FALSE)</f>
        <v>16601.849999999999</v>
      </c>
      <c r="O145" s="252">
        <f>VLOOKUP(Tableau1[[#This Row],[PARCS]],Tableau254[],12,FALSE)</f>
        <v>0</v>
      </c>
      <c r="P145" s="252">
        <f>VLOOKUP(Tableau1[[#This Row],[PARCS]],Tableau254[],13,FALSE)</f>
        <v>3272991.7788187498</v>
      </c>
      <c r="Q145" s="354">
        <f>VLOOKUP(Tableau1[[#This Row],[PARCS]],Tableau2546[],10,FALSE)</f>
        <v>18683.384931544777</v>
      </c>
      <c r="R145" s="252">
        <f>VLOOKUP(Tableau1[[#This Row],[PARCS]],Tableau2546[],12,FALSE)</f>
        <v>0</v>
      </c>
      <c r="S145" s="355">
        <f>VLOOKUP(Tableau1[[#This Row],[PARCS]],Tableau2546[],13,FALSE)</f>
        <v>3775442.4605383417</v>
      </c>
      <c r="T145" s="252">
        <f t="shared" si="10"/>
        <v>1365193.2988187498</v>
      </c>
      <c r="U145" s="351">
        <f t="shared" si="11"/>
        <v>0.71558569373571879</v>
      </c>
      <c r="V145" s="252">
        <f>Tableau1[[#This Row],[CA7]]-Tableau1[[#This Row],[CA4]]</f>
        <v>502450.68171959184</v>
      </c>
      <c r="W145" s="351">
        <f>(Tableau1[[#This Row],[CA7]]-Tableau1[[#This Row],[CA4]])/Tableau1[[#This Row],[CA4]]</f>
        <v>0.15351418997481581</v>
      </c>
      <c r="X145" s="6" t="s">
        <v>584</v>
      </c>
    </row>
    <row r="146" spans="1:24" ht="15.75" customHeight="1">
      <c r="A146" s="345" t="s">
        <v>585</v>
      </c>
      <c r="B146" s="346" t="str">
        <f>VLOOKUP(Tableau1[[#This Row],[PARCS]],Tableau106[],3,FALSE)</f>
        <v>A104</v>
      </c>
      <c r="C146" s="346" t="str">
        <f>VLOOKUP(Tableau1[[#This Row],[PARCS]],Tableau106[],2,FALSE)</f>
        <v>FR76E98E</v>
      </c>
      <c r="D146" s="352" t="str">
        <f>VLOOKUP(Tableau1[[#This Row],[PARCS]],Tableau106[],8,FALSE)</f>
        <v>EOLIEN</v>
      </c>
      <c r="E146" s="352" t="str">
        <f>VLOOKUP(A146,Tableau106[],6,FALSE)</f>
        <v>N</v>
      </c>
      <c r="F146" s="353" t="str">
        <f>VLOOKUP(Tableau1[[#This Row],[PARCS]],Tableau106[],5,FALSE)</f>
        <v>VEUL</v>
      </c>
      <c r="G146" s="346" t="str">
        <f>VLOOKUP(Tableau1[[#This Row],[PARCS]],Tableau106[],7,FALSE)</f>
        <v>GROUPE</v>
      </c>
      <c r="H146" s="346" t="str">
        <f>VLOOKUP(Tableau1[[#This Row],[PARCS]],Tableau106[],9,FALSE)</f>
        <v>AnN</v>
      </c>
      <c r="I146" s="347">
        <v>21140.552</v>
      </c>
      <c r="J146" s="348">
        <v>1514874.75</v>
      </c>
      <c r="K146" s="354">
        <f>VLOOKUP(Tableau1[[#This Row],[PARCS]],Tableau25[],10,FALSE)</f>
        <v>23069.141947284152</v>
      </c>
      <c r="L146" s="252">
        <f>VLOOKUP(Tableau1[[#This Row],[PARCS]],Tableau25[],12,FALSE)</f>
        <v>0</v>
      </c>
      <c r="M146" s="252">
        <f>VLOOKUP(Tableau1[[#This Row],[PARCS]],Tableau25[],13,FALSE)</f>
        <v>1694747.4576675543</v>
      </c>
      <c r="N146" s="354">
        <f>VLOOKUP(Tableau1[[#This Row],[PARCS]],Tableau254[],10,FALSE)</f>
        <v>23389.616538461538</v>
      </c>
      <c r="O146" s="252">
        <f>VLOOKUP(Tableau1[[#This Row],[PARCS]],Tableau254[],12,FALSE)</f>
        <v>20611.3</v>
      </c>
      <c r="P146" s="252">
        <f>VLOOKUP(Tableau1[[#This Row],[PARCS]],Tableau254[],13,FALSE)</f>
        <v>2902807.3432</v>
      </c>
      <c r="Q146" s="354">
        <f>VLOOKUP(Tableau1[[#This Row],[PARCS]],Tableau2546[],10,FALSE)</f>
        <v>23946.448208699992</v>
      </c>
      <c r="R146" s="252">
        <f>VLOOKUP(Tableau1[[#This Row],[PARCS]],Tableau2546[],12,FALSE)</f>
        <v>0</v>
      </c>
      <c r="S146" s="355">
        <f>VLOOKUP(Tableau1[[#This Row],[PARCS]],Tableau2546[],13,FALSE)</f>
        <v>3046211.7123299199</v>
      </c>
      <c r="T146" s="252">
        <f t="shared" si="10"/>
        <v>1387932.5932</v>
      </c>
      <c r="U146" s="351">
        <f t="shared" si="11"/>
        <v>0.9162028697091954</v>
      </c>
      <c r="V146" s="252">
        <f>Tableau1[[#This Row],[CA7]]-Tableau1[[#This Row],[CA4]]</f>
        <v>143404.36912991991</v>
      </c>
      <c r="W146" s="351">
        <f>(Tableau1[[#This Row],[CA7]]-Tableau1[[#This Row],[CA4]])/Tableau1[[#This Row],[CA4]]</f>
        <v>4.9401958922921027E-2</v>
      </c>
    </row>
    <row r="147" spans="1:24" ht="15.75" customHeight="1">
      <c r="A147" s="345" t="s">
        <v>586</v>
      </c>
      <c r="B147" s="346" t="str">
        <f>VLOOKUP(Tableau1[[#This Row],[PARCS]],Tableau106[],3,FALSE)</f>
        <v>A053</v>
      </c>
      <c r="C147" s="346" t="str">
        <f>VLOOKUP(Tableau1[[#This Row],[PARCS]],Tableau106[],2,FALSE)</f>
        <v>FR62E99E</v>
      </c>
      <c r="D147" s="352" t="str">
        <f>VLOOKUP(Tableau1[[#This Row],[PARCS]],Tableau106[],8,FALSE)</f>
        <v>EOLIEN</v>
      </c>
      <c r="E147" s="352" t="str">
        <f>VLOOKUP(A147,Tableau106[],6,FALSE)</f>
        <v>N</v>
      </c>
      <c r="F147" s="353" t="str">
        <f>VLOOKUP(Tableau1[[#This Row],[PARCS]],Tableau106[],5,FALSE)</f>
        <v>FIEN</v>
      </c>
      <c r="G147" s="346" t="str">
        <f>VLOOKUP(Tableau1[[#This Row],[PARCS]],Tableau106[],7,FALSE)</f>
        <v>GROUPE</v>
      </c>
      <c r="H147" s="346" t="str">
        <f>VLOOKUP(Tableau1[[#This Row],[PARCS]],Tableau106[],9,FALSE)</f>
        <v>MéS</v>
      </c>
      <c r="I147" s="347">
        <v>24837.550999999999</v>
      </c>
      <c r="J147" s="348">
        <v>2887963.13</v>
      </c>
      <c r="K147" s="354">
        <f>VLOOKUP(Tableau1[[#This Row],[PARCS]],Tableau25[],10,FALSE)</f>
        <v>29262.612392842053</v>
      </c>
      <c r="L147" s="252">
        <f>VLOOKUP(Tableau1[[#This Row],[PARCS]],Tableau25[],12,FALSE)</f>
        <v>0</v>
      </c>
      <c r="M147" s="252">
        <f>VLOOKUP(Tableau1[[#This Row],[PARCS]],Tableau25[],13,FALSE)</f>
        <v>2911674.4356687111</v>
      </c>
      <c r="N147" s="354">
        <f>VLOOKUP(Tableau1[[#This Row],[PARCS]],Tableau254[],10,FALSE)</f>
        <v>28738.632307692304</v>
      </c>
      <c r="O147" s="252">
        <f>VLOOKUP(Tableau1[[#This Row],[PARCS]],Tableau254[],12,FALSE)</f>
        <v>0</v>
      </c>
      <c r="P147" s="252">
        <f>VLOOKUP(Tableau1[[#This Row],[PARCS]],Tableau254[],13,FALSE)</f>
        <v>5619998.0125877755</v>
      </c>
      <c r="Q147" s="354">
        <f>VLOOKUP(Tableau1[[#This Row],[PARCS]],Tableau2546[],10,FALSE)</f>
        <v>27669.96284326796</v>
      </c>
      <c r="R147" s="252">
        <f>VLOOKUP(Tableau1[[#This Row],[PARCS]],Tableau2546[],12,FALSE)</f>
        <v>0</v>
      </c>
      <c r="S147" s="355">
        <f>VLOOKUP(Tableau1[[#This Row],[PARCS]],Tableau2546[],13,FALSE)</f>
        <v>5546289.1513305716</v>
      </c>
      <c r="T147" s="252">
        <f t="shared" si="10"/>
        <v>2732034.8825877756</v>
      </c>
      <c r="U147" s="351">
        <f t="shared" si="11"/>
        <v>0.94600753527894788</v>
      </c>
      <c r="V147" s="252">
        <f>Tableau1[[#This Row],[CA7]]-Tableau1[[#This Row],[CA4]]</f>
        <v>-73708.861257203855</v>
      </c>
      <c r="W147" s="351">
        <f>(Tableau1[[#This Row],[CA7]]-Tableau1[[#This Row],[CA4]])/Tableau1[[#This Row],[CA4]]</f>
        <v>-1.311546037776337E-2</v>
      </c>
      <c r="X147" s="6" t="s">
        <v>587</v>
      </c>
    </row>
    <row r="148" spans="1:24" ht="15.75" customHeight="1">
      <c r="A148" s="345" t="s">
        <v>588</v>
      </c>
      <c r="B148" s="346" t="str">
        <f>VLOOKUP(Tableau1[[#This Row],[PARCS]],Tableau106[],3,FALSE)</f>
        <v>A533</v>
      </c>
      <c r="C148" s="346" t="str">
        <f>VLOOKUP(Tableau1[[#This Row],[PARCS]],Tableau106[],2,FALSE)</f>
        <v>FR57E03E</v>
      </c>
      <c r="D148" s="352" t="str">
        <f>VLOOKUP(Tableau1[[#This Row],[PARCS]],Tableau106[],8,FALSE)</f>
        <v>EOLIEN</v>
      </c>
      <c r="E148" s="352" t="str">
        <f>VLOOKUP(A148,Tableau106[],6,FALSE)</f>
        <v>N</v>
      </c>
      <c r="F148" s="353" t="str">
        <f>VLOOKUP(Tableau1[[#This Row],[PARCS]],Tableau106[],5,FALSE)</f>
        <v>PDFE</v>
      </c>
      <c r="G148" s="346" t="str">
        <f>VLOOKUP(Tableau1[[#This Row],[PARCS]],Tableau106[],7,FALSE)</f>
        <v>GROUPE</v>
      </c>
      <c r="H148" s="346" t="str">
        <f>VLOOKUP(Tableau1[[#This Row],[PARCS]],Tableau106[],9,FALSE)</f>
        <v>AyB</v>
      </c>
      <c r="I148" s="347">
        <v>16593.755000000001</v>
      </c>
      <c r="J148" s="348">
        <v>1641400.69</v>
      </c>
      <c r="K148" s="354">
        <f>VLOOKUP(Tableau1[[#This Row],[PARCS]],Tableau25[],10,FALSE)</f>
        <v>17238.14752319999</v>
      </c>
      <c r="L148" s="252">
        <f>VLOOKUP(Tableau1[[#This Row],[PARCS]],Tableau25[],12,FALSE)</f>
        <v>0</v>
      </c>
      <c r="M148" s="252">
        <f>VLOOKUP(Tableau1[[#This Row],[PARCS]],Tableau25[],13,FALSE)</f>
        <v>1751948.0710227261</v>
      </c>
      <c r="N148" s="354">
        <f>VLOOKUP(Tableau1[[#This Row],[PARCS]],Tableau254[],10,FALSE)</f>
        <v>18016.001899999999</v>
      </c>
      <c r="O148" s="252">
        <f>VLOOKUP(Tableau1[[#This Row],[PARCS]],Tableau254[],12,FALSE)</f>
        <v>0</v>
      </c>
      <c r="P148" s="252">
        <f>VLOOKUP(Tableau1[[#This Row],[PARCS]],Tableau254[],13,FALSE)</f>
        <v>3553296.0547369998</v>
      </c>
      <c r="Q148" s="354">
        <f>VLOOKUP(Tableau1[[#This Row],[PARCS]],Tableau2546[],10,FALSE)</f>
        <v>16557.02964623598</v>
      </c>
      <c r="R148" s="252">
        <f>VLOOKUP(Tableau1[[#This Row],[PARCS]],Tableau2546[],12,FALSE)</f>
        <v>0</v>
      </c>
      <c r="S148" s="355">
        <f>VLOOKUP(Tableau1[[#This Row],[PARCS]],Tableau2546[],13,FALSE)</f>
        <v>3347181.5310553</v>
      </c>
      <c r="T148" s="252">
        <f t="shared" si="10"/>
        <v>1911895.3647369999</v>
      </c>
      <c r="U148" s="351">
        <f t="shared" si="11"/>
        <v>1.1647950292606493</v>
      </c>
      <c r="V148" s="252">
        <f>Tableau1[[#This Row],[CA7]]-Tableau1[[#This Row],[CA4]]</f>
        <v>-206114.52368169976</v>
      </c>
      <c r="W148" s="351">
        <f>(Tableau1[[#This Row],[CA7]]-Tableau1[[#This Row],[CA4]])/Tableau1[[#This Row],[CA4]]</f>
        <v>-5.8006572069029441E-2</v>
      </c>
    </row>
    <row r="149" spans="1:24" ht="15.75" customHeight="1">
      <c r="A149" s="345" t="s">
        <v>589</v>
      </c>
      <c r="B149" s="346" t="str">
        <f>VLOOKUP(Tableau1[[#This Row],[PARCS]],Tableau106[],3,FALSE)</f>
        <v>A135</v>
      </c>
      <c r="C149" s="346" t="str">
        <f>VLOOKUP(Tableau1[[#This Row],[PARCS]],Tableau106[],2,FALSE)</f>
        <v>FR04S98E</v>
      </c>
      <c r="D149" s="352" t="str">
        <f>VLOOKUP(Tableau1[[#This Row],[PARCS]],Tableau106[],8,FALSE)</f>
        <v>SOLAIRE</v>
      </c>
      <c r="E149" s="352" t="str">
        <f>VLOOKUP(A149,Tableau106[],6,FALSE)</f>
        <v>S</v>
      </c>
      <c r="F149" s="353" t="str">
        <f>VLOOKUP(Tableau1[[#This Row],[PARCS]],Tableau106[],5,FALSE)</f>
        <v>STUL</v>
      </c>
      <c r="G149" s="346" t="str">
        <f>VLOOKUP(Tableau1[[#This Row],[PARCS]],Tableau106[],7,FALSE)</f>
        <v>GROUPE</v>
      </c>
      <c r="H149" s="346" t="str">
        <f>VLOOKUP(Tableau1[[#This Row],[PARCS]],Tableau106[],9,FALSE)</f>
        <v>ArB</v>
      </c>
      <c r="I149" s="347">
        <v>7144.86</v>
      </c>
      <c r="J149" s="348">
        <v>2548077.5299999998</v>
      </c>
      <c r="K149" s="354">
        <f>VLOOKUP(Tableau1[[#This Row],[PARCS]],Tableau25[],10,FALSE)</f>
        <v>7020</v>
      </c>
      <c r="L149" s="252">
        <f>VLOOKUP(Tableau1[[#This Row],[PARCS]],Tableau25[],12,FALSE)</f>
        <v>0</v>
      </c>
      <c r="M149" s="252">
        <f>VLOOKUP(Tableau1[[#This Row],[PARCS]],Tableau25[],13,FALSE)</f>
        <v>2703812.3049599999</v>
      </c>
      <c r="N149" s="354">
        <f>VLOOKUP(Tableau1[[#This Row],[PARCS]],Tableau254[],10,FALSE)</f>
        <v>7344.8464999999987</v>
      </c>
      <c r="O149" s="252">
        <f>VLOOKUP(Tableau1[[#This Row],[PARCS]],Tableau254[],12,FALSE)</f>
        <v>0</v>
      </c>
      <c r="P149" s="252">
        <f>VLOOKUP(Tableau1[[#This Row],[PARCS]],Tableau254[],13,FALSE)</f>
        <v>2898430.6706764991</v>
      </c>
      <c r="Q149" s="354">
        <f>VLOOKUP(Tableau1[[#This Row],[PARCS]],Tableau2546[],10,FALSE)</f>
        <v>7032.2330182220567</v>
      </c>
      <c r="R149" s="252">
        <f>VLOOKUP(Tableau1[[#This Row],[PARCS]],Tableau2546[],12,FALSE)</f>
        <v>0</v>
      </c>
      <c r="S149" s="355">
        <f>VLOOKUP(Tableau1[[#This Row],[PARCS]],Tableau2546[],13,FALSE)</f>
        <v>2844443.4965309012</v>
      </c>
      <c r="T149" s="252">
        <f t="shared" si="10"/>
        <v>350353.14067649934</v>
      </c>
      <c r="U149" s="351">
        <f t="shared" si="11"/>
        <v>0.1374970488737442</v>
      </c>
      <c r="V149" s="252">
        <f>Tableau1[[#This Row],[CA7]]-Tableau1[[#This Row],[CA4]]</f>
        <v>-53987.174145597965</v>
      </c>
      <c r="W149" s="351">
        <f>(Tableau1[[#This Row],[CA7]]-Tableau1[[#This Row],[CA4]])/Tableau1[[#This Row],[CA4]]</f>
        <v>-1.8626346557738177E-2</v>
      </c>
    </row>
    <row r="150" spans="1:24" ht="15.75" customHeight="1">
      <c r="A150" s="345" t="s">
        <v>590</v>
      </c>
      <c r="B150" s="346" t="str">
        <f>VLOOKUP(Tableau1[[#This Row],[PARCS]],Tableau106[],3,FALSE)</f>
        <v>A124</v>
      </c>
      <c r="C150" s="346" t="str">
        <f>VLOOKUP(Tableau1[[#This Row],[PARCS]],Tableau106[],2,FALSE)</f>
        <v>FR28E99E</v>
      </c>
      <c r="D150" s="352" t="str">
        <f>VLOOKUP(Tableau1[[#This Row],[PARCS]],Tableau106[],8,FALSE)</f>
        <v>EOLIEN</v>
      </c>
      <c r="E150" s="352" t="str">
        <f>VLOOKUP(A150,Tableau106[],6,FALSE)</f>
        <v>N</v>
      </c>
      <c r="F150" s="353" t="str">
        <f>VLOOKUP(Tableau1[[#This Row],[PARCS]],Tableau106[],5,FALSE)</f>
        <v>CDBO</v>
      </c>
      <c r="G150" s="346" t="str">
        <f>VLOOKUP(Tableau1[[#This Row],[PARCS]],Tableau106[],7,FALSE)</f>
        <v>GROUPE</v>
      </c>
      <c r="H150" s="346" t="str">
        <f>VLOOKUP(Tableau1[[#This Row],[PARCS]],Tableau106[],9,FALSE)</f>
        <v>LoH</v>
      </c>
      <c r="I150" s="347">
        <v>39667.487999999998</v>
      </c>
      <c r="J150" s="348">
        <v>3999878.01</v>
      </c>
      <c r="K150" s="354">
        <f>VLOOKUP(Tableau1[[#This Row],[PARCS]],Tableau25[],10,FALSE)</f>
        <v>45462.570261499946</v>
      </c>
      <c r="L150" s="252">
        <f>VLOOKUP(Tableau1[[#This Row],[PARCS]],Tableau25[],12,FALSE)</f>
        <v>0</v>
      </c>
      <c r="M150" s="252">
        <f>VLOOKUP(Tableau1[[#This Row],[PARCS]],Tableau25[],13,FALSE)</f>
        <v>4697391.8491058638</v>
      </c>
      <c r="N150" s="354">
        <f>VLOOKUP(Tableau1[[#This Row],[PARCS]],Tableau254[],10,FALSE)</f>
        <v>46754.050999999999</v>
      </c>
      <c r="O150" s="252">
        <f>VLOOKUP(Tableau1[[#This Row],[PARCS]],Tableau254[],12,FALSE)</f>
        <v>52000</v>
      </c>
      <c r="P150" s="252">
        <f>VLOOKUP(Tableau1[[#This Row],[PARCS]],Tableau254[],13,FALSE)</f>
        <v>9151264.7986589689</v>
      </c>
      <c r="Q150" s="354">
        <f>VLOOKUP(Tableau1[[#This Row],[PARCS]],Tableau2546[],10,FALSE)</f>
        <v>43580.633641629996</v>
      </c>
      <c r="R150" s="252">
        <f>VLOOKUP(Tableau1[[#This Row],[PARCS]],Tableau2546[],12,FALSE)</f>
        <v>0</v>
      </c>
      <c r="S150" s="355">
        <f>VLOOKUP(Tableau1[[#This Row],[PARCS]],Tableau2546[],13,FALSE)</f>
        <v>8743378.5472749509</v>
      </c>
      <c r="T150" s="252">
        <f t="shared" si="10"/>
        <v>5151386.7886589691</v>
      </c>
      <c r="U150" s="351">
        <f t="shared" si="11"/>
        <v>1.2878859744672486</v>
      </c>
      <c r="V150" s="252">
        <f>Tableau1[[#This Row],[CA7]]-Tableau1[[#This Row],[CA4]]</f>
        <v>-407886.25138401799</v>
      </c>
      <c r="W150" s="351">
        <f>(Tableau1[[#This Row],[CA7]]-Tableau1[[#This Row],[CA4]])/Tableau1[[#This Row],[CA4]]</f>
        <v>-4.4571571291849174E-2</v>
      </c>
    </row>
    <row r="151" spans="1:24" ht="15.75" customHeight="1">
      <c r="A151" s="345" t="s">
        <v>591</v>
      </c>
      <c r="B151" s="346" t="str">
        <f>VLOOKUP(Tableau1[[#This Row],[PARCS]],Tableau106[],3,FALSE)</f>
        <v>A272</v>
      </c>
      <c r="C151" s="346" t="str">
        <f>VLOOKUP(Tableau1[[#This Row],[PARCS]],Tableau106[],2,FALSE)</f>
        <v>FR43S03E</v>
      </c>
      <c r="D151" s="352" t="str">
        <f>VLOOKUP(Tableau1[[#This Row],[PARCS]],Tableau106[],8,FALSE)</f>
        <v>SOLAIRE</v>
      </c>
      <c r="E151" s="352" t="str">
        <f>VLOOKUP(A151,Tableau106[],6,FALSE)</f>
        <v>S</v>
      </c>
      <c r="F151" s="353" t="str">
        <f>VLOOKUP(Tableau1[[#This Row],[PARCS]],Tableau106[],5,FALSE)</f>
        <v>SALZ</v>
      </c>
      <c r="G151" s="346" t="str">
        <f>VLOOKUP(Tableau1[[#This Row],[PARCS]],Tableau106[],7,FALSE)</f>
        <v>GROUPE</v>
      </c>
      <c r="H151" s="346" t="str">
        <f>VLOOKUP(Tableau1[[#This Row],[PARCS]],Tableau106[],9,FALSE)</f>
        <v>ArB</v>
      </c>
      <c r="I151" s="347"/>
      <c r="J151" s="348"/>
      <c r="K151" s="354">
        <f>VLOOKUP(Tableau1[[#This Row],[PARCS]],Tableau25[],10,FALSE)</f>
        <v>4656</v>
      </c>
      <c r="L151" s="252">
        <f>VLOOKUP(Tableau1[[#This Row],[PARCS]],Tableau25[],12,FALSE)</f>
        <v>0</v>
      </c>
      <c r="M151" s="252">
        <f>VLOOKUP(Tableau1[[#This Row],[PARCS]],Tableau25[],13,FALSE)</f>
        <v>299311.89120000001</v>
      </c>
      <c r="N151" s="354">
        <f>VLOOKUP(Tableau1[[#This Row],[PARCS]],Tableau254[],10,FALSE)</f>
        <v>4819.7960000000003</v>
      </c>
      <c r="O151" s="252">
        <f>VLOOKUP(Tableau1[[#This Row],[PARCS]],Tableau254[],12,FALSE)</f>
        <v>0</v>
      </c>
      <c r="P151" s="252">
        <f>VLOOKUP(Tableau1[[#This Row],[PARCS]],Tableau254[],13,FALSE)</f>
        <v>321340.61911599996</v>
      </c>
      <c r="Q151" s="354">
        <f>VLOOKUP(Tableau1[[#This Row],[PARCS]],Tableau2546[],10,FALSE)</f>
        <v>4656</v>
      </c>
      <c r="R151" s="252">
        <f>VLOOKUP(Tableau1[[#This Row],[PARCS]],Tableau2546[],12,FALSE)</f>
        <v>0</v>
      </c>
      <c r="S151" s="355">
        <f>VLOOKUP(Tableau1[[#This Row],[PARCS]],Tableau2546[],13,FALSE)</f>
        <v>318180.6803999999</v>
      </c>
      <c r="T151" s="252">
        <f t="shared" si="10"/>
        <v>321340.61911599996</v>
      </c>
      <c r="U151" s="351" t="str">
        <f t="shared" si="11"/>
        <v/>
      </c>
      <c r="V151" s="252">
        <f>Tableau1[[#This Row],[CA7]]-Tableau1[[#This Row],[CA4]]</f>
        <v>-3159.9387160000624</v>
      </c>
      <c r="W151" s="351">
        <f>(Tableau1[[#This Row],[CA7]]-Tableau1[[#This Row],[CA4]])/Tableau1[[#This Row],[CA4]]</f>
        <v>-9.8336112150806676E-3</v>
      </c>
    </row>
    <row r="152" spans="1:24" ht="15.75" customHeight="1">
      <c r="A152" s="345" t="s">
        <v>592</v>
      </c>
      <c r="B152" s="346" t="str">
        <f>VLOOKUP(Tableau1[[#This Row],[PARCS]],Tableau106[],3,FALSE)</f>
        <v>A257</v>
      </c>
      <c r="C152" s="346" t="str">
        <f>VLOOKUP(Tableau1[[#This Row],[PARCS]],Tableau106[],2,FALSE)</f>
        <v>FR01S03E</v>
      </c>
      <c r="D152" s="352" t="str">
        <f>VLOOKUP(Tableau1[[#This Row],[PARCS]],Tableau106[],8,FALSE)</f>
        <v>SOLAIRE</v>
      </c>
      <c r="E152" s="352" t="str">
        <f>VLOOKUP(A152,Tableau106[],6,FALSE)</f>
        <v>S</v>
      </c>
      <c r="F152" s="353" t="str">
        <f>VLOOKUP(Tableau1[[#This Row],[PARCS]],Tableau106[],5,FALSE)</f>
        <v>SAMO</v>
      </c>
      <c r="G152" s="346" t="str">
        <f>VLOOKUP(Tableau1[[#This Row],[PARCS]],Tableau106[],7,FALSE)</f>
        <v>GROUPE</v>
      </c>
      <c r="H152" s="346" t="str">
        <f>VLOOKUP(Tableau1[[#This Row],[PARCS]],Tableau106[],9,FALSE)</f>
        <v>ArB</v>
      </c>
      <c r="I152" s="347"/>
      <c r="J152" s="348"/>
      <c r="K152" s="354">
        <f>VLOOKUP(Tableau1[[#This Row],[PARCS]],Tableau25[],10,FALSE)</f>
        <v>3581</v>
      </c>
      <c r="L152" s="252">
        <f>VLOOKUP(Tableau1[[#This Row],[PARCS]],Tableau25[],12,FALSE)</f>
        <v>0</v>
      </c>
      <c r="M152" s="252">
        <f>VLOOKUP(Tableau1[[#This Row],[PARCS]],Tableau25[],13,FALSE)</f>
        <v>256149.07323999994</v>
      </c>
      <c r="N152" s="354">
        <f>VLOOKUP(Tableau1[[#This Row],[PARCS]],Tableau254[],10,FALSE)</f>
        <v>3657.97</v>
      </c>
      <c r="O152" s="252">
        <f>VLOOKUP(Tableau1[[#This Row],[PARCS]],Tableau254[],12,FALSE)</f>
        <v>0</v>
      </c>
      <c r="P152" s="252">
        <f>VLOOKUP(Tableau1[[#This Row],[PARCS]],Tableau254[],13,FALSE)</f>
        <v>258728.2181</v>
      </c>
      <c r="Q152" s="354">
        <f>VLOOKUP(Tableau1[[#This Row],[PARCS]],Tableau2546[],10,FALSE)</f>
        <v>3581</v>
      </c>
      <c r="R152" s="252">
        <f>VLOOKUP(Tableau1[[#This Row],[PARCS]],Tableau2546[],12,FALSE)</f>
        <v>0</v>
      </c>
      <c r="S152" s="355">
        <f>VLOOKUP(Tableau1[[#This Row],[PARCS]],Tableau2546[],13,FALSE)</f>
        <v>259616.23324999999</v>
      </c>
      <c r="T152" s="252">
        <f t="shared" si="10"/>
        <v>258728.2181</v>
      </c>
      <c r="U152" s="351" t="str">
        <f t="shared" si="11"/>
        <v/>
      </c>
      <c r="V152" s="252">
        <f>Tableau1[[#This Row],[CA7]]-Tableau1[[#This Row],[CA4]]</f>
        <v>888.01514999999199</v>
      </c>
      <c r="W152" s="351">
        <f>(Tableau1[[#This Row],[CA7]]-Tableau1[[#This Row],[CA4]])/Tableau1[[#This Row],[CA4]]</f>
        <v>3.4322315382575271E-3</v>
      </c>
    </row>
    <row r="153" spans="1:24" ht="15.75" customHeight="1">
      <c r="A153" s="345" t="s">
        <v>593</v>
      </c>
      <c r="B153" s="346" t="str">
        <f>VLOOKUP(Tableau1[[#This Row],[PARCS]],Tableau106[],3,FALSE)</f>
        <v>A258</v>
      </c>
      <c r="C153" s="346" t="str">
        <f>VLOOKUP(Tableau1[[#This Row],[PARCS]],Tableau106[],2,FALSE)</f>
        <v>FR49S01E</v>
      </c>
      <c r="D153" s="352" t="str">
        <f>VLOOKUP(Tableau1[[#This Row],[PARCS]],Tableau106[],8,FALSE)</f>
        <v>SOLAIRE</v>
      </c>
      <c r="E153" s="352" t="str">
        <f>VLOOKUP(A153,Tableau106[],6,FALSE)</f>
        <v>N</v>
      </c>
      <c r="F153" s="353" t="str">
        <f>VLOOKUP(Tableau1[[#This Row],[PARCS]],Tableau106[],5,FALSE)</f>
        <v>SAUM</v>
      </c>
      <c r="G153" s="346" t="str">
        <f>VLOOKUP(Tableau1[[#This Row],[PARCS]],Tableau106[],7,FALSE)</f>
        <v>GROUPE</v>
      </c>
      <c r="H153" s="346" t="str">
        <f>VLOOKUP(Tableau1[[#This Row],[PARCS]],Tableau106[],9,FALSE)</f>
        <v>ZaA</v>
      </c>
      <c r="I153" s="347"/>
      <c r="J153" s="348"/>
      <c r="K153" s="354">
        <f>VLOOKUP(Tableau1[[#This Row],[PARCS]],Tableau25[],10,FALSE)</f>
        <v>11236.679999999998</v>
      </c>
      <c r="L153" s="252">
        <f>VLOOKUP(Tableau1[[#This Row],[PARCS]],Tableau25[],12,FALSE)</f>
        <v>0</v>
      </c>
      <c r="M153" s="252">
        <f>VLOOKUP(Tableau1[[#This Row],[PARCS]],Tableau25[],13,FALSE)</f>
        <v>631886.20486991992</v>
      </c>
      <c r="N153" s="354">
        <f>VLOOKUP(Tableau1[[#This Row],[PARCS]],Tableau254[],10,FALSE)</f>
        <v>11456.148999999999</v>
      </c>
      <c r="O153" s="252">
        <f>VLOOKUP(Tableau1[[#This Row],[PARCS]],Tableau254[],12,FALSE)</f>
        <v>0</v>
      </c>
      <c r="P153" s="252">
        <f>VLOOKUP(Tableau1[[#This Row],[PARCS]],Tableau254[],13,FALSE)</f>
        <v>1958361.8440141664</v>
      </c>
      <c r="Q153" s="354">
        <f>VLOOKUP(Tableau1[[#This Row],[PARCS]],Tableau2546[],10,FALSE)</f>
        <v>11247.6</v>
      </c>
      <c r="R153" s="252">
        <f>VLOOKUP(Tableau1[[#This Row],[PARCS]],Tableau2546[],12,FALSE)</f>
        <v>0</v>
      </c>
      <c r="S153" s="355">
        <f>VLOOKUP(Tableau1[[#This Row],[PARCS]],Tableau2546[],13,FALSE)</f>
        <v>1970779.3992249998</v>
      </c>
      <c r="T153" s="252">
        <f t="shared" si="10"/>
        <v>1958361.8440141664</v>
      </c>
      <c r="U153" s="351" t="str">
        <f t="shared" si="11"/>
        <v/>
      </c>
      <c r="V153" s="252">
        <f>Tableau1[[#This Row],[CA7]]-Tableau1[[#This Row],[CA4]]</f>
        <v>12417.555210833438</v>
      </c>
      <c r="W153" s="351">
        <f>(Tableau1[[#This Row],[CA7]]-Tableau1[[#This Row],[CA4]])/Tableau1[[#This Row],[CA4]]</f>
        <v>6.3407869433262974E-3</v>
      </c>
    </row>
    <row r="154" spans="1:24" ht="15.75" customHeight="1">
      <c r="A154" s="345" t="s">
        <v>594</v>
      </c>
      <c r="B154" s="346" t="str">
        <f>VLOOKUP(Tableau1[[#This Row],[PARCS]],Tableau106[],3,FALSE)</f>
        <v>A938</v>
      </c>
      <c r="C154" s="346" t="str">
        <f>VLOOKUP(Tableau1[[#This Row],[PARCS]],Tableau106[],2,FALSE)</f>
        <v>FR34E81E</v>
      </c>
      <c r="D154" s="352" t="str">
        <f>VLOOKUP(Tableau1[[#This Row],[PARCS]],Tableau106[],8,FALSE)</f>
        <v>EOLIEN</v>
      </c>
      <c r="E154" s="352" t="str">
        <f>VLOOKUP(A154,Tableau106[],6,FALSE)</f>
        <v>S</v>
      </c>
      <c r="F154" s="353" t="str">
        <f>VLOOKUP(Tableau1[[#This Row],[PARCS]],Tableau106[],5,FALSE)</f>
        <v>TRFR</v>
      </c>
      <c r="G154" s="346" t="str">
        <f>VLOOKUP(Tableau1[[#This Row],[PARCS]],Tableau106[],7,FALSE)</f>
        <v>FUTUREN</v>
      </c>
      <c r="H154" s="346" t="str">
        <f>VLOOKUP(Tableau1[[#This Row],[PARCS]],Tableau106[],9,FALSE)</f>
        <v>KéD</v>
      </c>
      <c r="I154" s="347">
        <v>12117.341</v>
      </c>
      <c r="J154" s="348">
        <v>1062726.7</v>
      </c>
      <c r="K154" s="354">
        <f>VLOOKUP(Tableau1[[#This Row],[PARCS]],Tableau25[],10,FALSE)</f>
        <v>16109</v>
      </c>
      <c r="L154" s="252">
        <f>VLOOKUP(Tableau1[[#This Row],[PARCS]],Tableau25[],12,FALSE)</f>
        <v>15000</v>
      </c>
      <c r="M154" s="252">
        <f>VLOOKUP(Tableau1[[#This Row],[PARCS]],Tableau25[],13,FALSE)</f>
        <v>1454052.7884199996</v>
      </c>
      <c r="N154" s="354">
        <f>VLOOKUP(Tableau1[[#This Row],[PARCS]],Tableau254[],10,FALSE)</f>
        <v>13643.73</v>
      </c>
      <c r="O154" s="252">
        <f>VLOOKUP(Tableau1[[#This Row],[PARCS]],Tableau254[],12,FALSE)</f>
        <v>40000</v>
      </c>
      <c r="P154" s="252">
        <f>VLOOKUP(Tableau1[[#This Row],[PARCS]],Tableau254[],13,FALSE)</f>
        <v>1695870.1598999999</v>
      </c>
      <c r="Q154" s="354">
        <f>VLOOKUP(Tableau1[[#This Row],[PARCS]],Tableau2546[],10,FALSE)</f>
        <v>14111.455</v>
      </c>
      <c r="R154" s="252">
        <f>VLOOKUP(Tableau1[[#This Row],[PARCS]],Tableau2546[],12,FALSE)</f>
        <v>0</v>
      </c>
      <c r="S154" s="355">
        <f>VLOOKUP(Tableau1[[#This Row],[PARCS]],Tableau2546[],13,FALSE)</f>
        <v>1797856.9887745832</v>
      </c>
      <c r="T154" s="252">
        <f t="shared" si="10"/>
        <v>633143.4598999999</v>
      </c>
      <c r="U154" s="351">
        <f t="shared" si="11"/>
        <v>0.59577261011697547</v>
      </c>
      <c r="V154" s="252">
        <f>Tableau1[[#This Row],[CA7]]-Tableau1[[#This Row],[CA4]]</f>
        <v>101986.82887458336</v>
      </c>
      <c r="W154" s="351">
        <f>(Tableau1[[#This Row],[CA7]]-Tableau1[[#This Row],[CA4]])/Tableau1[[#This Row],[CA4]]</f>
        <v>6.0138347431384249E-2</v>
      </c>
      <c r="X154" s="6" t="s">
        <v>576</v>
      </c>
    </row>
    <row r="155" spans="1:24" ht="15.75" customHeight="1">
      <c r="A155" s="345" t="s">
        <v>595</v>
      </c>
      <c r="B155" s="346" t="str">
        <f>VLOOKUP(Tableau1[[#This Row],[PARCS]],Tableau106[],3,FALSE)</f>
        <v>A935</v>
      </c>
      <c r="C155" s="346" t="str">
        <f>VLOOKUP(Tableau1[[#This Row],[PARCS]],Tableau106[],2,FALSE)</f>
        <v>FR34E84E</v>
      </c>
      <c r="D155" s="352" t="str">
        <f>VLOOKUP(Tableau1[[#This Row],[PARCS]],Tableau106[],8,FALSE)</f>
        <v>EOLIEN</v>
      </c>
      <c r="E155" s="352" t="str">
        <f>VLOOKUP(A155,Tableau106[],6,FALSE)</f>
        <v>S</v>
      </c>
      <c r="F155" s="353" t="str">
        <f>VLOOKUP(Tableau1[[#This Row],[PARCS]],Tableau106[],5,FALSE)</f>
        <v>PEMO</v>
      </c>
      <c r="G155" s="346" t="str">
        <f>VLOOKUP(Tableau1[[#This Row],[PARCS]],Tableau106[],7,FALSE)</f>
        <v>FUTUREN</v>
      </c>
      <c r="H155" s="346" t="str">
        <f>VLOOKUP(Tableau1[[#This Row],[PARCS]],Tableau106[],9,FALSE)</f>
        <v>KéD</v>
      </c>
      <c r="I155" s="347">
        <v>11775.016</v>
      </c>
      <c r="J155" s="348">
        <v>947398.8</v>
      </c>
      <c r="K155" s="354">
        <f>VLOOKUP(Tableau1[[#This Row],[PARCS]],Tableau25[],10,FALSE)</f>
        <v>15933.221377894666</v>
      </c>
      <c r="L155" s="252">
        <f>VLOOKUP(Tableau1[[#This Row],[PARCS]],Tableau25[],12,FALSE)</f>
        <v>15000</v>
      </c>
      <c r="M155" s="252">
        <f>VLOOKUP(Tableau1[[#This Row],[PARCS]],Tableau25[],13,FALSE)</f>
        <v>1319068.5948699899</v>
      </c>
      <c r="N155" s="354">
        <f>VLOOKUP(Tableau1[[#This Row],[PARCS]],Tableau254[],10,FALSE)</f>
        <v>13016.066000000001</v>
      </c>
      <c r="O155" s="252">
        <f>VLOOKUP(Tableau1[[#This Row],[PARCS]],Tableau254[],12,FALSE)</f>
        <v>30000</v>
      </c>
      <c r="P155" s="252">
        <f>VLOOKUP(Tableau1[[#This Row],[PARCS]],Tableau254[],13,FALSE)</f>
        <v>1617007.5726233334</v>
      </c>
      <c r="Q155" s="354">
        <f>VLOOKUP(Tableau1[[#This Row],[PARCS]],Tableau2546[],10,FALSE)</f>
        <v>12805.066000000001</v>
      </c>
      <c r="R155" s="252">
        <f>VLOOKUP(Tableau1[[#This Row],[PARCS]],Tableau2546[],12,FALSE)</f>
        <v>0</v>
      </c>
      <c r="S155" s="355">
        <f>VLOOKUP(Tableau1[[#This Row],[PARCS]],Tableau2546[],13,FALSE)</f>
        <v>1630564.5582305833</v>
      </c>
      <c r="T155" s="252">
        <f t="shared" si="10"/>
        <v>669608.77262333338</v>
      </c>
      <c r="U155" s="351">
        <f t="shared" si="11"/>
        <v>0.70678659570112745</v>
      </c>
      <c r="V155" s="252">
        <f>Tableau1[[#This Row],[CA7]]-Tableau1[[#This Row],[CA4]]</f>
        <v>13556.985607249895</v>
      </c>
      <c r="W155" s="351">
        <f>(Tableau1[[#This Row],[CA7]]-Tableau1[[#This Row],[CA4]])/Tableau1[[#This Row],[CA4]]</f>
        <v>8.3839963626489867E-3</v>
      </c>
      <c r="X155" s="6" t="s">
        <v>576</v>
      </c>
    </row>
    <row r="156" spans="1:24" ht="15.75" customHeight="1">
      <c r="A156" s="345" t="s">
        <v>596</v>
      </c>
      <c r="B156" s="346" t="str">
        <f>VLOOKUP(Tableau1[[#This Row],[PARCS]],Tableau106[],3,FALSE)</f>
        <v>A056</v>
      </c>
      <c r="C156" s="346" t="str">
        <f>VLOOKUP(Tableau1[[#This Row],[PARCS]],Tableau106[],2,FALSE)</f>
        <v>FR11E91E</v>
      </c>
      <c r="D156" s="352" t="str">
        <f>VLOOKUP(Tableau1[[#This Row],[PARCS]],Tableau106[],8,FALSE)</f>
        <v>EOLIEN</v>
      </c>
      <c r="E156" s="352" t="str">
        <f>VLOOKUP(A156,Tableau106[],6,FALSE)</f>
        <v>S</v>
      </c>
      <c r="F156" s="353" t="str">
        <f>VLOOKUP(Tableau1[[#This Row],[PARCS]],Tableau106[],5,FALSE)</f>
        <v>VLSQ</v>
      </c>
      <c r="G156" s="346" t="str">
        <f>VLOOKUP(Tableau1[[#This Row],[PARCS]],Tableau106[],7,FALSE)</f>
        <v>GROUPE</v>
      </c>
      <c r="H156" s="346" t="str">
        <f>VLOOKUP(Tableau1[[#This Row],[PARCS]],Tableau106[],9,FALSE)</f>
        <v>ThC</v>
      </c>
      <c r="I156" s="347">
        <v>106176.894</v>
      </c>
      <c r="J156" s="348">
        <v>11014978.300000001</v>
      </c>
      <c r="K156" s="354">
        <f>VLOOKUP(Tableau1[[#This Row],[PARCS]],Tableau25[],10,FALSE)</f>
        <v>136990.76653124156</v>
      </c>
      <c r="L156" s="252">
        <f>VLOOKUP(Tableau1[[#This Row],[PARCS]],Tableau25[],12,FALSE)</f>
        <v>0</v>
      </c>
      <c r="M156" s="252">
        <f>VLOOKUP(Tableau1[[#This Row],[PARCS]],Tableau25[],13,FALSE)</f>
        <v>33163820.688015211</v>
      </c>
      <c r="N156" s="354">
        <f>VLOOKUP(Tableau1[[#This Row],[PARCS]],Tableau254[],10,FALSE)</f>
        <v>138949.5177285714</v>
      </c>
      <c r="O156" s="252">
        <f>VLOOKUP(Tableau1[[#This Row],[PARCS]],Tableau254[],12,FALSE)</f>
        <v>226331.43</v>
      </c>
      <c r="P156" s="252">
        <f>VLOOKUP(Tableau1[[#This Row],[PARCS]],Tableau254[],13,FALSE)</f>
        <v>23200387.080187798</v>
      </c>
      <c r="Q156" s="354">
        <f>VLOOKUP(Tableau1[[#This Row],[PARCS]],Tableau2546[],10,FALSE)</f>
        <v>142659.97441746155</v>
      </c>
      <c r="R156" s="252">
        <f>VLOOKUP(Tableau1[[#This Row],[PARCS]],Tableau2546[],12,FALSE)</f>
        <v>150000</v>
      </c>
      <c r="S156" s="355">
        <f>VLOOKUP(Tableau1[[#This Row],[PARCS]],Tableau2546[],13,FALSE)</f>
        <v>24415419.704048265</v>
      </c>
      <c r="T156" s="252">
        <f t="shared" si="10"/>
        <v>12185408.780187797</v>
      </c>
      <c r="U156" s="351">
        <f t="shared" si="11"/>
        <v>1.1062580831582569</v>
      </c>
      <c r="V156" s="252">
        <f>Tableau1[[#This Row],[CA7]]-Tableau1[[#This Row],[CA4]]</f>
        <v>1215032.6238604672</v>
      </c>
      <c r="W156" s="356">
        <f>(Tableau1[[#This Row],[CA7]]-Tableau1[[#This Row],[CA4]])/Tableau1[[#This Row],[CA4]]</f>
        <v>5.2371222068879036E-2</v>
      </c>
      <c r="X156" s="6" t="s">
        <v>597</v>
      </c>
    </row>
    <row r="157" spans="1:24" ht="15.75" customHeight="1">
      <c r="A157" s="345" t="s">
        <v>598</v>
      </c>
      <c r="B157" s="346" t="str">
        <f>VLOOKUP(Tableau1[[#This Row],[PARCS]],Tableau106[],3,FALSE)</f>
        <v>A555</v>
      </c>
      <c r="C157" s="346" t="str">
        <f>VLOOKUP(Tableau1[[#This Row],[PARCS]],Tableau106[],2,FALSE)</f>
        <v>FR02E09E</v>
      </c>
      <c r="D157" s="352" t="str">
        <f>VLOOKUP(Tableau1[[#This Row],[PARCS]],Tableau106[],8,FALSE)</f>
        <v>EOLIEN</v>
      </c>
      <c r="E157" s="352" t="str">
        <f>VLOOKUP(A157,Tableau106[],6,FALSE)</f>
        <v>N</v>
      </c>
      <c r="F157" s="353" t="str">
        <f>VLOOKUP(Tableau1[[#This Row],[PARCS]],Tableau106[],5,FALSE)</f>
        <v>BTS2</v>
      </c>
      <c r="G157" s="346" t="str">
        <f>VLOOKUP(Tableau1[[#This Row],[PARCS]],Tableau106[],7,FALSE)</f>
        <v>ENDF</v>
      </c>
      <c r="H157" s="346" t="str">
        <f>VLOOKUP(Tableau1[[#This Row],[PARCS]],Tableau106[],9,FALSE)</f>
        <v>BoK</v>
      </c>
      <c r="I157" s="347">
        <f>I156/2</f>
        <v>53088.447</v>
      </c>
      <c r="J157" s="348">
        <v>2253668.46</v>
      </c>
      <c r="K157" s="354">
        <f>VLOOKUP(Tableau1[[#This Row],[PARCS]],Tableau25[],10,FALSE)</f>
        <v>26750</v>
      </c>
      <c r="L157" s="252">
        <f>VLOOKUP(Tableau1[[#This Row],[PARCS]],Tableau25[],12,FALSE)</f>
        <v>0</v>
      </c>
      <c r="M157" s="252">
        <f>VLOOKUP(Tableau1[[#This Row],[PARCS]],Tableau25[],13,FALSE)</f>
        <v>2513994.8957999996</v>
      </c>
      <c r="N157" s="354">
        <f>VLOOKUP(Tableau1[[#This Row],[PARCS]],Tableau254[],10,FALSE)</f>
        <v>54902.341</v>
      </c>
      <c r="O157" s="252">
        <f>VLOOKUP(Tableau1[[#This Row],[PARCS]],Tableau254[],12,FALSE)</f>
        <v>0</v>
      </c>
      <c r="P157" s="252">
        <f>VLOOKUP(Tableau1[[#This Row],[PARCS]],Tableau254[],13,FALSE)</f>
        <v>5258436.4162980001</v>
      </c>
      <c r="Q157" s="354">
        <f>VLOOKUP(Tableau1[[#This Row],[PARCS]],Tableau2546[],10,FALSE)</f>
        <v>26750</v>
      </c>
      <c r="R157" s="252">
        <f>VLOOKUP(Tableau1[[#This Row],[PARCS]],Tableau2546[],12,FALSE)</f>
        <v>0</v>
      </c>
      <c r="S157" s="355">
        <f>VLOOKUP(Tableau1[[#This Row],[PARCS]],Tableau2546[],13,FALSE)</f>
        <v>2626113.0375000001</v>
      </c>
      <c r="T157" s="252">
        <f t="shared" si="10"/>
        <v>3004767.9562980002</v>
      </c>
      <c r="U157" s="351">
        <f t="shared" si="11"/>
        <v>1.3332786120182027</v>
      </c>
      <c r="V157" s="252">
        <f>Tableau1[[#This Row],[CA7]]-Tableau1[[#This Row],[CA4]]</f>
        <v>-2632323.378798</v>
      </c>
      <c r="W157" s="351">
        <f>(Tableau1[[#This Row],[CA7]]-Tableau1[[#This Row],[CA4]])/Tableau1[[#This Row],[CA4]]</f>
        <v>-0.50059051216049244</v>
      </c>
    </row>
    <row r="158" spans="1:24" ht="15.75" customHeight="1">
      <c r="A158" s="345" t="s">
        <v>599</v>
      </c>
      <c r="B158" s="346" t="str">
        <f>VLOOKUP(Tableau1[[#This Row],[PARCS]],Tableau106[],3,FALSE)</f>
        <v>A541</v>
      </c>
      <c r="C158" s="346" t="str">
        <f>VLOOKUP(Tableau1[[#This Row],[PARCS]],Tableau106[],2,FALSE)</f>
        <v>FR85E02E</v>
      </c>
      <c r="D158" s="352" t="str">
        <f>VLOOKUP(Tableau1[[#This Row],[PARCS]],Tableau106[],8,FALSE)</f>
        <v>EOLIEN</v>
      </c>
      <c r="E158" s="352" t="str">
        <f>VLOOKUP(A158,Tableau106[],6,FALSE)</f>
        <v>N</v>
      </c>
      <c r="F158" s="353" t="str">
        <f>VLOOKUP(Tableau1[[#This Row],[PARCS]],Tableau106[],5,FALSE)</f>
        <v>MACH</v>
      </c>
      <c r="G158" s="346" t="str">
        <f>VLOOKUP(Tableau1[[#This Row],[PARCS]],Tableau106[],7,FALSE)</f>
        <v>EGM</v>
      </c>
      <c r="H158" s="346" t="str">
        <f>VLOOKUP(Tableau1[[#This Row],[PARCS]],Tableau106[],9,FALSE)</f>
        <v>BoK</v>
      </c>
      <c r="I158" s="347">
        <v>13552.555</v>
      </c>
      <c r="J158" s="348">
        <v>1053795.94</v>
      </c>
      <c r="K158" s="354">
        <f>VLOOKUP(Tableau1[[#This Row],[PARCS]],Tableau25[],10,FALSE)</f>
        <v>15093.945</v>
      </c>
      <c r="L158" s="252">
        <f>VLOOKUP(Tableau1[[#This Row],[PARCS]],Tableau25[],12,FALSE)</f>
        <v>0</v>
      </c>
      <c r="M158" s="252">
        <f>VLOOKUP(Tableau1[[#This Row],[PARCS]],Tableau25[],13,FALSE)</f>
        <v>3327906.9560219999</v>
      </c>
      <c r="N158" s="354">
        <f>VLOOKUP(Tableau1[[#This Row],[PARCS]],Tableau254[],10,FALSE)</f>
        <v>15482.79121819928</v>
      </c>
      <c r="O158" s="252">
        <f>VLOOKUP(Tableau1[[#This Row],[PARCS]],Tableau254[],12,FALSE)</f>
        <v>0</v>
      </c>
      <c r="P158" s="252">
        <f>VLOOKUP(Tableau1[[#This Row],[PARCS]],Tableau254[],13,FALSE)</f>
        <v>2608338.226947037</v>
      </c>
      <c r="Q158" s="354">
        <f>VLOOKUP(Tableau1[[#This Row],[PARCS]],Tableau2546[],10,FALSE)</f>
        <v>15093.945</v>
      </c>
      <c r="R158" s="252">
        <f>VLOOKUP(Tableau1[[#This Row],[PARCS]],Tableau2546[],12,FALSE)</f>
        <v>0</v>
      </c>
      <c r="S158" s="355">
        <f>VLOOKUP(Tableau1[[#This Row],[PARCS]],Tableau2546[],13,FALSE)</f>
        <v>2606401.2627758533</v>
      </c>
      <c r="T158" s="252">
        <f t="shared" si="10"/>
        <v>1554542.2869470371</v>
      </c>
      <c r="U158" s="351">
        <f t="shared" si="11"/>
        <v>1.4751834087983269</v>
      </c>
      <c r="V158" s="252">
        <f>Tableau1[[#This Row],[CA7]]-Tableau1[[#This Row],[CA4]]</f>
        <v>-1936.9641711837612</v>
      </c>
      <c r="W158" s="351">
        <f>(Tableau1[[#This Row],[CA7]]-Tableau1[[#This Row],[CA4]])/Tableau1[[#This Row],[CA4]]</f>
        <v>-7.4260467878466271E-4</v>
      </c>
    </row>
    <row r="159" spans="1:24" ht="15.75" customHeight="1">
      <c r="A159" s="345" t="s">
        <v>600</v>
      </c>
      <c r="B159" s="346" t="str">
        <f>VLOOKUP(Tableau1[[#This Row],[PARCS]],Tableau106[],3,FALSE)</f>
        <v>A065</v>
      </c>
      <c r="C159" s="346" t="str">
        <f>VLOOKUP(Tableau1[[#This Row],[PARCS]],Tableau106[],2,FALSE)</f>
        <v>FR97S90E</v>
      </c>
      <c r="D159" s="352" t="str">
        <f>VLOOKUP(Tableau1[[#This Row],[PARCS]],Tableau106[],8,FALSE)</f>
        <v>SOLAIRE DOM</v>
      </c>
      <c r="E159" s="352" t="str">
        <f>VLOOKUP(A159,Tableau106[],6,FALSE)</f>
        <v>DOM</v>
      </c>
      <c r="F159" s="353" t="str">
        <f>VLOOKUP(Tableau1[[#This Row],[PARCS]],Tableau106[],5,FALSE)</f>
        <v>SIOU</v>
      </c>
      <c r="G159" s="346" t="str">
        <f>VLOOKUP(Tableau1[[#This Row],[PARCS]],Tableau106[],7,FALSE)</f>
        <v>GROUPE</v>
      </c>
      <c r="H159" s="346" t="str">
        <f>VLOOKUP(Tableau1[[#This Row],[PARCS]],Tableau106[],9,FALSE)</f>
        <v>DoJ</v>
      </c>
      <c r="I159" s="347">
        <v>1025.8489999999999</v>
      </c>
      <c r="J159" s="348">
        <v>484498.23</v>
      </c>
      <c r="K159" s="354">
        <f>VLOOKUP(Tableau1[[#This Row],[PARCS]],Tableau25[],10,FALSE)</f>
        <v>1624</v>
      </c>
      <c r="L159" s="252">
        <f>VLOOKUP(Tableau1[[#This Row],[PARCS]],Tableau25[],12,FALSE)</f>
        <v>0</v>
      </c>
      <c r="M159" s="252">
        <f>VLOOKUP(Tableau1[[#This Row],[PARCS]],Tableau25[],13,FALSE)</f>
        <v>772155.15999999992</v>
      </c>
      <c r="N159" s="354">
        <f>VLOOKUP(Tableau1[[#This Row],[PARCS]],Tableau254[],10,FALSE)</f>
        <v>1339.035072727273</v>
      </c>
      <c r="O159" s="252">
        <f>VLOOKUP(Tableau1[[#This Row],[PARCS]],Tableau254[],12,FALSE)</f>
        <v>0</v>
      </c>
      <c r="P159" s="252">
        <f>VLOOKUP(Tableau1[[#This Row],[PARCS]],Tableau254[],13,FALSE)</f>
        <v>687970.77870089095</v>
      </c>
      <c r="Q159" s="354">
        <f>VLOOKUP(Tableau1[[#This Row],[PARCS]],Tableau2546[],10,FALSE)</f>
        <v>1608.2019589818951</v>
      </c>
      <c r="R159" s="252">
        <f>VLOOKUP(Tableau1[[#This Row],[PARCS]],Tableau2546[],12,FALSE)</f>
        <v>0</v>
      </c>
      <c r="S159" s="355">
        <f>VLOOKUP(Tableau1[[#This Row],[PARCS]],Tableau2546[],13,FALSE)</f>
        <v>846920.20095486892</v>
      </c>
      <c r="T159" s="252">
        <f t="shared" si="10"/>
        <v>203472.54870089097</v>
      </c>
      <c r="U159" s="351">
        <f t="shared" si="11"/>
        <v>0.41996551504613544</v>
      </c>
      <c r="V159" s="252">
        <f>Tableau1[[#This Row],[CA7]]-Tableau1[[#This Row],[CA4]]</f>
        <v>158949.42225397797</v>
      </c>
      <c r="W159" s="351">
        <f>(Tableau1[[#This Row],[CA7]]-Tableau1[[#This Row],[CA4]])/Tableau1[[#This Row],[CA4]]</f>
        <v>0.23104094995738825</v>
      </c>
    </row>
    <row r="160" spans="1:24" ht="15.75" customHeight="1">
      <c r="A160" s="345" t="s">
        <v>601</v>
      </c>
      <c r="B160" s="346" t="str">
        <f>VLOOKUP(Tableau1[[#This Row],[PARCS]],Tableau106[],3,FALSE)</f>
        <v>A936</v>
      </c>
      <c r="C160" s="346" t="str">
        <f>VLOOKUP(Tableau1[[#This Row],[PARCS]],Tableau106[],2,FALSE)</f>
        <v>FR34E83E</v>
      </c>
      <c r="D160" s="352" t="str">
        <f>VLOOKUP(Tableau1[[#This Row],[PARCS]],Tableau106[],8,FALSE)</f>
        <v>EOLIEN</v>
      </c>
      <c r="E160" s="352" t="str">
        <f>VLOOKUP(A160,Tableau106[],6,FALSE)</f>
        <v>S</v>
      </c>
      <c r="F160" s="353" t="str">
        <f>VLOOKUP(Tableau1[[#This Row],[PARCS]],Tableau106[],5,FALSE)</f>
        <v>LAPI</v>
      </c>
      <c r="G160" s="346" t="str">
        <f>VLOOKUP(Tableau1[[#This Row],[PARCS]],Tableau106[],7,FALSE)</f>
        <v>FUTUREN</v>
      </c>
      <c r="H160" s="346" t="str">
        <f>VLOOKUP(Tableau1[[#This Row],[PARCS]],Tableau106[],9,FALSE)</f>
        <v>KéD</v>
      </c>
      <c r="I160" s="347">
        <v>10975.938</v>
      </c>
      <c r="J160" s="348">
        <v>1029879.78</v>
      </c>
      <c r="K160" s="354">
        <f>VLOOKUP(Tableau1[[#This Row],[PARCS]],Tableau25[],10,FALSE)</f>
        <v>19091.569962947317</v>
      </c>
      <c r="L160" s="252">
        <f>VLOOKUP(Tableau1[[#This Row],[PARCS]],Tableau25[],12,FALSE)</f>
        <v>20000</v>
      </c>
      <c r="M160" s="252">
        <f>VLOOKUP(Tableau1[[#This Row],[PARCS]],Tableau25[],13,FALSE)</f>
        <v>1847837.836585403</v>
      </c>
      <c r="N160" s="354">
        <f>VLOOKUP(Tableau1[[#This Row],[PARCS]],Tableau254[],10,FALSE)</f>
        <v>15724.722</v>
      </c>
      <c r="O160" s="252">
        <f>VLOOKUP(Tableau1[[#This Row],[PARCS]],Tableau254[],12,FALSE)</f>
        <v>30000</v>
      </c>
      <c r="P160" s="252">
        <f>VLOOKUP(Tableau1[[#This Row],[PARCS]],Tableau254[],13,FALSE)</f>
        <v>1953980.1635899998</v>
      </c>
      <c r="Q160" s="354">
        <f>VLOOKUP(Tableau1[[#This Row],[PARCS]],Tableau2546[],10,FALSE)</f>
        <v>15251.171</v>
      </c>
      <c r="R160" s="252">
        <f>VLOOKUP(Tableau1[[#This Row],[PARCS]],Tableau2546[],12,FALSE)</f>
        <v>0</v>
      </c>
      <c r="S160" s="355">
        <f>VLOOKUP(Tableau1[[#This Row],[PARCS]],Tableau2546[],13,FALSE)</f>
        <v>1942514.3252552913</v>
      </c>
      <c r="T160" s="252">
        <f t="shared" si="10"/>
        <v>924100.38358999975</v>
      </c>
      <c r="U160" s="351">
        <f t="shared" si="11"/>
        <v>0.89728956868150156</v>
      </c>
      <c r="V160" s="252">
        <f>Tableau1[[#This Row],[CA7]]-Tableau1[[#This Row],[CA4]]</f>
        <v>-11465.838334708475</v>
      </c>
      <c r="W160" s="351">
        <f>(Tableau1[[#This Row],[CA7]]-Tableau1[[#This Row],[CA4]])/Tableau1[[#This Row],[CA4]]</f>
        <v>-5.867939986474874E-3</v>
      </c>
      <c r="X160" s="6" t="s">
        <v>602</v>
      </c>
    </row>
    <row r="161" spans="1:23" ht="15.75" customHeight="1">
      <c r="A161" s="345" t="s">
        <v>603</v>
      </c>
      <c r="B161" s="346" t="str">
        <f>VLOOKUP(Tableau1[[#This Row],[PARCS]],Tableau106[],3,FALSE)</f>
        <v>A295</v>
      </c>
      <c r="C161" s="346" t="str">
        <f>VLOOKUP(Tableau1[[#This Row],[PARCS]],Tableau106[],2,FALSE)</f>
        <v>FR18S01E</v>
      </c>
      <c r="D161" s="352" t="str">
        <f>VLOOKUP(Tableau1[[#This Row],[PARCS]],Tableau106[],8,FALSE)</f>
        <v>SOLAIRE</v>
      </c>
      <c r="E161" s="352" t="str">
        <f>VLOOKUP(A161,Tableau106[],6,FALSE)</f>
        <v>N</v>
      </c>
      <c r="F161" s="353" t="str">
        <f>VLOOKUP(Tableau1[[#This Row],[PARCS]],Tableau106[],5,FALSE)</f>
        <v>SAMM</v>
      </c>
      <c r="G161" s="346" t="str">
        <f>VLOOKUP(Tableau1[[#This Row],[PARCS]],Tableau106[],7,FALSE)</f>
        <v>GROUPE</v>
      </c>
      <c r="H161" s="346" t="str">
        <f>VLOOKUP(Tableau1[[#This Row],[PARCS]],Tableau106[],9,FALSE)</f>
        <v>ArB</v>
      </c>
      <c r="I161" s="347">
        <v>414.99299999999999</v>
      </c>
      <c r="J161" s="348">
        <v>110840.5</v>
      </c>
      <c r="K161" s="354">
        <f>VLOOKUP(Tableau1[[#This Row],[PARCS]],Tableau25[],10,FALSE)</f>
        <v>5380</v>
      </c>
      <c r="L161" s="252">
        <f>VLOOKUP(Tableau1[[#This Row],[PARCS]],Tableau25[],12,FALSE)</f>
        <v>0</v>
      </c>
      <c r="M161" s="252">
        <f>VLOOKUP(Tableau1[[#This Row],[PARCS]],Tableau25[],13,FALSE)</f>
        <v>370119.07983999996</v>
      </c>
      <c r="N161" s="354">
        <f>VLOOKUP(Tableau1[[#This Row],[PARCS]],Tableau254[],10,FALSE)</f>
        <v>5217.5810000000001</v>
      </c>
      <c r="O161" s="252">
        <f>VLOOKUP(Tableau1[[#This Row],[PARCS]],Tableau254[],12,FALSE)</f>
        <v>0</v>
      </c>
      <c r="P161" s="252">
        <f>VLOOKUP(Tableau1[[#This Row],[PARCS]],Tableau254[],13,FALSE)</f>
        <v>891915.03606083337</v>
      </c>
      <c r="Q161" s="354">
        <f>VLOOKUP(Tableau1[[#This Row],[PARCS]],Tableau2546[],10,FALSE)</f>
        <v>5380</v>
      </c>
      <c r="R161" s="252">
        <f>VLOOKUP(Tableau1[[#This Row],[PARCS]],Tableau2546[],12,FALSE)</f>
        <v>0</v>
      </c>
      <c r="S161" s="355">
        <f>VLOOKUP(Tableau1[[#This Row],[PARCS]],Tableau2546[],13,FALSE)</f>
        <v>942671.60708333319</v>
      </c>
      <c r="T161" s="252">
        <f t="shared" si="10"/>
        <v>781074.53606083337</v>
      </c>
      <c r="U161" s="351">
        <f t="shared" si="11"/>
        <v>7.0468333872621773</v>
      </c>
      <c r="V161" s="252">
        <f>Tableau1[[#This Row],[CA7]]-Tableau1[[#This Row],[CA4]]</f>
        <v>50756.571022499818</v>
      </c>
      <c r="W161" s="351">
        <f>(Tableau1[[#This Row],[CA7]]-Tableau1[[#This Row],[CA4]])/Tableau1[[#This Row],[CA4]]</f>
        <v>5.6907405941565438E-2</v>
      </c>
    </row>
    <row r="162" spans="1:23" ht="15.75" customHeight="1">
      <c r="A162" s="345" t="s">
        <v>604</v>
      </c>
      <c r="B162" s="346" t="str">
        <f>VLOOKUP(Tableau1[[#This Row],[PARCS]],Tableau106[],3,FALSE)</f>
        <v>A066</v>
      </c>
      <c r="C162" s="346" t="str">
        <f>VLOOKUP(Tableau1[[#This Row],[PARCS]],Tableau106[],2,FALSE)</f>
        <v>FR97S99E</v>
      </c>
      <c r="D162" s="352" t="str">
        <f>VLOOKUP(Tableau1[[#This Row],[PARCS]],Tableau106[],8,FALSE)</f>
        <v>SOLAIRE DOM</v>
      </c>
      <c r="E162" s="352" t="str">
        <f>VLOOKUP(A162,Tableau106[],6,FALSE)</f>
        <v>DOM</v>
      </c>
      <c r="F162" s="353" t="str">
        <f>VLOOKUP(Tableau1[[#This Row],[PARCS]],Tableau106[],5,FALSE)</f>
        <v>SFR1</v>
      </c>
      <c r="G162" s="346" t="str">
        <f>VLOOKUP(Tableau1[[#This Row],[PARCS]],Tableau106[],7,FALSE)</f>
        <v>GROUPE</v>
      </c>
      <c r="H162" s="346" t="str">
        <f>VLOOKUP(Tableau1[[#This Row],[PARCS]],Tableau106[],9,FALSE)</f>
        <v>DoJ</v>
      </c>
      <c r="I162" s="347">
        <v>4631.4610000000002</v>
      </c>
      <c r="J162" s="348">
        <v>1743100.62</v>
      </c>
      <c r="K162" s="354">
        <f>VLOOKUP(Tableau1[[#This Row],[PARCS]],Tableau25[],10,FALSE)</f>
        <v>5072</v>
      </c>
      <c r="L162" s="252">
        <f>VLOOKUP(Tableau1[[#This Row],[PARCS]],Tableau25[],12,FALSE)</f>
        <v>0</v>
      </c>
      <c r="M162" s="252">
        <f>VLOOKUP(Tableau1[[#This Row],[PARCS]],Tableau25[],13,FALSE)</f>
        <v>2122011.1385088</v>
      </c>
      <c r="N162" s="354">
        <f>VLOOKUP(Tableau1[[#This Row],[PARCS]],Tableau254[],10,FALSE)</f>
        <v>4827.023909090909</v>
      </c>
      <c r="O162" s="252">
        <f>VLOOKUP(Tableau1[[#This Row],[PARCS]],Tableau254[],12,FALSE)</f>
        <v>0</v>
      </c>
      <c r="P162" s="252">
        <f>VLOOKUP(Tableau1[[#This Row],[PARCS]],Tableau254[],13,FALSE)</f>
        <v>2011362.9386312726</v>
      </c>
      <c r="Q162" s="354">
        <f>VLOOKUP(Tableau1[[#This Row],[PARCS]],Tableau2546[],10,FALSE)</f>
        <v>5042.8187244068713</v>
      </c>
      <c r="R162" s="252">
        <f>VLOOKUP(Tableau1[[#This Row],[PARCS]],Tableau2546[],12,FALSE)</f>
        <v>0</v>
      </c>
      <c r="S162" s="355">
        <f>VLOOKUP(Tableau1[[#This Row],[PARCS]],Tableau2546[],13,FALSE)</f>
        <v>2153814.0998515417</v>
      </c>
      <c r="T162" s="252">
        <f t="shared" si="10"/>
        <v>268262.31863127253</v>
      </c>
      <c r="U162" s="351">
        <f t="shared" si="11"/>
        <v>0.1538995027328213</v>
      </c>
      <c r="V162" s="252">
        <f>Tableau1[[#This Row],[CA7]]-Tableau1[[#This Row],[CA4]]</f>
        <v>142451.16122026904</v>
      </c>
      <c r="W162" s="351">
        <f>(Tableau1[[#This Row],[CA7]]-Tableau1[[#This Row],[CA4]])/Tableau1[[#This Row],[CA4]]</f>
        <v>7.0823200768135211E-2</v>
      </c>
    </row>
    <row r="163" spans="1:23" ht="15.75" customHeight="1">
      <c r="A163" s="345" t="s">
        <v>605</v>
      </c>
      <c r="B163" s="346" t="str">
        <f>VLOOKUP(Tableau1[[#This Row],[PARCS]],Tableau106[],3,FALSE)</f>
        <v>A257</v>
      </c>
      <c r="C163" s="346" t="str">
        <f>VLOOKUP(Tableau1[[#This Row],[PARCS]],Tableau106[],2,FALSE)</f>
        <v>FR01S07E</v>
      </c>
      <c r="D163" s="352" t="str">
        <f>VLOOKUP(Tableau1[[#This Row],[PARCS]],Tableau106[],8,FALSE)</f>
        <v>SOLAIRE</v>
      </c>
      <c r="E163" s="352" t="str">
        <f>VLOOKUP(A163,Tableau106[],6,FALSE)</f>
        <v>S</v>
      </c>
      <c r="F163" s="353" t="str">
        <f>VLOOKUP(Tableau1[[#This Row],[PARCS]],Tableau106[],5,FALSE)</f>
        <v>SJLV</v>
      </c>
      <c r="G163" s="346" t="str">
        <f>VLOOKUP(Tableau1[[#This Row],[PARCS]],Tableau106[],7,FALSE)</f>
        <v>GROUPE</v>
      </c>
      <c r="H163" s="346" t="str">
        <f>VLOOKUP(Tableau1[[#This Row],[PARCS]],Tableau106[],9,FALSE)</f>
        <v>ArB</v>
      </c>
      <c r="I163" s="347">
        <v>1146.2149999999999</v>
      </c>
      <c r="J163" s="348">
        <v>0</v>
      </c>
      <c r="K163" s="354">
        <f>VLOOKUP(Tableau1[[#This Row],[PARCS]],Tableau25[],10,FALSE)</f>
        <v>2926</v>
      </c>
      <c r="L163" s="252">
        <f>VLOOKUP(Tableau1[[#This Row],[PARCS]],Tableau25[],12,FALSE)</f>
        <v>0</v>
      </c>
      <c r="M163" s="252">
        <f>VLOOKUP(Tableau1[[#This Row],[PARCS]],Tableau25[],13,FALSE)</f>
        <v>217358.26111999998</v>
      </c>
      <c r="N163" s="354">
        <f>VLOOKUP(Tableau1[[#This Row],[PARCS]],Tableau254[],10,FALSE)</f>
        <v>3495.8762000000002</v>
      </c>
      <c r="O163" s="252">
        <f>VLOOKUP(Tableau1[[#This Row],[PARCS]],Tableau254[],12,FALSE)</f>
        <v>0</v>
      </c>
      <c r="P163" s="252">
        <f>VLOOKUP(Tableau1[[#This Row],[PARCS]],Tableau254[],13,FALSE)</f>
        <v>597159.74602366658</v>
      </c>
      <c r="Q163" s="354">
        <f>VLOOKUP(Tableau1[[#This Row],[PARCS]],Tableau2546[],10,FALSE)</f>
        <v>2926</v>
      </c>
      <c r="R163" s="252">
        <f>VLOOKUP(Tableau1[[#This Row],[PARCS]],Tableau2546[],12,FALSE)</f>
        <v>0</v>
      </c>
      <c r="S163" s="355">
        <f>VLOOKUP(Tableau1[[#This Row],[PARCS]],Tableau2546[],13,FALSE)</f>
        <v>512309.80441666656</v>
      </c>
      <c r="T163" s="252">
        <f t="shared" si="10"/>
        <v>597159.74602366658</v>
      </c>
      <c r="U163" s="351" t="str">
        <f t="shared" si="11"/>
        <v/>
      </c>
      <c r="V163" s="252">
        <f>Tableau1[[#This Row],[CA7]]-Tableau1[[#This Row],[CA4]]</f>
        <v>-84849.941607000015</v>
      </c>
      <c r="W163" s="351">
        <f>(Tableau1[[#This Row],[CA7]]-Tableau1[[#This Row],[CA4]])/Tableau1[[#This Row],[CA4]]</f>
        <v>-0.14208918496598941</v>
      </c>
    </row>
    <row r="164" spans="1:23" ht="15.75" customHeight="1">
      <c r="A164" s="345" t="s">
        <v>606</v>
      </c>
      <c r="B164" s="346" t="str">
        <f>VLOOKUP(Tableau1[[#This Row],[PARCS]],Tableau106[],3,FALSE)</f>
        <v>A540</v>
      </c>
      <c r="C164" s="346" t="str">
        <f>VLOOKUP(Tableau1[[#This Row],[PARCS]],Tableau106[],2,FALSE)</f>
        <v>FR56E03E</v>
      </c>
      <c r="D164" s="352" t="str">
        <f>VLOOKUP(Tableau1[[#This Row],[PARCS]],Tableau106[],8,FALSE)</f>
        <v>EOLIEN</v>
      </c>
      <c r="E164" s="352" t="str">
        <f>VLOOKUP(A164,Tableau106[],6,FALSE)</f>
        <v>N</v>
      </c>
      <c r="F164" s="353" t="str">
        <f>VLOOKUP(Tableau1[[#This Row],[PARCS]],Tableau106[],5,FALSE)</f>
        <v>LERO</v>
      </c>
      <c r="G164" s="346" t="str">
        <f>VLOOKUP(Tableau1[[#This Row],[PARCS]],Tableau106[],7,FALSE)</f>
        <v>EGM</v>
      </c>
      <c r="H164" s="346" t="str">
        <f>VLOOKUP(Tableau1[[#This Row],[PARCS]],Tableau106[],9,FALSE)</f>
        <v>DeN</v>
      </c>
      <c r="I164" s="347">
        <v>6438.2690000000002</v>
      </c>
      <c r="J164" s="348">
        <v>296160.3</v>
      </c>
      <c r="K164" s="354">
        <f>VLOOKUP(Tableau1[[#This Row],[PARCS]],Tableau25[],10,FALSE)</f>
        <v>6695.91</v>
      </c>
      <c r="L164" s="252">
        <f>VLOOKUP(Tableau1[[#This Row],[PARCS]],Tableau25[],12,FALSE)</f>
        <v>0</v>
      </c>
      <c r="M164" s="252">
        <f>VLOOKUP(Tableau1[[#This Row],[PARCS]],Tableau25[],13,FALSE)</f>
        <v>1620999.4600800001</v>
      </c>
      <c r="N164" s="354">
        <f>VLOOKUP(Tableau1[[#This Row],[PARCS]],Tableau254[],10,FALSE)</f>
        <v>7016.1644567369094</v>
      </c>
      <c r="O164" s="252">
        <f>VLOOKUP(Tableau1[[#This Row],[PARCS]],Tableau254[],12,FALSE)</f>
        <v>0</v>
      </c>
      <c r="P164" s="252">
        <f>VLOOKUP(Tableau1[[#This Row],[PARCS]],Tableau254[],13,FALSE)</f>
        <v>875231.43515564571</v>
      </c>
      <c r="Q164" s="354">
        <f>VLOOKUP(Tableau1[[#This Row],[PARCS]],Tableau2546[],10,FALSE)</f>
        <v>6695.91</v>
      </c>
      <c r="R164" s="252">
        <f>VLOOKUP(Tableau1[[#This Row],[PARCS]],Tableau2546[],12,FALSE)</f>
        <v>0</v>
      </c>
      <c r="S164" s="355">
        <f>VLOOKUP(Tableau1[[#This Row],[PARCS]],Tableau2546[],13,FALSE)</f>
        <v>856163.32527374988</v>
      </c>
      <c r="T164" s="252">
        <f t="shared" si="10"/>
        <v>579071.13515564566</v>
      </c>
      <c r="U164" s="351">
        <f t="shared" si="11"/>
        <v>1.9552625222072157</v>
      </c>
      <c r="V164" s="252">
        <f>Tableau1[[#This Row],[CA7]]-Tableau1[[#This Row],[CA4]]</f>
        <v>-19068.109881895827</v>
      </c>
      <c r="W164" s="351">
        <f>(Tableau1[[#This Row],[CA7]]-Tableau1[[#This Row],[CA4]])/Tableau1[[#This Row],[CA4]]</f>
        <v>-2.1786363144629138E-2</v>
      </c>
    </row>
    <row r="165" spans="1:23" ht="15.75" customHeight="1">
      <c r="A165" s="345" t="s">
        <v>353</v>
      </c>
      <c r="B165" s="346" t="str">
        <f>VLOOKUP(Tableau1[[#This Row],[PARCS]],Tableau106[],3,FALSE)</f>
        <v>A257</v>
      </c>
      <c r="C165" s="346" t="str">
        <f>VLOOKUP(Tableau1[[#This Row],[PARCS]],Tableau106[],2,FALSE)</f>
        <v>FR11S06E</v>
      </c>
      <c r="D165" s="352" t="str">
        <f>VLOOKUP(Tableau1[[#This Row],[PARCS]],Tableau106[],8,FALSE)</f>
        <v>SOLAIRE</v>
      </c>
      <c r="E165" s="352" t="str">
        <f>VLOOKUP(A165,Tableau106[],6,FALSE)</f>
        <v>S</v>
      </c>
      <c r="F165" s="353" t="str">
        <f>VLOOKUP(Tableau1[[#This Row],[PARCS]],Tableau106[],5,FALSE)</f>
        <v>STPA</v>
      </c>
      <c r="G165" s="346" t="str">
        <f>VLOOKUP(Tableau1[[#This Row],[PARCS]],Tableau106[],7,FALSE)</f>
        <v>GROUPE</v>
      </c>
      <c r="H165" s="346" t="str">
        <f>VLOOKUP(Tableau1[[#This Row],[PARCS]],Tableau106[],9,FALSE)</f>
        <v>BaA</v>
      </c>
      <c r="I165" s="347">
        <v>6510.1809999999996</v>
      </c>
      <c r="J165" s="348">
        <v>68645.600000000006</v>
      </c>
      <c r="K165" s="354">
        <f>VLOOKUP(Tableau1[[#This Row],[PARCS]],Tableau25[],10,FALSE)</f>
        <v>5447.9769999999999</v>
      </c>
      <c r="L165" s="252">
        <f>VLOOKUP(Tableau1[[#This Row],[PARCS]],Tableau25[],12,FALSE)</f>
        <v>0</v>
      </c>
      <c r="M165" s="252">
        <f>VLOOKUP(Tableau1[[#This Row],[PARCS]],Tableau25[],13,FALSE)</f>
        <v>404592.44288762403</v>
      </c>
      <c r="N165" s="354">
        <f>VLOOKUP(Tableau1[[#This Row],[PARCS]],Tableau254[],10,FALSE)</f>
        <v>6320.9870000000001</v>
      </c>
      <c r="O165" s="252">
        <f>VLOOKUP(Tableau1[[#This Row],[PARCS]],Tableau254[],12,FALSE)</f>
        <v>0</v>
      </c>
      <c r="P165" s="252">
        <f>VLOOKUP(Tableau1[[#This Row],[PARCS]],Tableau254[],13,FALSE)</f>
        <v>415920.94459999999</v>
      </c>
      <c r="Q165" s="354">
        <f>VLOOKUP(Tableau1[[#This Row],[PARCS]],Tableau2546[],10,FALSE)</f>
        <v>6061</v>
      </c>
      <c r="R165" s="252">
        <f>VLOOKUP(Tableau1[[#This Row],[PARCS]],Tableau2546[],12,FALSE)</f>
        <v>0</v>
      </c>
      <c r="S165" s="355">
        <f>VLOOKUP(Tableau1[[#This Row],[PARCS]],Tableau2546[],13,FALSE)</f>
        <v>408784.14499999996</v>
      </c>
      <c r="T165" s="252">
        <f t="shared" si="10"/>
        <v>347275.34459999995</v>
      </c>
      <c r="U165" s="351">
        <f t="shared" si="11"/>
        <v>5.0589600003496207</v>
      </c>
      <c r="V165" s="252">
        <f>Tableau1[[#This Row],[CA7]]-Tableau1[[#This Row],[CA4]]</f>
        <v>-7136.7996000000276</v>
      </c>
      <c r="W165" s="351">
        <f>(Tableau1[[#This Row],[CA7]]-Tableau1[[#This Row],[CA4]])/Tableau1[[#This Row],[CA4]]</f>
        <v>-1.715902911997769E-2</v>
      </c>
    </row>
    <row r="166" spans="1:23" ht="15.75" customHeight="1">
      <c r="A166" s="345" t="s">
        <v>607</v>
      </c>
      <c r="B166" s="346" t="str">
        <f>VLOOKUP(Tableau1[[#This Row],[PARCS]],Tableau106[],3,FALSE)</f>
        <v>A353</v>
      </c>
      <c r="C166" s="346" t="str">
        <f>VLOOKUP(Tableau1[[#This Row],[PARCS]],Tableau106[],2,FALSE)</f>
        <v>FR34S01E</v>
      </c>
      <c r="D166" s="352" t="str">
        <f>VLOOKUP(Tableau1[[#This Row],[PARCS]],Tableau106[],8,FALSE)</f>
        <v>SOLAIRE</v>
      </c>
      <c r="E166" s="352" t="str">
        <f>VLOOKUP(A166,Tableau106[],6,FALSE)</f>
        <v>S</v>
      </c>
      <c r="F166" s="353" t="str">
        <f>VLOOKUP(Tableau1[[#This Row],[PARCS]],Tableau106[],5,FALSE)</f>
        <v>SPAR</v>
      </c>
      <c r="G166" s="346" t="str">
        <f>VLOOKUP(Tableau1[[#This Row],[PARCS]],Tableau106[],7,FALSE)</f>
        <v>GROUPE</v>
      </c>
      <c r="H166" s="346" t="str">
        <f>VLOOKUP(Tableau1[[#This Row],[PARCS]],Tableau106[],9,FALSE)</f>
        <v>BaA</v>
      </c>
      <c r="I166" s="347">
        <v>14825.081</v>
      </c>
      <c r="J166" s="348">
        <v>865371.15</v>
      </c>
      <c r="K166" s="354">
        <f>VLOOKUP(Tableau1[[#This Row],[PARCS]],Tableau25[],10,FALSE)</f>
        <v>15012</v>
      </c>
      <c r="L166" s="252">
        <f>VLOOKUP(Tableau1[[#This Row],[PARCS]],Tableau25[],12,FALSE)</f>
        <v>0</v>
      </c>
      <c r="M166" s="252">
        <f>VLOOKUP(Tableau1[[#This Row],[PARCS]],Tableau25[],13,FALSE)</f>
        <v>886691.47815360012</v>
      </c>
      <c r="N166" s="354">
        <f>VLOOKUP(Tableau1[[#This Row],[PARCS]],Tableau254[],10,FALSE)</f>
        <v>15088.637666666666</v>
      </c>
      <c r="O166" s="252">
        <f>VLOOKUP(Tableau1[[#This Row],[PARCS]],Tableau254[],12,FALSE)</f>
        <v>0</v>
      </c>
      <c r="P166" s="252">
        <f>VLOOKUP(Tableau1[[#This Row],[PARCS]],Tableau254[],13,FALSE)</f>
        <v>892357.12024433329</v>
      </c>
      <c r="Q166" s="354">
        <f>VLOOKUP(Tableau1[[#This Row],[PARCS]],Tableau2546[],10,FALSE)</f>
        <v>14949.647313237043</v>
      </c>
      <c r="R166" s="252">
        <f>VLOOKUP(Tableau1[[#This Row],[PARCS]],Tableau2546[],12,FALSE)</f>
        <v>0</v>
      </c>
      <c r="S166" s="355">
        <f>VLOOKUP(Tableau1[[#This Row],[PARCS]],Tableau2546[],13,FALSE)</f>
        <v>906240.51904595573</v>
      </c>
      <c r="T166" s="252">
        <f t="shared" ref="T166:T184" si="12">P166-J166</f>
        <v>26985.970244333264</v>
      </c>
      <c r="U166" s="351">
        <f t="shared" ref="U166:U184" si="13">IFERROR((P166-J166)/J166,"")</f>
        <v>3.1184273065185109E-2</v>
      </c>
      <c r="V166" s="252">
        <f>Tableau1[[#This Row],[CA7]]-Tableau1[[#This Row],[CA4]]</f>
        <v>13883.398801622447</v>
      </c>
      <c r="W166" s="351">
        <f>(Tableau1[[#This Row],[CA7]]-Tableau1[[#This Row],[CA4]])/Tableau1[[#This Row],[CA4]]</f>
        <v>1.5558119598822813E-2</v>
      </c>
    </row>
    <row r="167" spans="1:23" ht="15.75" customHeight="1">
      <c r="A167" s="345" t="s">
        <v>608</v>
      </c>
      <c r="B167" s="346" t="str">
        <f>VLOOKUP(Tableau1[[#This Row],[PARCS]],Tableau106[],3,FALSE)</f>
        <v>A257</v>
      </c>
      <c r="C167" s="346" t="str">
        <f>VLOOKUP(Tableau1[[#This Row],[PARCS]],Tableau106[],2,FALSE)</f>
        <v>FR69S05E</v>
      </c>
      <c r="D167" s="352" t="str">
        <f>VLOOKUP(Tableau1[[#This Row],[PARCS]],Tableau106[],8,FALSE)</f>
        <v>SOLAIRE</v>
      </c>
      <c r="E167" s="352" t="str">
        <f>VLOOKUP(A167,Tableau106[],6,FALSE)</f>
        <v>S</v>
      </c>
      <c r="F167" s="353" t="str">
        <f>VLOOKUP(Tableau1[[#This Row],[PARCS]],Tableau106[],5,FALSE)</f>
        <v>SREG</v>
      </c>
      <c r="G167" s="346" t="str">
        <f>VLOOKUP(Tableau1[[#This Row],[PARCS]],Tableau106[],7,FALSE)</f>
        <v>GROUPE</v>
      </c>
      <c r="H167" s="346" t="str">
        <f>VLOOKUP(Tableau1[[#This Row],[PARCS]],Tableau106[],9,FALSE)</f>
        <v>ArB</v>
      </c>
      <c r="I167" s="347"/>
      <c r="J167" s="348"/>
      <c r="K167" s="354">
        <f>VLOOKUP(Tableau1[[#This Row],[PARCS]],Tableau25[],10,FALSE)</f>
        <v>5645</v>
      </c>
      <c r="L167" s="252">
        <f>VLOOKUP(Tableau1[[#This Row],[PARCS]],Tableau25[],12,FALSE)</f>
        <v>0</v>
      </c>
      <c r="M167" s="252">
        <f>VLOOKUP(Tableau1[[#This Row],[PARCS]],Tableau25[],13,FALSE)</f>
        <v>419051.49449999997</v>
      </c>
      <c r="N167" s="354">
        <f>VLOOKUP(Tableau1[[#This Row],[PARCS]],Tableau254[],10,FALSE)</f>
        <v>5841.96</v>
      </c>
      <c r="O167" s="252">
        <f>VLOOKUP(Tableau1[[#This Row],[PARCS]],Tableau254[],12,FALSE)</f>
        <v>0</v>
      </c>
      <c r="P167" s="252">
        <f>VLOOKUP(Tableau1[[#This Row],[PARCS]],Tableau254[],13,FALSE)</f>
        <v>998648.98389999999</v>
      </c>
      <c r="Q167" s="354">
        <f>VLOOKUP(Tableau1[[#This Row],[PARCS]],Tableau2546[],10,FALSE)</f>
        <v>5645</v>
      </c>
      <c r="R167" s="252">
        <f>VLOOKUP(Tableau1[[#This Row],[PARCS]],Tableau2546[],12,FALSE)</f>
        <v>0</v>
      </c>
      <c r="S167" s="355">
        <f>VLOOKUP(Tableau1[[#This Row],[PARCS]],Tableau2546[],13,FALSE)</f>
        <v>989104.31635416648</v>
      </c>
      <c r="T167" s="252">
        <f t="shared" si="12"/>
        <v>998648.98389999999</v>
      </c>
      <c r="U167" s="351" t="str">
        <f t="shared" si="13"/>
        <v/>
      </c>
      <c r="V167" s="252">
        <f>Tableau1[[#This Row],[CA7]]-Tableau1[[#This Row],[CA4]]</f>
        <v>-9544.6675458335085</v>
      </c>
      <c r="W167" s="351">
        <f>(Tableau1[[#This Row],[CA7]]-Tableau1[[#This Row],[CA4]])/Tableau1[[#This Row],[CA4]]</f>
        <v>-9.5575799902774105E-3</v>
      </c>
    </row>
    <row r="168" spans="1:23" ht="15.75" customHeight="1">
      <c r="A168" s="345" t="s">
        <v>609</v>
      </c>
      <c r="B168" s="346" t="str">
        <f>VLOOKUP(Tableau1[[#This Row],[PARCS]],Tableau106[],3,FALSE)</f>
        <v>A540</v>
      </c>
      <c r="C168" s="346" t="str">
        <f>VLOOKUP(Tableau1[[#This Row],[PARCS]],Tableau106[],2,FALSE)</f>
        <v>FR56E06E</v>
      </c>
      <c r="D168" s="352" t="str">
        <f>VLOOKUP(Tableau1[[#This Row],[PARCS]],Tableau106[],8,FALSE)</f>
        <v>EOLIEN</v>
      </c>
      <c r="E168" s="352" t="str">
        <f>VLOOKUP(A168,Tableau106[],6,FALSE)</f>
        <v>N</v>
      </c>
      <c r="F168" s="353" t="str">
        <f>VLOOKUP(Tableau1[[#This Row],[PARCS]],Tableau106[],5,FALSE)</f>
        <v>RODU</v>
      </c>
      <c r="G168" s="346" t="str">
        <f>VLOOKUP(Tableau1[[#This Row],[PARCS]],Tableau106[],7,FALSE)</f>
        <v>EGM</v>
      </c>
      <c r="H168" s="346" t="str">
        <f>VLOOKUP(Tableau1[[#This Row],[PARCS]],Tableau106[],9,FALSE)</f>
        <v>DeN</v>
      </c>
      <c r="I168" s="347">
        <v>7991.4250000000002</v>
      </c>
      <c r="J168" s="348">
        <v>367605.57</v>
      </c>
      <c r="K168" s="354">
        <f>VLOOKUP(Tableau1[[#This Row],[PARCS]],Tableau25[],10,FALSE)</f>
        <v>8676.7170000000006</v>
      </c>
      <c r="L168" s="252">
        <f>VLOOKUP(Tableau1[[#This Row],[PARCS]],Tableau25[],12,FALSE)</f>
        <v>0</v>
      </c>
      <c r="M168" s="252">
        <f>VLOOKUP(Tableau1[[#This Row],[PARCS]],Tableau25[],13,FALSE)</f>
        <v>2100529.0650960002</v>
      </c>
      <c r="N168" s="354">
        <f>VLOOKUP(Tableau1[[#This Row],[PARCS]],Tableau254[],10,FALSE)</f>
        <v>9281.8262376835028</v>
      </c>
      <c r="O168" s="252">
        <f>VLOOKUP(Tableau1[[#This Row],[PARCS]],Tableau254[],12,FALSE)</f>
        <v>0</v>
      </c>
      <c r="P168" s="252">
        <f>VLOOKUP(Tableau1[[#This Row],[PARCS]],Tableau254[],13,FALSE)</f>
        <v>1153235.970611383</v>
      </c>
      <c r="Q168" s="354">
        <f>VLOOKUP(Tableau1[[#This Row],[PARCS]],Tableau2546[],10,FALSE)</f>
        <v>6695.91</v>
      </c>
      <c r="R168" s="252">
        <f>VLOOKUP(Tableau1[[#This Row],[PARCS]],Tableau2546[],12,FALSE)</f>
        <v>0</v>
      </c>
      <c r="S168" s="355">
        <f>VLOOKUP(Tableau1[[#This Row],[PARCS]],Tableau2546[],13,FALSE)</f>
        <v>852743.11024499987</v>
      </c>
      <c r="T168" s="252">
        <f t="shared" si="12"/>
        <v>785630.40061138291</v>
      </c>
      <c r="U168" s="351">
        <f t="shared" si="13"/>
        <v>2.1371558668476727</v>
      </c>
      <c r="V168" s="252">
        <f>Tableau1[[#This Row],[CA7]]-Tableau1[[#This Row],[CA4]]</f>
        <v>-300492.8603663831</v>
      </c>
      <c r="W168" s="351">
        <f>(Tableau1[[#This Row],[CA7]]-Tableau1[[#This Row],[CA4]])/Tableau1[[#This Row],[CA4]]</f>
        <v>-0.26056493902724709</v>
      </c>
    </row>
    <row r="169" spans="1:23" ht="15.75" customHeight="1">
      <c r="A169" s="345" t="s">
        <v>610</v>
      </c>
      <c r="B169" s="346" t="str">
        <f>VLOOKUP(Tableau1[[#This Row],[PARCS]],Tableau106[],3,FALSE)</f>
        <v>A295</v>
      </c>
      <c r="C169" s="346" t="str">
        <f>VLOOKUP(Tableau1[[#This Row],[PARCS]],Tableau106[],2,FALSE)</f>
        <v>FR01S05E</v>
      </c>
      <c r="D169" s="352" t="str">
        <f>VLOOKUP(Tableau1[[#This Row],[PARCS]],Tableau106[],8,FALSE)</f>
        <v>SOLAIRE</v>
      </c>
      <c r="E169" s="352" t="str">
        <f>VLOOKUP(A169,Tableau106[],6,FALSE)</f>
        <v>S</v>
      </c>
      <c r="F169" s="353" t="str">
        <f>VLOOKUP(Tableau1[[#This Row],[PARCS]],Tableau106[],5,FALSE)</f>
        <v>STJU</v>
      </c>
      <c r="G169" s="346" t="str">
        <f>VLOOKUP(Tableau1[[#This Row],[PARCS]],Tableau106[],7,FALSE)</f>
        <v>GROUPE</v>
      </c>
      <c r="H169" s="346" t="str">
        <f>VLOOKUP(Tableau1[[#This Row],[PARCS]],Tableau106[],9,FALSE)</f>
        <v>ArB</v>
      </c>
      <c r="I169" s="347">
        <v>80.869</v>
      </c>
      <c r="J169" s="348">
        <v>0</v>
      </c>
      <c r="K169" s="354">
        <f>VLOOKUP(Tableau1[[#This Row],[PARCS]],Tableau25[],10,FALSE)</f>
        <v>3136</v>
      </c>
      <c r="L169" s="252">
        <f>VLOOKUP(Tableau1[[#This Row],[PARCS]],Tableau25[],12,FALSE)</f>
        <v>0</v>
      </c>
      <c r="M169" s="252">
        <f>VLOOKUP(Tableau1[[#This Row],[PARCS]],Tableau25[],13,FALSE)</f>
        <v>222462.22028799995</v>
      </c>
      <c r="N169" s="354">
        <f>VLOOKUP(Tableau1[[#This Row],[PARCS]],Tableau254[],10,FALSE)</f>
        <v>3103.47</v>
      </c>
      <c r="O169" s="252">
        <f>VLOOKUP(Tableau1[[#This Row],[PARCS]],Tableau254[],12,FALSE)</f>
        <v>0</v>
      </c>
      <c r="P169" s="252">
        <f>VLOOKUP(Tableau1[[#This Row],[PARCS]],Tableau254[],13,FALSE)</f>
        <v>530520.092925</v>
      </c>
      <c r="Q169" s="354">
        <f>VLOOKUP(Tableau1[[#This Row],[PARCS]],Tableau2546[],10,FALSE)</f>
        <v>3024</v>
      </c>
      <c r="R169" s="252">
        <f>VLOOKUP(Tableau1[[#This Row],[PARCS]],Tableau2546[],12,FALSE)</f>
        <v>0</v>
      </c>
      <c r="S169" s="355">
        <f>VLOOKUP(Tableau1[[#This Row],[PARCS]],Tableau2546[],13,FALSE)</f>
        <v>529858.53899999987</v>
      </c>
      <c r="T169" s="252">
        <f t="shared" si="12"/>
        <v>530520.092925</v>
      </c>
      <c r="U169" s="351" t="str">
        <f t="shared" si="13"/>
        <v/>
      </c>
      <c r="V169" s="252">
        <f>Tableau1[[#This Row],[CA7]]-Tableau1[[#This Row],[CA4]]</f>
        <v>-661.55392500013113</v>
      </c>
      <c r="W169" s="351">
        <f>(Tableau1[[#This Row],[CA7]]-Tableau1[[#This Row],[CA4]])/Tableau1[[#This Row],[CA4]]</f>
        <v>-1.2469912710613498E-3</v>
      </c>
    </row>
    <row r="170" spans="1:23" ht="15.75" customHeight="1">
      <c r="A170" s="345" t="s">
        <v>611</v>
      </c>
      <c r="B170" s="346" t="str">
        <f>VLOOKUP(Tableau1[[#This Row],[PARCS]],Tableau106[],3,FALSE)</f>
        <v>A307</v>
      </c>
      <c r="C170" s="346" t="str">
        <f>VLOOKUP(Tableau1[[#This Row],[PARCS]],Tableau106[],2,FALSE)</f>
        <v>FR04S07E</v>
      </c>
      <c r="D170" s="352" t="str">
        <f>VLOOKUP(Tableau1[[#This Row],[PARCS]],Tableau106[],8,FALSE)</f>
        <v>SOLAIRE</v>
      </c>
      <c r="E170" s="352" t="str">
        <f>VLOOKUP(A170,Tableau106[],6,FALSE)</f>
        <v>S</v>
      </c>
      <c r="F170" s="353" t="str">
        <f>VLOOKUP(Tableau1[[#This Row],[PARCS]],Tableau106[],5,FALSE)</f>
        <v>STLM</v>
      </c>
      <c r="G170" s="346" t="str">
        <f>VLOOKUP(Tableau1[[#This Row],[PARCS]],Tableau106[],7,FALSE)</f>
        <v>GROUPE</v>
      </c>
      <c r="H170" s="346" t="str">
        <f>VLOOKUP(Tableau1[[#This Row],[PARCS]],Tableau106[],9,FALSE)</f>
        <v>BaA</v>
      </c>
      <c r="I170" s="347"/>
      <c r="J170" s="348"/>
      <c r="K170" s="354">
        <f>VLOOKUP(Tableau1[[#This Row],[PARCS]],Tableau25[],10,FALSE)</f>
        <v>3800</v>
      </c>
      <c r="L170" s="252">
        <f>VLOOKUP(Tableau1[[#This Row],[PARCS]],Tableau25[],12,FALSE)</f>
        <v>0</v>
      </c>
      <c r="M170" s="252">
        <f>VLOOKUP(Tableau1[[#This Row],[PARCS]],Tableau25[],13,FALSE)</f>
        <v>243693.99999999997</v>
      </c>
      <c r="N170" s="354">
        <f>VLOOKUP(Tableau1[[#This Row],[PARCS]],Tableau254[],10,FALSE)</f>
        <v>0</v>
      </c>
      <c r="O170" s="252">
        <f>VLOOKUP(Tableau1[[#This Row],[PARCS]],Tableau254[],12,FALSE)</f>
        <v>0</v>
      </c>
      <c r="P170" s="252">
        <f>VLOOKUP(Tableau1[[#This Row],[PARCS]],Tableau254[],13,FALSE)</f>
        <v>0</v>
      </c>
      <c r="Q170" s="354">
        <f>VLOOKUP(Tableau1[[#This Row],[PARCS]],Tableau2546[],10,FALSE)</f>
        <v>3800</v>
      </c>
      <c r="R170" s="252">
        <f>VLOOKUP(Tableau1[[#This Row],[PARCS]],Tableau2546[],12,FALSE)</f>
        <v>0</v>
      </c>
      <c r="S170" s="355">
        <f>VLOOKUP(Tableau1[[#This Row],[PARCS]],Tableau2546[],13,FALSE)</f>
        <v>665337.40833333321</v>
      </c>
      <c r="T170" s="252">
        <f t="shared" si="12"/>
        <v>0</v>
      </c>
      <c r="U170" s="351" t="str">
        <f t="shared" si="13"/>
        <v/>
      </c>
      <c r="V170" s="252">
        <f>Tableau1[[#This Row],[CA7]]-Tableau1[[#This Row],[CA4]]</f>
        <v>665337.40833333321</v>
      </c>
      <c r="W170" s="351"/>
    </row>
    <row r="171" spans="1:23" ht="15.75" customHeight="1">
      <c r="A171" s="345" t="s">
        <v>612</v>
      </c>
      <c r="B171" s="346" t="str">
        <f>VLOOKUP(Tableau1[[#This Row],[PARCS]],Tableau106[],3,FALSE)</f>
        <v>A540</v>
      </c>
      <c r="C171" s="346" t="str">
        <f>VLOOKUP(Tableau1[[#This Row],[PARCS]],Tableau106[],2,FALSE)</f>
        <v>FR56E07E</v>
      </c>
      <c r="D171" s="352" t="str">
        <f>VLOOKUP(Tableau1[[#This Row],[PARCS]],Tableau106[],8,FALSE)</f>
        <v>EOLIEN</v>
      </c>
      <c r="E171" s="352" t="str">
        <f>VLOOKUP(A171,Tableau106[],6,FALSE)</f>
        <v>N</v>
      </c>
      <c r="F171" s="353" t="str">
        <f>VLOOKUP(Tableau1[[#This Row],[PARCS]],Tableau106[],5,FALSE)</f>
        <v>STME</v>
      </c>
      <c r="G171" s="346" t="str">
        <f>VLOOKUP(Tableau1[[#This Row],[PARCS]],Tableau106[],7,FALSE)</f>
        <v>EGM</v>
      </c>
      <c r="H171" s="346" t="str">
        <f>VLOOKUP(Tableau1[[#This Row],[PARCS]],Tableau106[],9,FALSE)</f>
        <v>DeN</v>
      </c>
      <c r="I171" s="347">
        <v>9440.9009999999998</v>
      </c>
      <c r="J171" s="348">
        <v>434280.88</v>
      </c>
      <c r="K171" s="354">
        <f>VLOOKUP(Tableau1[[#This Row],[PARCS]],Tableau25[],10,FALSE)</f>
        <v>10748.066999999999</v>
      </c>
      <c r="L171" s="252">
        <f>VLOOKUP(Tableau1[[#This Row],[PARCS]],Tableau25[],12,FALSE)</f>
        <v>0</v>
      </c>
      <c r="M171" s="252">
        <f>VLOOKUP(Tableau1[[#This Row],[PARCS]],Tableau25[],13,FALSE)</f>
        <v>2601978.0438959999</v>
      </c>
      <c r="N171" s="354">
        <f>VLOOKUP(Tableau1[[#This Row],[PARCS]],Tableau254[],10,FALSE)</f>
        <v>11172.222513460983</v>
      </c>
      <c r="O171" s="252">
        <f>VLOOKUP(Tableau1[[#This Row],[PARCS]],Tableau254[],12,FALSE)</f>
        <v>40064.32</v>
      </c>
      <c r="P171" s="252">
        <f>VLOOKUP(Tableau1[[#This Row],[PARCS]],Tableau254[],13,FALSE)</f>
        <v>1391984.4436938153</v>
      </c>
      <c r="Q171" s="354">
        <f>VLOOKUP(Tableau1[[#This Row],[PARCS]],Tableau2546[],10,FALSE)</f>
        <v>10748.066999999999</v>
      </c>
      <c r="R171" s="252">
        <f>VLOOKUP(Tableau1[[#This Row],[PARCS]],Tableau2546[],12,FALSE)</f>
        <v>0</v>
      </c>
      <c r="S171" s="355">
        <f>VLOOKUP(Tableau1[[#This Row],[PARCS]],Tableau2546[],13,FALSE)</f>
        <v>1372615.9317804996</v>
      </c>
      <c r="T171" s="252">
        <f t="shared" si="12"/>
        <v>957703.56369381526</v>
      </c>
      <c r="U171" s="351">
        <f t="shared" si="13"/>
        <v>2.2052630170911858</v>
      </c>
      <c r="V171" s="252">
        <f>Tableau1[[#This Row],[CA7]]-Tableau1[[#This Row],[CA4]]</f>
        <v>-19368.511913315626</v>
      </c>
      <c r="W171" s="351">
        <f>(Tableau1[[#This Row],[CA7]]-Tableau1[[#This Row],[CA4]])/Tableau1[[#This Row],[CA4]]</f>
        <v>-1.3914316356811224E-2</v>
      </c>
    </row>
    <row r="172" spans="1:23" ht="15.75" customHeight="1">
      <c r="A172" s="345" t="s">
        <v>613</v>
      </c>
      <c r="B172" s="346" t="str">
        <f>VLOOKUP(Tableau1[[#This Row],[PARCS]],Tableau106[],3,FALSE)</f>
        <v>A313</v>
      </c>
      <c r="C172" s="346" t="str">
        <f>VLOOKUP(Tableau1[[#This Row],[PARCS]],Tableau106[],2,FALSE)</f>
        <v>FR89S03E</v>
      </c>
      <c r="D172" s="352" t="str">
        <f>VLOOKUP(Tableau1[[#This Row],[PARCS]],Tableau106[],8,FALSE)</f>
        <v>SOLAIRE</v>
      </c>
      <c r="E172" s="352" t="str">
        <f>VLOOKUP(A172,Tableau106[],6,FALSE)</f>
        <v>N</v>
      </c>
      <c r="F172" s="353" t="str">
        <f>VLOOKUP(Tableau1[[#This Row],[PARCS]],Tableau106[],5,FALSE)</f>
        <v>SUBL</v>
      </c>
      <c r="G172" s="346" t="str">
        <f>VLOOKUP(Tableau1[[#This Row],[PARCS]],Tableau106[],7,FALSE)</f>
        <v>GROUPE</v>
      </c>
      <c r="H172" s="346" t="str">
        <f>VLOOKUP(Tableau1[[#This Row],[PARCS]],Tableau106[],9,FALSE)</f>
        <v>LoG</v>
      </c>
      <c r="I172" s="347"/>
      <c r="J172" s="348"/>
      <c r="K172" s="354">
        <f>VLOOKUP(Tableau1[[#This Row],[PARCS]],Tableau25[],10,FALSE)</f>
        <v>10617.12</v>
      </c>
      <c r="L172" s="252">
        <f>VLOOKUP(Tableau1[[#This Row],[PARCS]],Tableau25[],12,FALSE)</f>
        <v>0</v>
      </c>
      <c r="M172" s="252">
        <f>VLOOKUP(Tableau1[[#This Row],[PARCS]],Tableau25[],13,FALSE)</f>
        <v>703649.41565760004</v>
      </c>
      <c r="N172" s="354">
        <f>VLOOKUP(Tableau1[[#This Row],[PARCS]],Tableau254[],10,FALSE)</f>
        <v>10609.682000000001</v>
      </c>
      <c r="O172" s="252">
        <f>VLOOKUP(Tableau1[[#This Row],[PARCS]],Tableau254[],12,FALSE)</f>
        <v>0</v>
      </c>
      <c r="P172" s="252">
        <f>VLOOKUP(Tableau1[[#This Row],[PARCS]],Tableau254[],13,FALSE)</f>
        <v>1813663.2480883333</v>
      </c>
      <c r="Q172" s="354">
        <f>VLOOKUP(Tableau1[[#This Row],[PARCS]],Tableau2546[],10,FALSE)</f>
        <v>10617.12</v>
      </c>
      <c r="R172" s="252">
        <f>VLOOKUP(Tableau1[[#This Row],[PARCS]],Tableau2546[],12,FALSE)</f>
        <v>0</v>
      </c>
      <c r="S172" s="355">
        <f>VLOOKUP(Tableau1[[#This Row],[PARCS]],Tableau2546[],13,FALSE)</f>
        <v>1860308.0990699998</v>
      </c>
      <c r="T172" s="252">
        <f t="shared" si="12"/>
        <v>1813663.2480883333</v>
      </c>
      <c r="U172" s="351" t="str">
        <f t="shared" si="13"/>
        <v/>
      </c>
      <c r="V172" s="252">
        <f>Tableau1[[#This Row],[CA7]]-Tableau1[[#This Row],[CA4]]</f>
        <v>46644.850981666474</v>
      </c>
      <c r="W172" s="351">
        <f>(Tableau1[[#This Row],[CA7]]-Tableau1[[#This Row],[CA4]])/Tableau1[[#This Row],[CA4]]</f>
        <v>2.5718584213928267E-2</v>
      </c>
    </row>
    <row r="173" spans="1:23" ht="15.75" customHeight="1">
      <c r="A173" s="345" t="s">
        <v>339</v>
      </c>
      <c r="B173" s="346" t="str">
        <f>VLOOKUP(Tableau1[[#This Row],[PARCS]],Tableau106[],3,FALSE)</f>
        <v>F033</v>
      </c>
      <c r="C173" s="346" t="str">
        <f>VLOOKUP(Tableau1[[#This Row],[PARCS]],Tableau106[],2,FALSE)</f>
        <v>FR56E10E</v>
      </c>
      <c r="D173" s="352" t="str">
        <f>VLOOKUP(Tableau1[[#This Row],[PARCS]],Tableau106[],8,FALSE)</f>
        <v>EOLIEN</v>
      </c>
      <c r="E173" s="352" t="str">
        <f>VLOOKUP(A173,Tableau106[],6,FALSE)</f>
        <v>N</v>
      </c>
      <c r="F173" s="353" t="str">
        <f>VLOOKUP(Tableau1[[#This Row],[PARCS]],Tableau106[],5,FALSE)</f>
        <v>SAMI</v>
      </c>
      <c r="G173" s="346" t="str">
        <f>VLOOKUP(Tableau1[[#This Row],[PARCS]],Tableau106[],7,FALSE)</f>
        <v>FUTUREN</v>
      </c>
      <c r="H173" s="346" t="str">
        <f>VLOOKUP(Tableau1[[#This Row],[PARCS]],Tableau106[],9,FALSE)</f>
        <v>AnN</v>
      </c>
      <c r="I173" s="347">
        <v>13588.343000000001</v>
      </c>
      <c r="J173" s="348">
        <v>941866.8</v>
      </c>
      <c r="K173" s="354">
        <f>VLOOKUP(Tableau1[[#This Row],[PARCS]],Tableau25[],10,FALSE)</f>
        <v>15628.860433515749</v>
      </c>
      <c r="L173" s="252">
        <f>VLOOKUP(Tableau1[[#This Row],[PARCS]],Tableau25[],12,FALSE)</f>
        <v>0</v>
      </c>
      <c r="M173" s="252">
        <f>VLOOKUP(Tableau1[[#This Row],[PARCS]],Tableau25[],13,FALSE)</f>
        <v>3422720.4349399488</v>
      </c>
      <c r="N173" s="354">
        <f>VLOOKUP(Tableau1[[#This Row],[PARCS]],Tableau254[],10,FALSE)</f>
        <v>16150.1749375</v>
      </c>
      <c r="O173" s="252">
        <f>VLOOKUP(Tableau1[[#This Row],[PARCS]],Tableau254[],12,FALSE)</f>
        <v>102768.85</v>
      </c>
      <c r="P173" s="252">
        <f>VLOOKUP(Tableau1[[#This Row],[PARCS]],Tableau254[],13,FALSE)</f>
        <v>3185858.2027303358</v>
      </c>
      <c r="Q173" s="354">
        <f>VLOOKUP(Tableau1[[#This Row],[PARCS]],Tableau2546[],10,FALSE)</f>
        <v>15463.797183860761</v>
      </c>
      <c r="R173" s="252">
        <f>VLOOKUP(Tableau1[[#This Row],[PARCS]],Tableau2546[],12,FALSE)</f>
        <v>0</v>
      </c>
      <c r="S173" s="355">
        <f>VLOOKUP(Tableau1[[#This Row],[PARCS]],Tableau2546[],13,FALSE)</f>
        <v>3126721.6563641075</v>
      </c>
      <c r="T173" s="252">
        <f t="shared" si="12"/>
        <v>2243991.4027303355</v>
      </c>
      <c r="U173" s="351">
        <f t="shared" si="13"/>
        <v>2.3824933660792964</v>
      </c>
      <c r="V173" s="252">
        <f>Tableau1[[#This Row],[CA7]]-Tableau1[[#This Row],[CA4]]</f>
        <v>-59136.546366228256</v>
      </c>
      <c r="W173" s="351">
        <f>(Tableau1[[#This Row],[CA7]]-Tableau1[[#This Row],[CA4]])/Tableau1[[#This Row],[CA4]]</f>
        <v>-1.8562202898907181E-2</v>
      </c>
    </row>
    <row r="174" spans="1:23" ht="15.75" customHeight="1">
      <c r="A174" s="345" t="s">
        <v>614</v>
      </c>
      <c r="B174" s="346" t="str">
        <f>VLOOKUP(Tableau1[[#This Row],[PARCS]],Tableau106[],3,FALSE)</f>
        <v>A168</v>
      </c>
      <c r="C174" s="346" t="str">
        <f>VLOOKUP(Tableau1[[#This Row],[PARCS]],Tableau106[],2,FALSE)</f>
        <v>FR97S89E</v>
      </c>
      <c r="D174" s="352" t="str">
        <f>VLOOKUP(Tableau1[[#This Row],[PARCS]],Tableau106[],8,FALSE)</f>
        <v>SOLAIRE DOM</v>
      </c>
      <c r="E174" s="352" t="str">
        <f>VLOOKUP(A174,Tableau106[],6,FALSE)</f>
        <v>DOM</v>
      </c>
      <c r="F174" s="353" t="str">
        <f>VLOOKUP(Tableau1[[#This Row],[PARCS]],Tableau106[],5,FALSE)</f>
        <v>TOUC</v>
      </c>
      <c r="G174" s="346" t="str">
        <f>VLOOKUP(Tableau1[[#This Row],[PARCS]],Tableau106[],7,FALSE)</f>
        <v>GROUPE</v>
      </c>
      <c r="H174" s="346" t="str">
        <f>VLOOKUP(Tableau1[[#This Row],[PARCS]],Tableau106[],9,FALSE)</f>
        <v>DoJ</v>
      </c>
      <c r="I174" s="347">
        <v>1552.8789999999999</v>
      </c>
      <c r="J174" s="348">
        <v>753285.39</v>
      </c>
      <c r="K174" s="354">
        <f>VLOOKUP(Tableau1[[#This Row],[PARCS]],Tableau25[],10,FALSE)</f>
        <v>3764</v>
      </c>
      <c r="L174" s="252">
        <f>VLOOKUP(Tableau1[[#This Row],[PARCS]],Tableau25[],12,FALSE)</f>
        <v>0</v>
      </c>
      <c r="M174" s="252">
        <f>VLOOKUP(Tableau1[[#This Row],[PARCS]],Tableau25[],13,FALSE)</f>
        <v>183640.3747136</v>
      </c>
      <c r="N174" s="354">
        <f>VLOOKUP(Tableau1[[#This Row],[PARCS]],Tableau254[],10,FALSE)</f>
        <v>2532.3953750000001</v>
      </c>
      <c r="O174" s="252">
        <f>VLOOKUP(Tableau1[[#This Row],[PARCS]],Tableau254[],12,FALSE)</f>
        <v>0</v>
      </c>
      <c r="P174" s="252">
        <f>VLOOKUP(Tableau1[[#This Row],[PARCS]],Tableau254[],13,FALSE)</f>
        <v>1265311.3491187501</v>
      </c>
      <c r="Q174" s="354">
        <f>VLOOKUP(Tableau1[[#This Row],[PARCS]],Tableau2546[],10,FALSE)</f>
        <v>3764</v>
      </c>
      <c r="R174" s="252">
        <f>VLOOKUP(Tableau1[[#This Row],[PARCS]],Tableau2546[],12,FALSE)</f>
        <v>0</v>
      </c>
      <c r="S174" s="355">
        <f>VLOOKUP(Tableau1[[#This Row],[PARCS]],Tableau2546[],13,FALSE)</f>
        <v>1927699.6649999996</v>
      </c>
      <c r="T174" s="252">
        <f t="shared" si="12"/>
        <v>512025.95911875006</v>
      </c>
      <c r="U174" s="351">
        <f t="shared" si="13"/>
        <v>0.67972373540757247</v>
      </c>
      <c r="V174" s="252">
        <f>Tableau1[[#This Row],[CA7]]-Tableau1[[#This Row],[CA4]]</f>
        <v>662388.31588124949</v>
      </c>
      <c r="W174" s="351">
        <f>(Tableau1[[#This Row],[CA7]]-Tableau1[[#This Row],[CA4]])/Tableau1[[#This Row],[CA4]]</f>
        <v>0.52349828075325677</v>
      </c>
    </row>
    <row r="175" spans="1:23" ht="15.75" customHeight="1">
      <c r="A175" s="345" t="s">
        <v>367</v>
      </c>
      <c r="B175" s="346" t="str">
        <f>VLOOKUP(Tableau1[[#This Row],[PARCS]],Tableau106[],3,FALSE)</f>
        <v>A167</v>
      </c>
      <c r="C175" s="346" t="str">
        <f>VLOOKUP(Tableau1[[#This Row],[PARCS]],Tableau106[],2,FALSE)</f>
        <v>FR973S01E</v>
      </c>
      <c r="D175" s="352" t="str">
        <f>VLOOKUP(Tableau1[[#This Row],[PARCS]],Tableau106[],8,FALSE)</f>
        <v>SOLAIRE DOM</v>
      </c>
      <c r="E175" s="352" t="str">
        <f>VLOOKUP(A175,Tableau106[],6,FALSE)</f>
        <v>DOM</v>
      </c>
      <c r="F175" s="353" t="str">
        <f>VLOOKUP(Tableau1[[#This Row],[PARCS]],Tableau106[],5,FALSE)</f>
        <v>TOC2</v>
      </c>
      <c r="G175" s="346" t="str">
        <f>VLOOKUP(Tableau1[[#This Row],[PARCS]],Tableau106[],7,FALSE)</f>
        <v>GROUPE</v>
      </c>
      <c r="H175" s="346" t="str">
        <f>VLOOKUP(Tableau1[[#This Row],[PARCS]],Tableau106[],9,FALSE)</f>
        <v>DoJ</v>
      </c>
      <c r="I175" s="347">
        <v>2197.4659999999999</v>
      </c>
      <c r="J175" s="348">
        <v>601368.4</v>
      </c>
      <c r="K175" s="354">
        <f>VLOOKUP(Tableau1[[#This Row],[PARCS]],Tableau25[],10,FALSE)</f>
        <v>7090</v>
      </c>
      <c r="L175" s="252">
        <f>VLOOKUP(Tableau1[[#This Row],[PARCS]],Tableau25[],12,FALSE)</f>
        <v>0</v>
      </c>
      <c r="M175" s="252">
        <f>VLOOKUP(Tableau1[[#This Row],[PARCS]],Tableau25[],13,FALSE)</f>
        <v>666195.87764800002</v>
      </c>
      <c r="N175" s="354">
        <f>VLOOKUP(Tableau1[[#This Row],[PARCS]],Tableau254[],10,FALSE)</f>
        <v>2986.1019999999999</v>
      </c>
      <c r="O175" s="252">
        <f>VLOOKUP(Tableau1[[#This Row],[PARCS]],Tableau254[],12,FALSE)</f>
        <v>0</v>
      </c>
      <c r="P175" s="252">
        <f>VLOOKUP(Tableau1[[#This Row],[PARCS]],Tableau254[],13,FALSE)</f>
        <v>677278.78998733324</v>
      </c>
      <c r="Q175" s="354">
        <f>VLOOKUP(Tableau1[[#This Row],[PARCS]],Tableau2546[],10,FALSE)</f>
        <v>2197.4659999999999</v>
      </c>
      <c r="R175" s="252">
        <f>VLOOKUP(Tableau1[[#This Row],[PARCS]],Tableau2546[],12,FALSE)</f>
        <v>0</v>
      </c>
      <c r="S175" s="355">
        <f>VLOOKUP(Tableau1[[#This Row],[PARCS]],Tableau2546[],13,FALSE)</f>
        <v>503543.30918071663</v>
      </c>
      <c r="T175" s="252">
        <f t="shared" si="12"/>
        <v>75910.389987333212</v>
      </c>
      <c r="U175" s="351">
        <f t="shared" si="13"/>
        <v>0.12622942939358506</v>
      </c>
      <c r="V175" s="252">
        <f>Tableau1[[#This Row],[CA7]]-Tableau1[[#This Row],[CA4]]</f>
        <v>-173735.4808066166</v>
      </c>
      <c r="W175" s="351">
        <f>(Tableau1[[#This Row],[CA7]]-Tableau1[[#This Row],[CA4]])/Tableau1[[#This Row],[CA4]]</f>
        <v>-0.25651989014725513</v>
      </c>
    </row>
    <row r="176" spans="1:23" ht="15.75" customHeight="1">
      <c r="A176" s="345" t="s">
        <v>615</v>
      </c>
      <c r="B176" s="346" t="str">
        <f>VLOOKUP(Tableau1[[#This Row],[PARCS]],Tableau106[],3,FALSE)</f>
        <v>A391</v>
      </c>
      <c r="C176" s="346" t="str">
        <f>VLOOKUP(Tableau1[[#This Row],[PARCS]],Tableau106[],2,FALSE)</f>
        <v>FR54S01E</v>
      </c>
      <c r="D176" s="352" t="str">
        <f>VLOOKUP(Tableau1[[#This Row],[PARCS]],Tableau106[],8,FALSE)</f>
        <v>SOLAIRE</v>
      </c>
      <c r="E176" s="352" t="str">
        <f>VLOOKUP(A176,Tableau106[],6,FALSE)</f>
        <v>S</v>
      </c>
      <c r="F176" s="353" t="str">
        <f>VLOOKUP(Tableau1[[#This Row],[PARCS]],Tableau106[],5,FALSE)</f>
        <v>TOUL</v>
      </c>
      <c r="G176" s="346" t="str">
        <f>VLOOKUP(Tableau1[[#This Row],[PARCS]],Tableau106[],7,FALSE)</f>
        <v>GROUPE</v>
      </c>
      <c r="H176" s="346" t="str">
        <f>VLOOKUP(Tableau1[[#This Row],[PARCS]],Tableau106[],9,FALSE)</f>
        <v>LoG</v>
      </c>
      <c r="I176" s="347">
        <v>62814.601000000002</v>
      </c>
      <c r="J176" s="348">
        <v>23841911.765000001</v>
      </c>
      <c r="K176" s="354">
        <f>VLOOKUP(Tableau1[[#This Row],[PARCS]],Tableau25[],10,FALSE)</f>
        <v>56270.865735679996</v>
      </c>
      <c r="L176" s="252">
        <f>VLOOKUP(Tableau1[[#This Row],[PARCS]],Tableau25[],12,FALSE)</f>
        <v>0</v>
      </c>
      <c r="M176" s="252">
        <f>VLOOKUP(Tableau1[[#This Row],[PARCS]],Tableau25[],13,FALSE)</f>
        <v>21552078.706776235</v>
      </c>
      <c r="N176" s="354">
        <f>VLOOKUP(Tableau1[[#This Row],[PARCS]],Tableau254[],10,FALSE)</f>
        <v>56587.409</v>
      </c>
      <c r="O176" s="252">
        <f>VLOOKUP(Tableau1[[#This Row],[PARCS]],Tableau254[],12,FALSE)</f>
        <v>0</v>
      </c>
      <c r="P176" s="252">
        <f>VLOOKUP(Tableau1[[#This Row],[PARCS]],Tableau254[],13,FALSE)</f>
        <v>21576892.226518001</v>
      </c>
      <c r="Q176" s="354">
        <f>VLOOKUP(Tableau1[[#This Row],[PARCS]],Tableau2546[],10,FALSE)</f>
        <v>58586.610433449248</v>
      </c>
      <c r="R176" s="252">
        <f>VLOOKUP(Tableau1[[#This Row],[PARCS]],Tableau2546[],12,FALSE)</f>
        <v>0</v>
      </c>
      <c r="S176" s="355">
        <f>VLOOKUP(Tableau1[[#This Row],[PARCS]],Tableau2546[],13,FALSE)</f>
        <v>22897671.524782442</v>
      </c>
      <c r="T176" s="252">
        <f t="shared" si="12"/>
        <v>-2265019.5384819992</v>
      </c>
      <c r="U176" s="351">
        <f t="shared" si="13"/>
        <v>-9.5001590510332093E-2</v>
      </c>
      <c r="V176" s="252">
        <f>Tableau1[[#This Row],[CA7]]-Tableau1[[#This Row],[CA4]]</f>
        <v>1320779.2982644401</v>
      </c>
      <c r="W176" s="351">
        <f>(Tableau1[[#This Row],[CA7]]-Tableau1[[#This Row],[CA4]])/Tableau1[[#This Row],[CA4]]</f>
        <v>6.1212675319442078E-2</v>
      </c>
    </row>
    <row r="177" spans="1:24" ht="15.75" customHeight="1">
      <c r="A177" s="345" t="s">
        <v>616</v>
      </c>
      <c r="B177" s="346" t="str">
        <f>VLOOKUP(Tableau1[[#This Row],[PARCS]],Tableau106[],3,FALSE)</f>
        <v>A895</v>
      </c>
      <c r="C177" s="346" t="str">
        <f>VLOOKUP(Tableau1[[#This Row],[PARCS]],Tableau106[],2,FALSE)</f>
        <v>FR76E99E</v>
      </c>
      <c r="D177" s="352" t="str">
        <f>VLOOKUP(Tableau1[[#This Row],[PARCS]],Tableau106[],8,FALSE)</f>
        <v>EOLIEN</v>
      </c>
      <c r="E177" s="352" t="str">
        <f>VLOOKUP(A177,Tableau106[],6,FALSE)</f>
        <v>N</v>
      </c>
      <c r="F177" s="353" t="str">
        <f>VLOOKUP(Tableau1[[#This Row],[PARCS]],Tableau106[],5,FALSE)</f>
        <v>FECA</v>
      </c>
      <c r="G177" s="346" t="str">
        <f>VLOOKUP(Tableau1[[#This Row],[PARCS]],Tableau106[],7,FALSE)</f>
        <v>GROUPE</v>
      </c>
      <c r="H177" s="346" t="str">
        <f>VLOOKUP(Tableau1[[#This Row],[PARCS]],Tableau106[],9,FALSE)</f>
        <v>AnN</v>
      </c>
      <c r="I177" s="347">
        <v>6311.6689999999999</v>
      </c>
      <c r="J177" s="348">
        <v>472279.6</v>
      </c>
      <c r="K177" s="354">
        <f>VLOOKUP(Tableau1[[#This Row],[PARCS]],Tableau25[],10,FALSE)</f>
        <v>9794</v>
      </c>
      <c r="L177" s="252">
        <f>VLOOKUP(Tableau1[[#This Row],[PARCS]],Tableau25[],12,FALSE)</f>
        <v>0</v>
      </c>
      <c r="M177" s="252">
        <f>VLOOKUP(Tableau1[[#This Row],[PARCS]],Tableau25[],13,FALSE)</f>
        <v>1951682.4951470022</v>
      </c>
      <c r="N177" s="354">
        <f>VLOOKUP(Tableau1[[#This Row],[PARCS]],Tableau254[],10,FALSE)</f>
        <v>9991.7459374999999</v>
      </c>
      <c r="O177" s="252">
        <f>VLOOKUP(Tableau1[[#This Row],[PARCS]],Tableau254[],12,FALSE)</f>
        <v>0</v>
      </c>
      <c r="P177" s="252">
        <f>VLOOKUP(Tableau1[[#This Row],[PARCS]],Tableau254[],13,FALSE)</f>
        <v>1616772.736601823</v>
      </c>
      <c r="Q177" s="354">
        <f>VLOOKUP(Tableau1[[#This Row],[PARCS]],Tableau2546[],10,FALSE)</f>
        <v>9950.8478151538802</v>
      </c>
      <c r="R177" s="252">
        <f>VLOOKUP(Tableau1[[#This Row],[PARCS]],Tableau2546[],12,FALSE)</f>
        <v>0</v>
      </c>
      <c r="S177" s="355">
        <f>VLOOKUP(Tableau1[[#This Row],[PARCS]],Tableau2546[],13,FALSE)</f>
        <v>1650408.8517768092</v>
      </c>
      <c r="T177" s="252">
        <f t="shared" si="12"/>
        <v>1144493.1366018229</v>
      </c>
      <c r="U177" s="351">
        <f t="shared" si="13"/>
        <v>2.4233380747375559</v>
      </c>
      <c r="V177" s="252">
        <f>Tableau1[[#This Row],[CA7]]-Tableau1[[#This Row],[CA4]]</f>
        <v>33636.115174986189</v>
      </c>
      <c r="W177" s="351">
        <f>(Tableau1[[#This Row],[CA7]]-Tableau1[[#This Row],[CA4]])/Tableau1[[#This Row],[CA4]]</f>
        <v>2.0804479450639114E-2</v>
      </c>
    </row>
    <row r="178" spans="1:24" ht="15.75" customHeight="1">
      <c r="A178" s="345" t="s">
        <v>617</v>
      </c>
      <c r="B178" s="346" t="str">
        <f>VLOOKUP(Tableau1[[#This Row],[PARCS]],Tableau106[],3,FALSE)</f>
        <v>A892</v>
      </c>
      <c r="C178" s="346" t="str">
        <f>VLOOKUP(Tableau1[[#This Row],[PARCS]],Tableau106[],2,FALSE)</f>
        <v>FR34E98E</v>
      </c>
      <c r="D178" s="352" t="str">
        <f>VLOOKUP(Tableau1[[#This Row],[PARCS]],Tableau106[],8,FALSE)</f>
        <v>EOLIEN</v>
      </c>
      <c r="E178" s="352" t="str">
        <f>VLOOKUP(A178,Tableau106[],6,FALSE)</f>
        <v>S</v>
      </c>
      <c r="F178" s="353" t="str">
        <f>VLOOKUP(Tableau1[[#This Row],[PARCS]],Tableau106[],5,FALSE)</f>
        <v>RIOL</v>
      </c>
      <c r="G178" s="346" t="str">
        <f>VLOOKUP(Tableau1[[#This Row],[PARCS]],Tableau106[],7,FALSE)</f>
        <v>GROUPE</v>
      </c>
      <c r="H178" s="346" t="str">
        <f>VLOOKUP(Tableau1[[#This Row],[PARCS]],Tableau106[],9,FALSE)</f>
        <v>SaH</v>
      </c>
      <c r="I178" s="347">
        <v>6013.7309999999998</v>
      </c>
      <c r="J178" s="348">
        <v>300108.36</v>
      </c>
      <c r="K178" s="354">
        <f>VLOOKUP(Tableau1[[#This Row],[PARCS]],Tableau25[],10,FALSE)</f>
        <v>7189.8874208210455</v>
      </c>
      <c r="L178" s="252">
        <f>VLOOKUP(Tableau1[[#This Row],[PARCS]],Tableau25[],12,FALSE)</f>
        <v>0</v>
      </c>
      <c r="M178" s="252">
        <f>VLOOKUP(Tableau1[[#This Row],[PARCS]],Tableau25[],13,FALSE)</f>
        <v>1740585.4659317255</v>
      </c>
      <c r="N178" s="354">
        <f>VLOOKUP(Tableau1[[#This Row],[PARCS]],Tableau254[],10,FALSE)</f>
        <v>6769.7078333333302</v>
      </c>
      <c r="O178" s="252">
        <f>VLOOKUP(Tableau1[[#This Row],[PARCS]],Tableau254[],12,FALSE)</f>
        <v>19555.22</v>
      </c>
      <c r="P178" s="252">
        <f>VLOOKUP(Tableau1[[#This Row],[PARCS]],Tableau254[],13,FALSE)</f>
        <v>839387.35710138851</v>
      </c>
      <c r="Q178" s="354">
        <f>VLOOKUP(Tableau1[[#This Row],[PARCS]],Tableau2546[],10,FALSE)</f>
        <v>7413.5818564201954</v>
      </c>
      <c r="R178" s="252">
        <f>VLOOKUP(Tableau1[[#This Row],[PARCS]],Tableau2546[],12,FALSE)</f>
        <v>0</v>
      </c>
      <c r="S178" s="355">
        <f>VLOOKUP(Tableau1[[#This Row],[PARCS]],Tableau2546[],13,FALSE)</f>
        <v>942202.9296059832</v>
      </c>
      <c r="T178" s="252">
        <f t="shared" si="12"/>
        <v>539278.99710138852</v>
      </c>
      <c r="U178" s="351">
        <f t="shared" si="13"/>
        <v>1.7969475995316777</v>
      </c>
      <c r="V178" s="252">
        <f>Tableau1[[#This Row],[CA7]]-Tableau1[[#This Row],[CA4]]</f>
        <v>102815.57250459469</v>
      </c>
      <c r="W178" s="351">
        <f>(Tableau1[[#This Row],[CA7]]-Tableau1[[#This Row],[CA4]])/Tableau1[[#This Row],[CA4]]</f>
        <v>0.12248882668383547</v>
      </c>
      <c r="X178" s="6" t="s">
        <v>618</v>
      </c>
    </row>
    <row r="179" spans="1:24" ht="15.75" customHeight="1">
      <c r="A179" s="345" t="s">
        <v>619</v>
      </c>
      <c r="B179" s="346" t="str">
        <f>VLOOKUP(Tableau1[[#This Row],[PARCS]],Tableau106[],3,FALSE)</f>
        <v>A046</v>
      </c>
      <c r="C179" s="346" t="str">
        <f>VLOOKUP(Tableau1[[#This Row],[PARCS]],Tableau106[],2,FALSE)</f>
        <v>FR97S75E</v>
      </c>
      <c r="D179" s="352" t="str">
        <f>VLOOKUP(Tableau1[[#This Row],[PARCS]],Tableau106[],8,FALSE)</f>
        <v>SOLAIRE DOM</v>
      </c>
      <c r="E179" s="352" t="str">
        <f>VLOOKUP(A179,Tableau106[],6,FALSE)</f>
        <v>DOM</v>
      </c>
      <c r="F179" s="353" t="str">
        <f>VLOOKUP(Tableau1[[#This Row],[PARCS]],Tableau106[],5,FALSE)</f>
        <v>TROI</v>
      </c>
      <c r="G179" s="346" t="str">
        <f>VLOOKUP(Tableau1[[#This Row],[PARCS]],Tableau106[],7,FALSE)</f>
        <v>GROUPE</v>
      </c>
      <c r="H179" s="346" t="str">
        <f>VLOOKUP(Tableau1[[#This Row],[PARCS]],Tableau106[],9,FALSE)</f>
        <v>DoJ</v>
      </c>
      <c r="I179" s="347">
        <v>705.33500000000004</v>
      </c>
      <c r="J179" s="348">
        <v>312281.43</v>
      </c>
      <c r="K179" s="354">
        <f>VLOOKUP(Tableau1[[#This Row],[PARCS]],Tableau25[],10,FALSE)</f>
        <v>784</v>
      </c>
      <c r="L179" s="252">
        <f>VLOOKUP(Tableau1[[#This Row],[PARCS]],Tableau25[],12,FALSE)</f>
        <v>0</v>
      </c>
      <c r="M179" s="252">
        <f>VLOOKUP(Tableau1[[#This Row],[PARCS]],Tableau25[],13,FALSE)</f>
        <v>388187.95868159999</v>
      </c>
      <c r="N179" s="354">
        <f>VLOOKUP(Tableau1[[#This Row],[PARCS]],Tableau254[],10,FALSE)</f>
        <v>737.20154545454557</v>
      </c>
      <c r="O179" s="252">
        <f>VLOOKUP(Tableau1[[#This Row],[PARCS]],Tableau254[],12,FALSE)</f>
        <v>0</v>
      </c>
      <c r="P179" s="252">
        <f>VLOOKUP(Tableau1[[#This Row],[PARCS]],Tableau254[],13,FALSE)</f>
        <v>378760.14722518186</v>
      </c>
      <c r="Q179" s="354">
        <f>VLOOKUP(Tableau1[[#This Row],[PARCS]],Tableau2546[],10,FALSE)*1.05</f>
        <v>837.1210335854513</v>
      </c>
      <c r="R179" s="252">
        <f>VLOOKUP(Tableau1[[#This Row],[PARCS]],Tableau2546[],12,FALSE)</f>
        <v>0</v>
      </c>
      <c r="S179" s="355">
        <f>VLOOKUP(Tableau1[[#This Row],[PARCS]],Tableau2546[],13,FALSE)</f>
        <v>419856.47980998171</v>
      </c>
      <c r="T179" s="252">
        <f t="shared" si="12"/>
        <v>66478.71722518187</v>
      </c>
      <c r="U179" s="351">
        <f t="shared" si="13"/>
        <v>0.21288078905358501</v>
      </c>
      <c r="V179" s="252">
        <f>Tableau1[[#This Row],[CA7]]-Tableau1[[#This Row],[CA4]]</f>
        <v>41096.332584799849</v>
      </c>
      <c r="W179" s="351">
        <f>(Tableau1[[#This Row],[CA7]]-Tableau1[[#This Row],[CA4]])/Tableau1[[#This Row],[CA4]]</f>
        <v>0.10850226161826658</v>
      </c>
    </row>
    <row r="180" spans="1:24" ht="15.75" customHeight="1">
      <c r="A180" s="345" t="s">
        <v>620</v>
      </c>
      <c r="B180" s="346" t="str">
        <f>VLOOKUP(Tableau1[[#This Row],[PARCS]],Tableau106[],3,FALSE)</f>
        <v>A541</v>
      </c>
      <c r="C180" s="346" t="str">
        <f>VLOOKUP(Tableau1[[#This Row],[PARCS]],Tableau106[],2,FALSE)</f>
        <v>FR55E02E</v>
      </c>
      <c r="D180" s="352" t="str">
        <f>VLOOKUP(Tableau1[[#This Row],[PARCS]],Tableau106[],8,FALSE)</f>
        <v>EOLIEN</v>
      </c>
      <c r="E180" s="352" t="str">
        <f>VLOOKUP(A180,Tableau106[],6,FALSE)</f>
        <v>N</v>
      </c>
      <c r="F180" s="353" t="str">
        <f>VLOOKUP(Tableau1[[#This Row],[PARCS]],Tableau106[],5,FALSE)</f>
        <v>COUR</v>
      </c>
      <c r="G180" s="346" t="str">
        <f>VLOOKUP(Tableau1[[#This Row],[PARCS]],Tableau106[],7,FALSE)</f>
        <v>EGM</v>
      </c>
      <c r="H180" s="346" t="str">
        <f>VLOOKUP(Tableau1[[#This Row],[PARCS]],Tableau106[],9,FALSE)</f>
        <v>BaB</v>
      </c>
      <c r="I180" s="347">
        <v>18211.787</v>
      </c>
      <c r="J180" s="348">
        <v>407888.52</v>
      </c>
      <c r="K180" s="354">
        <f>VLOOKUP(Tableau1[[#This Row],[PARCS]],Tableau25[],10,FALSE)</f>
        <v>20935</v>
      </c>
      <c r="L180" s="252">
        <f>VLOOKUP(Tableau1[[#This Row],[PARCS]],Tableau25[],12,FALSE)</f>
        <v>0</v>
      </c>
      <c r="M180" s="252">
        <f>VLOOKUP(Tableau1[[#This Row],[PARCS]],Tableau25[],13,FALSE)</f>
        <v>4615740.426</v>
      </c>
      <c r="N180" s="354">
        <f>VLOOKUP(Tableau1[[#This Row],[PARCS]],Tableau254[],10,FALSE)</f>
        <v>21073.624</v>
      </c>
      <c r="O180" s="252">
        <f>VLOOKUP(Tableau1[[#This Row],[PARCS]],Tableau254[],12,FALSE)</f>
        <v>121948</v>
      </c>
      <c r="P180" s="252">
        <f>VLOOKUP(Tableau1[[#This Row],[PARCS]],Tableau254[],13,FALSE)</f>
        <v>3546400.6300294008</v>
      </c>
      <c r="Q180" s="354">
        <f>VLOOKUP(Tableau1[[#This Row],[PARCS]],Tableau2546[],10,FALSE)</f>
        <v>20935</v>
      </c>
      <c r="R180" s="252">
        <f>VLOOKUP(Tableau1[[#This Row],[PARCS]],Tableau2546[],12,FALSE)</f>
        <v>0</v>
      </c>
      <c r="S180" s="355">
        <f>VLOOKUP(Tableau1[[#This Row],[PARCS]],Tableau2546[],13,FALSE)</f>
        <v>3611148.9233843754</v>
      </c>
      <c r="T180" s="252">
        <f t="shared" si="12"/>
        <v>3138512.1100294008</v>
      </c>
      <c r="U180" s="351">
        <f t="shared" si="13"/>
        <v>7.6945340605060437</v>
      </c>
      <c r="V180" s="252">
        <f>Tableau1[[#This Row],[CA7]]-Tableau1[[#This Row],[CA4]]</f>
        <v>64748.293354974594</v>
      </c>
      <c r="W180" s="351">
        <f>(Tableau1[[#This Row],[CA7]]-Tableau1[[#This Row],[CA4]])/Tableau1[[#This Row],[CA4]]</f>
        <v>1.8257467249107106E-2</v>
      </c>
    </row>
    <row r="181" spans="1:24" ht="15.75" customHeight="1">
      <c r="A181" s="345" t="s">
        <v>621</v>
      </c>
      <c r="B181" s="346" t="str">
        <f>VLOOKUP(Tableau1[[#This Row],[PARCS]],Tableau106[],3,FALSE)</f>
        <v>A540</v>
      </c>
      <c r="C181" s="346" t="str">
        <f>VLOOKUP(Tableau1[[#This Row],[PARCS]],Tableau106[],2,FALSE)</f>
        <v>FR55E05E</v>
      </c>
      <c r="D181" s="352" t="str">
        <f>VLOOKUP(Tableau1[[#This Row],[PARCS]],Tableau106[],8,FALSE)</f>
        <v>EOLIEN</v>
      </c>
      <c r="E181" s="352" t="str">
        <f>VLOOKUP(A181,Tableau106[],6,FALSE)</f>
        <v>N</v>
      </c>
      <c r="F181" s="353" t="str">
        <f>VLOOKUP(Tableau1[[#This Row],[PARCS]],Tableau106[],5,FALSE)</f>
        <v>RAM1</v>
      </c>
      <c r="G181" s="346" t="str">
        <f>VLOOKUP(Tableau1[[#This Row],[PARCS]],Tableau106[],7,FALSE)</f>
        <v>EGM</v>
      </c>
      <c r="H181" s="346" t="str">
        <f>VLOOKUP(Tableau1[[#This Row],[PARCS]],Tableau106[],9,FALSE)</f>
        <v>BaB</v>
      </c>
      <c r="I181" s="347">
        <v>18191.053</v>
      </c>
      <c r="J181" s="348">
        <v>29972.349999999991</v>
      </c>
      <c r="K181" s="354">
        <f>VLOOKUP(Tableau1[[#This Row],[PARCS]],Tableau25[],10,FALSE)</f>
        <v>20982.878000000001</v>
      </c>
      <c r="L181" s="252">
        <f>VLOOKUP(Tableau1[[#This Row],[PARCS]],Tableau25[],12,FALSE)</f>
        <v>0</v>
      </c>
      <c r="M181" s="252">
        <f>VLOOKUP(Tableau1[[#This Row],[PARCS]],Tableau25[],13,FALSE)</f>
        <v>4626296.5482887998</v>
      </c>
      <c r="N181" s="354">
        <f>VLOOKUP(Tableau1[[#This Row],[PARCS]],Tableau254[],10,FALSE)</f>
        <v>21936.786496366705</v>
      </c>
      <c r="O181" s="252">
        <f>VLOOKUP(Tableau1[[#This Row],[PARCS]],Tableau254[],12,FALSE)</f>
        <v>60395</v>
      </c>
      <c r="P181" s="252">
        <f>VLOOKUP(Tableau1[[#This Row],[PARCS]],Tableau254[],13,FALSE)</f>
        <v>3691530.657903526</v>
      </c>
      <c r="Q181" s="354">
        <f>VLOOKUP(Tableau1[[#This Row],[PARCS]],Tableau2546[],10,FALSE)</f>
        <v>20982.878000000001</v>
      </c>
      <c r="R181" s="252">
        <f>VLOOKUP(Tableau1[[#This Row],[PARCS]],Tableau2546[],12,FALSE)</f>
        <v>0</v>
      </c>
      <c r="S181" s="355">
        <f>VLOOKUP(Tableau1[[#This Row],[PARCS]],Tableau2546[],13,FALSE)</f>
        <v>3619281.7428797316</v>
      </c>
      <c r="T181" s="252">
        <f t="shared" si="12"/>
        <v>3661558.3079035259</v>
      </c>
      <c r="U181" s="351">
        <f t="shared" si="13"/>
        <v>122.16453857984199</v>
      </c>
      <c r="V181" s="252">
        <f>Tableau1[[#This Row],[CA7]]-Tableau1[[#This Row],[CA4]]</f>
        <v>-72248.915023794398</v>
      </c>
      <c r="W181" s="351">
        <f>(Tableau1[[#This Row],[CA7]]-Tableau1[[#This Row],[CA4]])/Tableau1[[#This Row],[CA4]]</f>
        <v>-1.9571533252503343E-2</v>
      </c>
    </row>
    <row r="182" spans="1:24" ht="15.75" customHeight="1">
      <c r="A182" s="345" t="s">
        <v>622</v>
      </c>
      <c r="B182" s="346" t="str">
        <f>VLOOKUP(Tableau1[[#This Row],[PARCS]],Tableau106[],3,FALSE)</f>
        <v>A049</v>
      </c>
      <c r="C182" s="346" t="str">
        <f>VLOOKUP(Tableau1[[#This Row],[PARCS]],Tableau106[],2,FALSE)</f>
        <v>FR34E96E</v>
      </c>
      <c r="D182" s="352" t="str">
        <f>VLOOKUP(Tableau1[[#This Row],[PARCS]],Tableau106[],8,FALSE)</f>
        <v>EOLIEN</v>
      </c>
      <c r="E182" s="352" t="str">
        <f>VLOOKUP(A182,Tableau106[],6,FALSE)</f>
        <v>S</v>
      </c>
      <c r="F182" s="353" t="str">
        <f>VLOOKUP(Tableau1[[#This Row],[PARCS]],Tableau106[],5,FALSE)</f>
        <v>CASH</v>
      </c>
      <c r="G182" s="346" t="str">
        <f>VLOOKUP(Tableau1[[#This Row],[PARCS]],Tableau106[],7,FALSE)</f>
        <v>GROUPE</v>
      </c>
      <c r="H182" s="346" t="str">
        <f>VLOOKUP(Tableau1[[#This Row],[PARCS]],Tableau106[],9,FALSE)</f>
        <v>OdP</v>
      </c>
      <c r="I182" s="347">
        <v>18516.429</v>
      </c>
      <c r="J182" s="348">
        <v>2352874</v>
      </c>
      <c r="K182" s="354">
        <f>VLOOKUP(Tableau1[[#This Row],[PARCS]],Tableau25[],10,FALSE)</f>
        <v>27171.129076357829</v>
      </c>
      <c r="L182" s="252">
        <f>VLOOKUP(Tableau1[[#This Row],[PARCS]],Tableau25[],12,FALSE)</f>
        <v>0</v>
      </c>
      <c r="M182" s="252">
        <f>VLOOKUP(Tableau1[[#This Row],[PARCS]],Tableau25[],13,FALSE)</f>
        <v>2766349.6236874377</v>
      </c>
      <c r="N182" s="354">
        <f>VLOOKUP(Tableau1[[#This Row],[PARCS]],Tableau254[],10,FALSE)</f>
        <v>24175.388999999999</v>
      </c>
      <c r="O182" s="252">
        <f>VLOOKUP(Tableau1[[#This Row],[PARCS]],Tableau254[],12,FALSE)</f>
        <v>0</v>
      </c>
      <c r="P182" s="252">
        <f>VLOOKUP(Tableau1[[#This Row],[PARCS]],Tableau254[],13,FALSE)</f>
        <v>4734256.7335390113</v>
      </c>
      <c r="Q182" s="354">
        <f>VLOOKUP(Tableau1[[#This Row],[PARCS]],Tableau2546[],10,FALSE)</f>
        <v>28764.905751722988</v>
      </c>
      <c r="R182" s="252">
        <f>VLOOKUP(Tableau1[[#This Row],[PARCS]],Tableau2546[],12,FALSE)</f>
        <v>0</v>
      </c>
      <c r="S182" s="355">
        <f>VLOOKUP(Tableau1[[#This Row],[PARCS]],Tableau2546[],13,FALSE)</f>
        <v>5773845.4575985232</v>
      </c>
      <c r="T182" s="252">
        <f t="shared" si="12"/>
        <v>2381382.7335390113</v>
      </c>
      <c r="U182" s="351">
        <f t="shared" si="13"/>
        <v>1.0121165576818016</v>
      </c>
      <c r="V182" s="252">
        <f>Tableau1[[#This Row],[CA7]]-Tableau1[[#This Row],[CA4]]</f>
        <v>1039588.7240595119</v>
      </c>
      <c r="W182" s="351">
        <f>(Tableau1[[#This Row],[CA7]]-Tableau1[[#This Row],[CA4]])/Tableau1[[#This Row],[CA4]]</f>
        <v>0.21958858223609379</v>
      </c>
      <c r="X182" s="6" t="s">
        <v>623</v>
      </c>
    </row>
    <row r="183" spans="1:24" ht="15.75" customHeight="1">
      <c r="A183" s="345" t="s">
        <v>624</v>
      </c>
      <c r="B183" s="346" t="str">
        <f>VLOOKUP(Tableau1[[#This Row],[PARCS]],Tableau106[],3,FALSE)</f>
        <v>A540</v>
      </c>
      <c r="C183" s="346" t="str">
        <f>VLOOKUP(Tableau1[[#This Row],[PARCS]],Tableau106[],2,FALSE)</f>
        <v>FR55E06E</v>
      </c>
      <c r="D183" s="352" t="str">
        <f>VLOOKUP(Tableau1[[#This Row],[PARCS]],Tableau106[],8,FALSE)</f>
        <v>EOLIEN</v>
      </c>
      <c r="E183" s="352" t="str">
        <f>VLOOKUP(A183,Tableau106[],6,FALSE)</f>
        <v>N</v>
      </c>
      <c r="F183" s="353" t="str">
        <f>VLOOKUP(Tableau1[[#This Row],[PARCS]],Tableau106[],5,FALSE)</f>
        <v>RAM2</v>
      </c>
      <c r="G183" s="346" t="str">
        <f>VLOOKUP(Tableau1[[#This Row],[PARCS]],Tableau106[],7,FALSE)</f>
        <v>EGM</v>
      </c>
      <c r="H183" s="346" t="str">
        <f>VLOOKUP(Tableau1[[#This Row],[PARCS]],Tableau106[],9,FALSE)</f>
        <v>BaB</v>
      </c>
      <c r="I183" s="347">
        <v>42964.578000000001</v>
      </c>
      <c r="J183" s="348">
        <v>24276.68</v>
      </c>
      <c r="K183" s="354">
        <f>VLOOKUP(Tableau1[[#This Row],[PARCS]],Tableau25[],10,FALSE)</f>
        <v>47346.623999999996</v>
      </c>
      <c r="L183" s="252">
        <f>VLOOKUP(Tableau1[[#This Row],[PARCS]],Tableau25[],12,FALSE)</f>
        <v>0</v>
      </c>
      <c r="M183" s="252">
        <f>VLOOKUP(Tableau1[[#This Row],[PARCS]],Tableau25[],13,FALSE)</f>
        <v>4910884.8679268342</v>
      </c>
      <c r="N183" s="354">
        <f>VLOOKUP(Tableau1[[#This Row],[PARCS]],Tableau254[],10,FALSE)</f>
        <v>48670.136065390085</v>
      </c>
      <c r="O183" s="252">
        <f>VLOOKUP(Tableau1[[#This Row],[PARCS]],Tableau254[],12,FALSE)</f>
        <v>130856</v>
      </c>
      <c r="P183" s="252">
        <f>VLOOKUP(Tableau1[[#This Row],[PARCS]],Tableau254[],13,FALSE)</f>
        <v>6021955.9353707153</v>
      </c>
      <c r="Q183" s="354">
        <f>VLOOKUP(Tableau1[[#This Row],[PARCS]],Tableau2546[],10,FALSE)</f>
        <v>47346.624000000003</v>
      </c>
      <c r="R183" s="252">
        <f>VLOOKUP(Tableau1[[#This Row],[PARCS]],Tableau2546[],12,FALSE)</f>
        <v>0</v>
      </c>
      <c r="S183" s="355">
        <f>VLOOKUP(Tableau1[[#This Row],[PARCS]],Tableau2546[],13,FALSE)</f>
        <v>6004652.7322079996</v>
      </c>
      <c r="T183" s="252">
        <f t="shared" si="12"/>
        <v>5997679.2553707156</v>
      </c>
      <c r="U183" s="351">
        <f t="shared" si="13"/>
        <v>247.0551679789294</v>
      </c>
      <c r="V183" s="252">
        <f>Tableau1[[#This Row],[CA7]]-Tableau1[[#This Row],[CA4]]</f>
        <v>-17303.20316271577</v>
      </c>
      <c r="W183" s="351">
        <f>(Tableau1[[#This Row],[CA7]]-Tableau1[[#This Row],[CA4]])/Tableau1[[#This Row],[CA4]]</f>
        <v>-2.8733526695343668E-3</v>
      </c>
    </row>
    <row r="184" spans="1:24" ht="15.75" customHeight="1">
      <c r="A184" s="345" t="s">
        <v>625</v>
      </c>
      <c r="B184" s="346" t="str">
        <f>VLOOKUP(Tableau1[[#This Row],[PARCS]],Tableau106[],3,FALSE)</f>
        <v>A892</v>
      </c>
      <c r="C184" s="346" t="str">
        <f>VLOOKUP(Tableau1[[#This Row],[PARCS]],Tableau106[],2,FALSE)</f>
        <v>FR02E99E</v>
      </c>
      <c r="D184" s="352" t="str">
        <f>VLOOKUP(Tableau1[[#This Row],[PARCS]],Tableau106[],8,FALSE)</f>
        <v>EOLIEN</v>
      </c>
      <c r="E184" s="352" t="str">
        <f>VLOOKUP(A184,Tableau106[],6,FALSE)</f>
        <v>N</v>
      </c>
      <c r="F184" s="353" t="str">
        <f>VLOOKUP(Tableau1[[#This Row],[PARCS]],Tableau106[],5,FALSE)</f>
        <v>STSI</v>
      </c>
      <c r="G184" s="346" t="str">
        <f>VLOOKUP(Tableau1[[#This Row],[PARCS]],Tableau106[],7,FALSE)</f>
        <v>GROUPE</v>
      </c>
      <c r="H184" s="346" t="str">
        <f>VLOOKUP(Tableau1[[#This Row],[PARCS]],Tableau106[],9,FALSE)</f>
        <v>AyB</v>
      </c>
      <c r="I184" s="347"/>
      <c r="J184" s="348"/>
      <c r="K184" s="354">
        <f>VLOOKUP(Tableau1[[#This Row],[PARCS]],Tableau25[],10,FALSE)</f>
        <v>0</v>
      </c>
      <c r="L184" s="252">
        <f>VLOOKUP(Tableau1[[#This Row],[PARCS]],Tableau25[],12,FALSE)</f>
        <v>0</v>
      </c>
      <c r="M184" s="252">
        <f>VLOOKUP(Tableau1[[#This Row],[PARCS]],Tableau25[],13,FALSE)</f>
        <v>0</v>
      </c>
      <c r="N184" s="354">
        <f>VLOOKUP(Tableau1[[#This Row],[PARCS]],Tableau254[],10,FALSE)</f>
        <v>6414</v>
      </c>
      <c r="O184" s="252">
        <f>VLOOKUP(Tableau1[[#This Row],[PARCS]],Tableau254[],12,FALSE)</f>
        <v>0</v>
      </c>
      <c r="P184" s="252">
        <f>VLOOKUP(Tableau1[[#This Row],[PARCS]],Tableau254[],13,FALSE)</f>
        <v>659359.19999999995</v>
      </c>
      <c r="Q184" s="354">
        <f>VLOOKUP(Tableau1[[#This Row],[PARCS]],Tableau2546[],10,FALSE)</f>
        <v>0</v>
      </c>
      <c r="R184" s="252">
        <f>VLOOKUP(Tableau1[[#This Row],[PARCS]],Tableau2546[],12,FALSE)</f>
        <v>0</v>
      </c>
      <c r="S184" s="355">
        <f>VLOOKUP(Tableau1[[#This Row],[PARCS]],Tableau2546[],13,FALSE)</f>
        <v>0</v>
      </c>
      <c r="T184" s="252">
        <f t="shared" si="12"/>
        <v>659359.19999999995</v>
      </c>
      <c r="U184" s="351" t="str">
        <f t="shared" si="13"/>
        <v/>
      </c>
      <c r="V184" s="252">
        <f>Tableau1[[#This Row],[CA7]]-Tableau1[[#This Row],[CA4]]</f>
        <v>-659359.19999999995</v>
      </c>
      <c r="W184" s="351">
        <f>(Tableau1[[#This Row],[CA7]]-Tableau1[[#This Row],[CA4]])/Tableau1[[#This Row],[CA4]]</f>
        <v>-1</v>
      </c>
    </row>
    <row r="185" spans="1:24" ht="15.75" customHeight="1">
      <c r="A185" s="345" t="s">
        <v>626</v>
      </c>
      <c r="B185" s="346" t="str">
        <f>VLOOKUP(Tableau1[[#This Row],[PARCS]],Tableau106[],3,FALSE)</f>
        <v>A937</v>
      </c>
      <c r="C185" s="346" t="str">
        <f>VLOOKUP(Tableau1[[#This Row],[PARCS]],Tableau106[],2,FALSE)</f>
        <v>FR34E82E</v>
      </c>
      <c r="D185" s="352" t="str">
        <f>VLOOKUP(Tableau1[[#This Row],[PARCS]],Tableau106[],8,FALSE)</f>
        <v>EOLIEN</v>
      </c>
      <c r="E185" s="352" t="str">
        <f>VLOOKUP(A185,Tableau106[],6,FALSE)</f>
        <v>S</v>
      </c>
      <c r="F185" s="353" t="str">
        <f>VLOOKUP(Tableau1[[#This Row],[PARCS]],Tableau106[],5,FALSE)</f>
        <v>NIPL</v>
      </c>
      <c r="G185" s="346" t="str">
        <f>VLOOKUP(Tableau1[[#This Row],[PARCS]],Tableau106[],7,FALSE)</f>
        <v>FUTUREN</v>
      </c>
      <c r="H185" s="346" t="str">
        <f>VLOOKUP(Tableau1[[#This Row],[PARCS]],Tableau106[],9,FALSE)</f>
        <v>KéD</v>
      </c>
      <c r="I185" s="347">
        <v>9969.8709999999992</v>
      </c>
      <c r="J185" s="348">
        <v>783010</v>
      </c>
      <c r="K185" s="354">
        <f>VLOOKUP(Tableau1[[#This Row],[PARCS]],Tableau25[],10,FALSE)</f>
        <v>15217.440500463103</v>
      </c>
      <c r="L185" s="252">
        <f>VLOOKUP(Tableau1[[#This Row],[PARCS]],Tableau25[],12,FALSE)</f>
        <v>15000</v>
      </c>
      <c r="M185" s="252">
        <f>VLOOKUP(Tableau1[[#This Row],[PARCS]],Tableau25[],13,FALSE)</f>
        <v>1228118.5564433429</v>
      </c>
      <c r="N185" s="354">
        <f>VLOOKUP(Tableau1[[#This Row],[PARCS]],Tableau254[],10,FALSE)</f>
        <v>11454.871999999999</v>
      </c>
      <c r="O185" s="252">
        <f>VLOOKUP(Tableau1[[#This Row],[PARCS]],Tableau254[],12,FALSE)</f>
        <v>30000</v>
      </c>
      <c r="P185" s="252">
        <f>VLOOKUP(Tableau1[[#This Row],[PARCS]],Tableau254[],13,FALSE)</f>
        <v>1422561.4622266665</v>
      </c>
      <c r="Q185" s="354">
        <f>VLOOKUP(Tableau1[[#This Row],[PARCS]],Tableau2546[],10,FALSE)</f>
        <v>12105.129000000001</v>
      </c>
      <c r="R185" s="252">
        <f>VLOOKUP(Tableau1[[#This Row],[PARCS]],Tableau2546[],12,FALSE)</f>
        <v>0</v>
      </c>
      <c r="S185" s="355">
        <f>VLOOKUP(Tableau1[[#This Row],[PARCS]],Tableau2546[],13,FALSE)</f>
        <v>1540898.690177375</v>
      </c>
      <c r="T185" s="252">
        <f t="shared" ref="T185" si="14">P185-J185</f>
        <v>639551.46222666651</v>
      </c>
      <c r="U185" s="351">
        <f t="shared" ref="U185" si="15">IFERROR((P185-J185)/J185,"")</f>
        <v>0.81678581656258098</v>
      </c>
      <c r="V185" s="252">
        <f>Tableau1[[#This Row],[CA7]]-Tableau1[[#This Row],[CA4]]</f>
        <v>118337.22795070847</v>
      </c>
      <c r="W185" s="351">
        <f>(Tableau1[[#This Row],[CA7]]-Tableau1[[#This Row],[CA4]])/Tableau1[[#This Row],[CA4]]</f>
        <v>8.3186021196919632E-2</v>
      </c>
      <c r="X185" s="6" t="s">
        <v>576</v>
      </c>
    </row>
    <row r="186" spans="1:24" ht="30" customHeight="1" thickBot="1">
      <c r="A186" s="286">
        <f>SUBTOTAL(103,Tableau1[PARCS])</f>
        <v>181</v>
      </c>
      <c r="B186" s="287"/>
      <c r="C186" s="287"/>
      <c r="D186" s="288"/>
      <c r="E186" s="288"/>
      <c r="F186" s="289"/>
      <c r="G186" s="287"/>
      <c r="H186" s="287"/>
      <c r="I186" s="290">
        <f>SUBTOTAL(109,Tableau1[PROD 2022
en MWh])</f>
        <v>3934006.5769999987</v>
      </c>
      <c r="J186" s="291">
        <f>SUBTOTAL(109,Tableau1[CA 2022
en K€])</f>
        <v>439685483.30346996</v>
      </c>
      <c r="K186" s="140">
        <f>SUBTOTAL(109,Tableau1[PROD en Mwh])</f>
        <v>4319897.7293282542</v>
      </c>
      <c r="L186" s="141">
        <f>SUBTOTAL(109,Tableau1[PRODUITS excep. (PENALITES, indem. Ass.) - BN-1])</f>
        <v>125000</v>
      </c>
      <c r="M186" s="142">
        <f>SUBTOTAL(109,Tableau1[CA])</f>
        <v>574747834.78150809</v>
      </c>
      <c r="N186" s="140">
        <f>SUBTOTAL(109,Tableau1[PROD en Mwh2])</f>
        <v>4389646.2879618471</v>
      </c>
      <c r="O186" s="141">
        <f>SUBTOTAL(109,Tableau1[PRODUITS excep. (PENALITES, indem. Ass.) - LE3])</f>
        <v>4893308.55</v>
      </c>
      <c r="P186" s="142">
        <f>SUBTOTAL(109,Tableau1[CA4])</f>
        <v>547851241.49981797</v>
      </c>
      <c r="Q186" s="140">
        <f>SUBTOTAL(109,Tableau1[PROD en Mwh5])</f>
        <v>4357936.4965495635</v>
      </c>
      <c r="R186" s="141">
        <f>SUBTOTAL(109,Tableau1[PRODUITS excep. (PENALITES, indem. Ass.) - BN+1])</f>
        <v>200000</v>
      </c>
      <c r="S186" s="142">
        <f>SUBTOTAL(109,Tableau1[CA7])</f>
        <v>566462630.34459484</v>
      </c>
      <c r="T186" s="292"/>
      <c r="U186" s="292"/>
      <c r="V186" s="292"/>
      <c r="W186" s="292"/>
      <c r="X186" s="292"/>
    </row>
  </sheetData>
  <mergeCells count="5">
    <mergeCell ref="I3:J3"/>
    <mergeCell ref="T3:W3"/>
    <mergeCell ref="K3:M3"/>
    <mergeCell ref="N3:P3"/>
    <mergeCell ref="Q3:S3"/>
  </mergeCells>
  <phoneticPr fontId="7" type="noConversion"/>
  <conditionalFormatting sqref="W5:W18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8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8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8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" xr:uid="{00000000-0002-0000-0100-000000000000}">
          <x14:formula1>
            <xm:f>DATA!$A$3:$A$242</xm:f>
          </x14:formula1>
          <xm:sqref>A5:A185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rgb="FFFF0000"/>
  </sheetPr>
  <dimension ref="A1:N191"/>
  <sheetViews>
    <sheetView showGridLines="0" zoomScaleNormal="100" workbookViewId="0">
      <pane ySplit="1" topLeftCell="A27" activePane="bottomLeft" state="frozen"/>
      <selection activeCell="G3" sqref="G3"/>
      <selection pane="bottomLeft" activeCell="A47" sqref="A47"/>
    </sheetView>
  </sheetViews>
  <sheetFormatPr baseColWidth="10" defaultColWidth="12" defaultRowHeight="12"/>
  <cols>
    <col min="1" max="1" width="23.6640625" bestFit="1" customWidth="1"/>
    <col min="2" max="3" width="10.5" customWidth="1"/>
    <col min="4" max="4" width="15" bestFit="1" customWidth="1"/>
    <col min="6" max="6" width="9" customWidth="1"/>
    <col min="7" max="7" width="11.6640625" customWidth="1"/>
    <col min="8" max="9" width="8.6640625" customWidth="1"/>
    <col min="10" max="10" width="15.1640625" customWidth="1"/>
    <col min="11" max="12" width="15" customWidth="1"/>
    <col min="13" max="13" width="16.6640625" customWidth="1"/>
    <col min="14" max="14" width="43.5" customWidth="1"/>
  </cols>
  <sheetData>
    <row r="1" spans="1:14" ht="87" customHeight="1">
      <c r="A1" s="111" t="s">
        <v>627</v>
      </c>
      <c r="B1" s="112" t="s">
        <v>628</v>
      </c>
      <c r="C1" s="112" t="s">
        <v>629</v>
      </c>
      <c r="D1" s="113" t="s">
        <v>414</v>
      </c>
      <c r="E1" s="114" t="s">
        <v>630</v>
      </c>
      <c r="F1" s="1" t="s">
        <v>631</v>
      </c>
      <c r="G1" s="16" t="s">
        <v>417</v>
      </c>
      <c r="H1" s="16" t="s">
        <v>632</v>
      </c>
      <c r="I1" s="16" t="s">
        <v>418</v>
      </c>
      <c r="J1" s="2" t="s">
        <v>421</v>
      </c>
      <c r="K1" s="2" t="s">
        <v>633</v>
      </c>
      <c r="L1" s="11" t="s">
        <v>634</v>
      </c>
      <c r="M1" s="4" t="s">
        <v>423</v>
      </c>
      <c r="N1" s="370" t="s">
        <v>635</v>
      </c>
    </row>
    <row r="2" spans="1:14">
      <c r="A2" s="301" t="s">
        <v>575</v>
      </c>
      <c r="B2" s="294" t="str">
        <f>VLOOKUP(Tableau25[[#This Row],[CA O&amp;M s/parc
BN 2023]],Tableau106[],3,FALSE)</f>
        <v>A893</v>
      </c>
      <c r="C2" s="294" t="str">
        <f>VLOOKUP(Tableau25[[#This Row],[CA O&amp;M s/parc
BN 2023]],Tableau106[],2,FALSE)</f>
        <v>FR34E97E</v>
      </c>
      <c r="D2" s="294" t="str">
        <f>VLOOKUP(Tableau25[[#This Row],[CA O&amp;M s/parc
BN 2023]],Tableau106[],8,FALSE)</f>
        <v>EOLIEN</v>
      </c>
      <c r="E2" s="295">
        <f>VLOOKUP(Tableau25[[#This Row],[CA O&amp;M s/parc
BN 2023]],Tableau106[],4,FALSE)</f>
        <v>10</v>
      </c>
      <c r="F2" s="294" t="str">
        <f>VLOOKUP(Tableau25[[#This Row],[CA O&amp;M s/parc
BN 2023]],Tableau106[],5,FALSE)</f>
        <v>AUQB</v>
      </c>
      <c r="G2" s="294" t="str">
        <f>VLOOKUP(Tableau25[[#This Row],[CA O&amp;M s/parc
BN 2023]],Tableau106[],7,FALSE)</f>
        <v>GROUPE</v>
      </c>
      <c r="H2" s="294" t="str">
        <f>VLOOKUP(Tableau25[[#This Row],[CA O&amp;M s/parc
BN 2023]],Tableau106[],6,FALSE)</f>
        <v>S</v>
      </c>
      <c r="I2" s="294" t="str">
        <f>VLOOKUP(Tableau25[[#This Row],[CA O&amp;M s/parc
BN 2023]],Tableau106[],9,FALSE)</f>
        <v>KéD</v>
      </c>
      <c r="J2" s="18">
        <v>18171.034</v>
      </c>
      <c r="K2" s="120">
        <v>53</v>
      </c>
      <c r="L2" s="12">
        <v>30000</v>
      </c>
      <c r="M2" s="18">
        <v>963064.80200000003</v>
      </c>
    </row>
    <row r="3" spans="1:14">
      <c r="A3" s="301" t="s">
        <v>435</v>
      </c>
      <c r="B3" s="294" t="str">
        <f>VLOOKUP(Tableau25[[#This Row],[CA O&amp;M s/parc
BN 2023]],Tableau106[],3,FALSE)</f>
        <v>A763</v>
      </c>
      <c r="C3" s="294" t="str">
        <f>VLOOKUP(Tableau25[[#This Row],[CA O&amp;M s/parc
BN 2023]],Tableau106[],2,FALSE)</f>
        <v>FR51E05E</v>
      </c>
      <c r="D3" s="294" t="str">
        <f>VLOOKUP(Tableau25[[#This Row],[CA O&amp;M s/parc
BN 2023]],Tableau106[],8,FALSE)</f>
        <v>EOLIEN</v>
      </c>
      <c r="E3" s="295">
        <f>VLOOKUP(Tableau25[[#This Row],[CA O&amp;M s/parc
BN 2023]],Tableau106[],4,FALSE)</f>
        <v>16</v>
      </c>
      <c r="F3" s="296" t="str">
        <f>VLOOKUP(Tableau25[[#This Row],[CA O&amp;M s/parc
BN 2023]],Tableau106[],5,FALSE)</f>
        <v>QVA3</v>
      </c>
      <c r="G3" s="297" t="str">
        <f>VLOOKUP(Tableau25[[#This Row],[CA O&amp;M s/parc
BN 2023]],Tableau106[],7,FALSE)</f>
        <v>GROUPE</v>
      </c>
      <c r="H3" s="297" t="str">
        <f>VLOOKUP(Tableau25[[#This Row],[CA O&amp;M s/parc
BN 2023]],Tableau106[],6,FALSE)</f>
        <v>S</v>
      </c>
      <c r="I3" s="297" t="str">
        <f>VLOOKUP(Tableau25[[#This Row],[CA O&amp;M s/parc
BN 2023]],Tableau106[],9,FALSE)</f>
        <v>BaB</v>
      </c>
      <c r="J3" s="18">
        <v>37801.710725999939</v>
      </c>
      <c r="K3" s="120">
        <v>93.784406399999995</v>
      </c>
      <c r="L3" s="12"/>
      <c r="M3" s="18">
        <v>3545211.0013424172</v>
      </c>
    </row>
    <row r="4" spans="1:14">
      <c r="A4" s="301" t="s">
        <v>504</v>
      </c>
      <c r="B4" s="294" t="str">
        <f>VLOOKUP(Tableau25[[#This Row],[CA O&amp;M s/parc
BN 2023]],Tableau106[],3,FALSE)</f>
        <v>A418</v>
      </c>
      <c r="C4" s="294" t="str">
        <f>VLOOKUP(Tableau25[[#This Row],[CA O&amp;M s/parc
BN 2023]],Tableau106[],2,FALSE)</f>
        <v>FR78E01E</v>
      </c>
      <c r="D4" s="294" t="str">
        <f>VLOOKUP(Tableau25[[#This Row],[CA O&amp;M s/parc
BN 2023]],Tableau106[],8,FALSE)</f>
        <v>EOLIEN</v>
      </c>
      <c r="E4" s="295">
        <f>VLOOKUP(Tableau25[[#This Row],[CA O&amp;M s/parc
BN 2023]],Tableau106[],4,FALSE)</f>
        <v>16.95</v>
      </c>
      <c r="F4" s="296" t="str">
        <f>VLOOKUP(Tableau25[[#This Row],[CA O&amp;M s/parc
BN 2023]],Tableau106[],5,FALSE)</f>
        <v>ALVI</v>
      </c>
      <c r="G4" s="294" t="str">
        <f>VLOOKUP(Tableau25[[#This Row],[CA O&amp;M s/parc
BN 2023]],Tableau106[],7,FALSE)</f>
        <v>GROUPE</v>
      </c>
      <c r="H4" s="294" t="str">
        <f>VLOOKUP(Tableau25[[#This Row],[CA O&amp;M s/parc
BN 2023]],Tableau106[],6,FALSE)</f>
        <v>N</v>
      </c>
      <c r="I4" s="294" t="str">
        <f>VLOOKUP(Tableau25[[#This Row],[CA O&amp;M s/parc
BN 2023]],Tableau106[],9,FALSE)</f>
        <v>AyB</v>
      </c>
      <c r="J4" s="19">
        <v>40210</v>
      </c>
      <c r="K4" s="120">
        <v>87.790439199999994</v>
      </c>
      <c r="L4" s="13"/>
      <c r="M4" s="19">
        <v>3530053.560232</v>
      </c>
    </row>
    <row r="5" spans="1:14">
      <c r="A5" s="301" t="s">
        <v>530</v>
      </c>
      <c r="B5" s="294" t="str">
        <f>VLOOKUP(Tableau25[[#This Row],[CA O&amp;M s/parc
BN 2023]],Tableau106[],3,FALSE)</f>
        <v>A109</v>
      </c>
      <c r="C5" s="294" t="str">
        <f>VLOOKUP(Tableau25[[#This Row],[CA O&amp;M s/parc
BN 2023]],Tableau106[],2,FALSE)</f>
        <v>FR15E01E</v>
      </c>
      <c r="D5" s="294" t="str">
        <f>VLOOKUP(Tableau25[[#This Row],[CA O&amp;M s/parc
BN 2023]],Tableau106[],8,FALSE)</f>
        <v>EOLIEN</v>
      </c>
      <c r="E5" s="295">
        <f>VLOOKUP(Tableau25[[#This Row],[CA O&amp;M s/parc
BN 2023]],Tableau106[],4,FALSE)</f>
        <v>12</v>
      </c>
      <c r="F5" s="298" t="str">
        <f>VLOOKUP(Tableau25[[#This Row],[CA O&amp;M s/parc
BN 2023]],Tableau106[],5,FALSE)</f>
        <v>ALLA</v>
      </c>
      <c r="G5" s="294" t="str">
        <f>VLOOKUP(Tableau25[[#This Row],[CA O&amp;M s/parc
BN 2023]],Tableau106[],7,FALSE)</f>
        <v>FUTUREN</v>
      </c>
      <c r="H5" s="294" t="str">
        <f>VLOOKUP(Tableau25[[#This Row],[CA O&amp;M s/parc
BN 2023]],Tableau106[],6,FALSE)</f>
        <v>S</v>
      </c>
      <c r="I5" s="294" t="str">
        <f>VLOOKUP(Tableau25[[#This Row],[CA O&amp;M s/parc
BN 2023]],Tableau106[],9,FALSE)</f>
        <v>AuE</v>
      </c>
      <c r="J5" s="3">
        <v>24780</v>
      </c>
      <c r="K5" s="120">
        <v>95.244648799999993</v>
      </c>
      <c r="L5" s="13"/>
      <c r="M5" s="19">
        <v>2360162.397264</v>
      </c>
    </row>
    <row r="6" spans="1:14">
      <c r="A6" s="301" t="s">
        <v>440</v>
      </c>
      <c r="B6" s="294" t="str">
        <f>VLOOKUP(Tableau25[[#This Row],[CA O&amp;M s/parc
BN 2023]],Tableau106[],3,FALSE)</f>
        <v>A353</v>
      </c>
      <c r="C6" s="294" t="str">
        <f>VLOOKUP(Tableau25[[#This Row],[CA O&amp;M s/parc
BN 2023]],Tableau106[],2,FALSE)</f>
        <v>FR33S12E</v>
      </c>
      <c r="D6" s="294" t="str">
        <f>VLOOKUP(Tableau25[[#This Row],[CA O&amp;M s/parc
BN 2023]],Tableau106[],8,FALSE)</f>
        <v>SOLAIRE</v>
      </c>
      <c r="E6" s="295">
        <f>VLOOKUP(Tableau25[[#This Row],[CA O&amp;M s/parc
BN 2023]],Tableau106[],4,FALSE)</f>
        <v>9.6999999999999993</v>
      </c>
      <c r="F6" s="296" t="str">
        <f>VLOOKUP(Tableau25[[#This Row],[CA O&amp;M s/parc
BN 2023]],Tableau106[],5,FALSE)</f>
        <v>AMBE</v>
      </c>
      <c r="G6" s="297" t="str">
        <f>VLOOKUP(Tableau25[[#This Row],[CA O&amp;M s/parc
BN 2023]],Tableau106[],7,FALSE)</f>
        <v>GROUPE</v>
      </c>
      <c r="H6" s="297" t="str">
        <f>VLOOKUP(Tableau25[[#This Row],[CA O&amp;M s/parc
BN 2023]],Tableau106[],6,FALSE)</f>
        <v>S</v>
      </c>
      <c r="I6" s="297" t="str">
        <f>VLOOKUP(Tableau25[[#This Row],[CA O&amp;M s/parc
BN 2023]],Tableau106[],9,FALSE)</f>
        <v>BaA</v>
      </c>
      <c r="J6" s="19">
        <v>10747</v>
      </c>
      <c r="K6" s="120">
        <v>57.815744000000002</v>
      </c>
      <c r="L6" s="21"/>
      <c r="M6" s="23">
        <v>621345.80076800007</v>
      </c>
    </row>
    <row r="7" spans="1:14">
      <c r="A7" s="301" t="s">
        <v>479</v>
      </c>
      <c r="B7" s="294" t="str">
        <f>VLOOKUP(Tableau25[[#This Row],[CA O&amp;M s/parc
BN 2023]],Tableau106[],3,FALSE)</f>
        <v>A541</v>
      </c>
      <c r="C7" s="294" t="str">
        <f>VLOOKUP(Tableau25[[#This Row],[CA O&amp;M s/parc
BN 2023]],Tableau106[],2,FALSE)</f>
        <v>FR57E04E</v>
      </c>
      <c r="D7" s="294" t="str">
        <f>VLOOKUP(Tableau25[[#This Row],[CA O&amp;M s/parc
BN 2023]],Tableau106[],8,FALSE)</f>
        <v>EOLIEN</v>
      </c>
      <c r="E7" s="295">
        <f>VLOOKUP(Tableau25[[#This Row],[CA O&amp;M s/parc
BN 2023]],Tableau106[],4,FALSE)</f>
        <v>12</v>
      </c>
      <c r="F7" s="296" t="str">
        <f>VLOOKUP(Tableau25[[#This Row],[CA O&amp;M s/parc
BN 2023]],Tableau106[],5,FALSE)</f>
        <v>AMEL</v>
      </c>
      <c r="G7" s="294" t="str">
        <f>VLOOKUP(Tableau25[[#This Row],[CA O&amp;M s/parc
BN 2023]],Tableau106[],7,FALSE)</f>
        <v>EGM</v>
      </c>
      <c r="H7" s="294" t="str">
        <f>VLOOKUP(Tableau25[[#This Row],[CA O&amp;M s/parc
BN 2023]],Tableau106[],6,FALSE)</f>
        <v>N</v>
      </c>
      <c r="I7" s="294" t="str">
        <f>VLOOKUP(Tableau25[[#This Row],[CA O&amp;M s/parc
BN 2023]],Tableau106[],9,FALSE)</f>
        <v>NoS</v>
      </c>
      <c r="J7" s="19">
        <v>21514</v>
      </c>
      <c r="K7" s="120">
        <v>220.4796</v>
      </c>
      <c r="L7" s="13"/>
      <c r="M7" s="19">
        <v>4743398.1144000003</v>
      </c>
    </row>
    <row r="8" spans="1:14">
      <c r="A8" s="301" t="s">
        <v>508</v>
      </c>
      <c r="B8" s="294" t="str">
        <f>VLOOKUP(Tableau25[[#This Row],[CA O&amp;M s/parc
BN 2023]],Tableau106[],3,FALSE)</f>
        <v>F245</v>
      </c>
      <c r="C8" s="294" t="str">
        <f>VLOOKUP(Tableau25[[#This Row],[CA O&amp;M s/parc
BN 2023]],Tableau106[],2,FALSE)</f>
        <v>FR17E07E</v>
      </c>
      <c r="D8" s="294" t="str">
        <f>VLOOKUP(Tableau25[[#This Row],[CA O&amp;M s/parc
BN 2023]],Tableau106[],8,FALSE)</f>
        <v>EOLIEN</v>
      </c>
      <c r="E8" s="295">
        <f>VLOOKUP(Tableau25[[#This Row],[CA O&amp;M s/parc
BN 2023]],Tableau106[],4,FALSE)</f>
        <v>12</v>
      </c>
      <c r="F8" s="296" t="str">
        <f>VLOOKUP(Tableau25[[#This Row],[CA O&amp;M s/parc
BN 2023]],Tableau106[],5,FALSE)</f>
        <v>ANPA</v>
      </c>
      <c r="G8" s="294" t="str">
        <f>VLOOKUP(Tableau25[[#This Row],[CA O&amp;M s/parc
BN 2023]],Tableau106[],7,FALSE)</f>
        <v>FUTUREN</v>
      </c>
      <c r="H8" s="294" t="str">
        <f>VLOOKUP(Tableau25[[#This Row],[CA O&amp;M s/parc
BN 2023]],Tableau106[],6,FALSE)</f>
        <v>N</v>
      </c>
      <c r="I8" s="294" t="str">
        <f>VLOOKUP(Tableau25[[#This Row],[CA O&amp;M s/parc
BN 2023]],Tableau106[],9,FALSE)</f>
        <v>KéC</v>
      </c>
      <c r="J8" s="19">
        <v>23928</v>
      </c>
      <c r="K8" s="120">
        <v>76.325919999999996</v>
      </c>
      <c r="L8" s="13"/>
      <c r="M8" s="19">
        <v>1826326.6137599999</v>
      </c>
    </row>
    <row r="9" spans="1:14">
      <c r="A9" s="301" t="s">
        <v>444</v>
      </c>
      <c r="B9" s="294" t="str">
        <f>VLOOKUP(Tableau25[[#This Row],[CA O&amp;M s/parc
BN 2023]],Tableau106[],3,FALSE)</f>
        <v>A353</v>
      </c>
      <c r="C9" s="294" t="str">
        <f>VLOOKUP(Tableau25[[#This Row],[CA O&amp;M s/parc
BN 2023]],Tableau106[],2,FALSE)</f>
        <v>FR30S13E</v>
      </c>
      <c r="D9" s="294" t="str">
        <f>VLOOKUP(Tableau25[[#This Row],[CA O&amp;M s/parc
BN 2023]],Tableau106[],8,FALSE)</f>
        <v>SOLAIRE</v>
      </c>
      <c r="E9" s="295">
        <f>VLOOKUP(Tableau25[[#This Row],[CA O&amp;M s/parc
BN 2023]],Tableau106[],4,FALSE)</f>
        <v>5</v>
      </c>
      <c r="F9" s="296" t="str">
        <f>VLOOKUP(Tableau25[[#This Row],[CA O&amp;M s/parc
BN 2023]],Tableau106[],5,FALSE)</f>
        <v>ARAM</v>
      </c>
      <c r="G9" s="297" t="str">
        <f>VLOOKUP(Tableau25[[#This Row],[CA O&amp;M s/parc
BN 2023]],Tableau106[],7,FALSE)</f>
        <v>GROUPE</v>
      </c>
      <c r="H9" s="297" t="str">
        <f>VLOOKUP(Tableau25[[#This Row],[CA O&amp;M s/parc
BN 2023]],Tableau106[],6,FALSE)</f>
        <v>S</v>
      </c>
      <c r="I9" s="297" t="str">
        <f>VLOOKUP(Tableau25[[#This Row],[CA O&amp;M s/parc
BN 2023]],Tableau106[],9,FALSE)</f>
        <v>ArB</v>
      </c>
      <c r="J9" s="18">
        <v>6956</v>
      </c>
      <c r="K9" s="120">
        <v>79.317240800000008</v>
      </c>
      <c r="L9" s="13"/>
      <c r="M9" s="19">
        <v>551730.72700480011</v>
      </c>
    </row>
    <row r="10" spans="1:14">
      <c r="A10" s="301" t="s">
        <v>445</v>
      </c>
      <c r="B10" s="294" t="str">
        <f>VLOOKUP(Tableau25[[#This Row],[CA O&amp;M s/parc
BN 2023]],Tableau106[],3,FALSE)</f>
        <v>A353</v>
      </c>
      <c r="C10" s="294" t="str">
        <f>VLOOKUP(Tableau25[[#This Row],[CA O&amp;M s/parc
BN 2023]],Tableau106[],2,FALSE)</f>
        <v>FR64S01E</v>
      </c>
      <c r="D10" s="294" t="str">
        <f>VLOOKUP(Tableau25[[#This Row],[CA O&amp;M s/parc
BN 2023]],Tableau106[],8,FALSE)</f>
        <v>SOLAIRE</v>
      </c>
      <c r="E10" s="295">
        <f>VLOOKUP(Tableau25[[#This Row],[CA O&amp;M s/parc
BN 2023]],Tableau106[],4,FALSE)</f>
        <v>4.2</v>
      </c>
      <c r="F10" s="296" t="str">
        <f>VLOOKUP(Tableau25[[#This Row],[CA O&amp;M s/parc
BN 2023]],Tableau106[],5,FALSE)</f>
        <v>ARTI</v>
      </c>
      <c r="G10" s="297" t="str">
        <f>VLOOKUP(Tableau25[[#This Row],[CA O&amp;M s/parc
BN 2023]],Tableau106[],7,FALSE)</f>
        <v>GROUPE</v>
      </c>
      <c r="H10" s="297" t="str">
        <f>VLOOKUP(Tableau25[[#This Row],[CA O&amp;M s/parc
BN 2023]],Tableau106[],6,FALSE)</f>
        <v>S</v>
      </c>
      <c r="I10" s="297" t="str">
        <f>VLOOKUP(Tableau25[[#This Row],[CA O&amp;M s/parc
BN 2023]],Tableau106[],9,FALSE)</f>
        <v>BaA</v>
      </c>
      <c r="J10" s="19">
        <v>4520</v>
      </c>
      <c r="K10" s="120">
        <v>64.641326400000011</v>
      </c>
      <c r="L10" s="21"/>
      <c r="M10" s="23">
        <v>292178.79532800004</v>
      </c>
    </row>
    <row r="11" spans="1:14">
      <c r="A11" s="301" t="s">
        <v>494</v>
      </c>
      <c r="B11" s="294" t="str">
        <f>VLOOKUP(Tableau25[[#This Row],[CA O&amp;M s/parc
BN 2023]],Tableau106[],3,FALSE)</f>
        <v>A530</v>
      </c>
      <c r="C11" s="294" t="str">
        <f>VLOOKUP(Tableau25[[#This Row],[CA O&amp;M s/parc
BN 2023]],Tableau106[],2,FALSE)</f>
        <v>FR57E01E</v>
      </c>
      <c r="D11" s="294" t="str">
        <f>VLOOKUP(Tableau25[[#This Row],[CA O&amp;M s/parc
BN 2023]],Tableau106[],8,FALSE)</f>
        <v>EOLIEN</v>
      </c>
      <c r="E11" s="295">
        <f>VLOOKUP(Tableau25[[#This Row],[CA O&amp;M s/parc
BN 2023]],Tableau106[],4,FALSE)</f>
        <v>12</v>
      </c>
      <c r="F11" s="296" t="str">
        <f>VLOOKUP(Tableau25[[#This Row],[CA O&amp;M s/parc
BN 2023]],Tableau106[],5,FALSE)</f>
        <v>BAMB</v>
      </c>
      <c r="G11" s="297" t="str">
        <f>VLOOKUP(Tableau25[[#This Row],[CA O&amp;M s/parc
BN 2023]],Tableau106[],7,FALSE)</f>
        <v>GROUPE</v>
      </c>
      <c r="H11" s="297" t="str">
        <f>VLOOKUP(Tableau25[[#This Row],[CA O&amp;M s/parc
BN 2023]],Tableau106[],6,FALSE)</f>
        <v>N</v>
      </c>
      <c r="I11" s="297" t="str">
        <f>VLOOKUP(Tableau25[[#This Row],[CA O&amp;M s/parc
BN 2023]],Tableau106[],9,FALSE)</f>
        <v>HuB</v>
      </c>
      <c r="J11" s="19">
        <v>17487.764962210491</v>
      </c>
      <c r="K11" s="120">
        <v>46.5</v>
      </c>
      <c r="L11" s="21"/>
      <c r="M11" s="23">
        <v>813181.07074278779</v>
      </c>
    </row>
    <row r="12" spans="1:14">
      <c r="A12" s="301" t="s">
        <v>525</v>
      </c>
      <c r="B12" s="294" t="str">
        <f>VLOOKUP(Tableau25[[#This Row],[CA O&amp;M s/parc
BN 2023]],Tableau106[],3,FALSE)</f>
        <v>A554</v>
      </c>
      <c r="C12" s="294" t="str">
        <f>VLOOKUP(Tableau25[[#This Row],[CA O&amp;M s/parc
BN 2023]],Tableau106[],2,FALSE)</f>
        <v>FR02E08E</v>
      </c>
      <c r="D12" s="294" t="str">
        <f>VLOOKUP(Tableau25[[#This Row],[CA O&amp;M s/parc
BN 2023]],Tableau106[],8,FALSE)</f>
        <v>EOLIEN</v>
      </c>
      <c r="E12" s="295">
        <f>VLOOKUP(Tableau25[[#This Row],[CA O&amp;M s/parc
BN 2023]],Tableau106[],4,FALSE)</f>
        <v>12</v>
      </c>
      <c r="F12" s="296" t="str">
        <f>VLOOKUP(Tableau25[[#This Row],[CA O&amp;M s/parc
BN 2023]],Tableau106[],5,FALSE)</f>
        <v>BTS1</v>
      </c>
      <c r="G12" s="297" t="str">
        <f>VLOOKUP(Tableau25[[#This Row],[CA O&amp;M s/parc
BN 2023]],Tableau106[],7,FALSE)</f>
        <v>ENDF</v>
      </c>
      <c r="H12" s="297" t="str">
        <f>VLOOKUP(Tableau25[[#This Row],[CA O&amp;M s/parc
BN 2023]],Tableau106[],6,FALSE)</f>
        <v>N</v>
      </c>
      <c r="I12" s="297" t="str">
        <f>VLOOKUP(Tableau25[[#This Row],[CA O&amp;M s/parc
BN 2023]],Tableau106[],9,FALSE)</f>
        <v>BoK</v>
      </c>
      <c r="J12" s="19">
        <v>26750</v>
      </c>
      <c r="K12" s="120">
        <v>93.98111759999999</v>
      </c>
      <c r="L12" s="21"/>
      <c r="M12" s="23">
        <v>2513994.8957999996</v>
      </c>
    </row>
    <row r="13" spans="1:14">
      <c r="A13" s="301" t="s">
        <v>598</v>
      </c>
      <c r="B13" s="294" t="str">
        <f>VLOOKUP(Tableau25[[#This Row],[CA O&amp;M s/parc
BN 2023]],Tableau106[],3,FALSE)</f>
        <v>A555</v>
      </c>
      <c r="C13" s="294" t="str">
        <f>VLOOKUP(Tableau25[[#This Row],[CA O&amp;M s/parc
BN 2023]],Tableau106[],2,FALSE)</f>
        <v>FR02E09E</v>
      </c>
      <c r="D13" s="294" t="str">
        <f>VLOOKUP(Tableau25[[#This Row],[CA O&amp;M s/parc
BN 2023]],Tableau106[],8,FALSE)</f>
        <v>EOLIEN</v>
      </c>
      <c r="E13" s="295">
        <f>VLOOKUP(Tableau25[[#This Row],[CA O&amp;M s/parc
BN 2023]],Tableau106[],4,FALSE)</f>
        <v>12</v>
      </c>
      <c r="F13" s="296" t="str">
        <f>VLOOKUP(Tableau25[[#This Row],[CA O&amp;M s/parc
BN 2023]],Tableau106[],5,FALSE)</f>
        <v>BTS2</v>
      </c>
      <c r="G13" s="297" t="str">
        <f>VLOOKUP(Tableau25[[#This Row],[CA O&amp;M s/parc
BN 2023]],Tableau106[],7,FALSE)</f>
        <v>ENDF</v>
      </c>
      <c r="H13" s="297" t="str">
        <f>VLOOKUP(Tableau25[[#This Row],[CA O&amp;M s/parc
BN 2023]],Tableau106[],6,FALSE)</f>
        <v>N</v>
      </c>
      <c r="I13" s="297" t="str">
        <f>VLOOKUP(Tableau25[[#This Row],[CA O&amp;M s/parc
BN 2023]],Tableau106[],9,FALSE)</f>
        <v>BoK</v>
      </c>
      <c r="J13" s="19">
        <v>26750</v>
      </c>
      <c r="K13" s="120">
        <v>93.98111759999999</v>
      </c>
      <c r="L13" s="21"/>
      <c r="M13" s="23">
        <v>2513994.8957999996</v>
      </c>
    </row>
    <row r="14" spans="1:14">
      <c r="A14" s="301" t="s">
        <v>489</v>
      </c>
      <c r="B14" s="294" t="str">
        <f>VLOOKUP(Tableau25[[#This Row],[CA O&amp;M s/parc
BN 2023]],Tableau106[],3,FALSE)</f>
        <v>A905</v>
      </c>
      <c r="C14" s="294" t="str">
        <f>VLOOKUP(Tableau25[[#This Row],[CA O&amp;M s/parc
BN 2023]],Tableau106[],2,FALSE)</f>
        <v>FR69E01E</v>
      </c>
      <c r="D14" s="294" t="str">
        <f>VLOOKUP(Tableau25[[#This Row],[CA O&amp;M s/parc
BN 2023]],Tableau106[],8,FALSE)</f>
        <v>EOLIEN</v>
      </c>
      <c r="E14" s="295">
        <f>VLOOKUP(Tableau25[[#This Row],[CA O&amp;M s/parc
BN 2023]],Tableau106[],4,FALSE)</f>
        <v>12</v>
      </c>
      <c r="F14" s="296" t="str">
        <f>VLOOKUP(Tableau25[[#This Row],[CA O&amp;M s/parc
BN 2023]],Tableau106[],5,FALSE)</f>
        <v>BVER</v>
      </c>
      <c r="G14" s="297" t="str">
        <f>VLOOKUP(Tableau25[[#This Row],[CA O&amp;M s/parc
BN 2023]],Tableau106[],7,FALSE)</f>
        <v>GROUPE</v>
      </c>
      <c r="H14" s="297" t="str">
        <f>VLOOKUP(Tableau25[[#This Row],[CA O&amp;M s/parc
BN 2023]],Tableau106[],6,FALSE)</f>
        <v>S</v>
      </c>
      <c r="I14" s="297" t="str">
        <f>VLOOKUP(Tableau25[[#This Row],[CA O&amp;M s/parc
BN 2023]],Tableau106[],9,FALSE)</f>
        <v>KéC</v>
      </c>
      <c r="J14" s="18">
        <v>19660</v>
      </c>
      <c r="K14" s="120">
        <v>77.299381600000004</v>
      </c>
      <c r="L14" s="13"/>
      <c r="M14" s="19">
        <v>1519705.842256</v>
      </c>
    </row>
    <row r="15" spans="1:14">
      <c r="A15" s="301" t="s">
        <v>454</v>
      </c>
      <c r="B15" s="294" t="str">
        <f>VLOOKUP(Tableau25[[#This Row],[CA O&amp;M s/parc
BN 2023]],Tableau106[],3,FALSE)</f>
        <v>A295</v>
      </c>
      <c r="C15" s="294" t="str">
        <f>VLOOKUP(Tableau25[[#This Row],[CA O&amp;M s/parc
BN 2023]],Tableau106[],2,FALSE)</f>
        <v>FR85S02E</v>
      </c>
      <c r="D15" s="294" t="str">
        <f>VLOOKUP(Tableau25[[#This Row],[CA O&amp;M s/parc
BN 2023]],Tableau106[],8,FALSE)</f>
        <v>SOLAIRE</v>
      </c>
      <c r="E15" s="295">
        <f>VLOOKUP(Tableau25[[#This Row],[CA O&amp;M s/parc
BN 2023]],Tableau106[],4,FALSE)</f>
        <v>12.8</v>
      </c>
      <c r="F15" s="296" t="str">
        <f>VLOOKUP(Tableau25[[#This Row],[CA O&amp;M s/parc
BN 2023]],Tableau106[],5,FALSE)</f>
        <v>BEAU</v>
      </c>
      <c r="G15" s="297" t="str">
        <f>VLOOKUP(Tableau25[[#This Row],[CA O&amp;M s/parc
BN 2023]],Tableau106[],7,FALSE)</f>
        <v>GROUPE</v>
      </c>
      <c r="H15" s="297" t="str">
        <f>VLOOKUP(Tableau25[[#This Row],[CA O&amp;M s/parc
BN 2023]],Tableau106[],6,FALSE)</f>
        <v>N</v>
      </c>
      <c r="I15" s="297" t="str">
        <f>VLOOKUP(Tableau25[[#This Row],[CA O&amp;M s/parc
BN 2023]],Tableau106[],9,FALSE)</f>
        <v>ZaA</v>
      </c>
      <c r="J15" s="19">
        <v>14203.5</v>
      </c>
      <c r="K15" s="120">
        <v>60.081152000000003</v>
      </c>
      <c r="L15" s="21"/>
      <c r="M15" s="23">
        <v>853362.64243200002</v>
      </c>
    </row>
    <row r="16" spans="1:14">
      <c r="A16" s="301" t="s">
        <v>473</v>
      </c>
      <c r="B16" s="294" t="str">
        <f>VLOOKUP(Tableau25[[#This Row],[CA O&amp;M s/parc
BN 2023]],Tableau106[],3,FALSE)</f>
        <v>A177</v>
      </c>
      <c r="C16" s="294" t="str">
        <f>VLOOKUP(Tableau25[[#This Row],[CA O&amp;M s/parc
BN 2023]],Tableau106[],2,FALSE)</f>
        <v>FR88E99E</v>
      </c>
      <c r="D16" s="294" t="str">
        <f>VLOOKUP(Tableau25[[#This Row],[CA O&amp;M s/parc
BN 2023]],Tableau106[],8,FALSE)</f>
        <v>EOLIEN</v>
      </c>
      <c r="E16" s="295">
        <f>VLOOKUP(Tableau25[[#This Row],[CA O&amp;M s/parc
BN 2023]],Tableau106[],4,FALSE)</f>
        <v>20</v>
      </c>
      <c r="F16" s="296" t="str">
        <f>VLOOKUP(Tableau25[[#This Row],[CA O&amp;M s/parc
BN 2023]],Tableau106[],5,FALSE)</f>
        <v>BDBS</v>
      </c>
      <c r="G16" s="297" t="str">
        <f>VLOOKUP(Tableau25[[#This Row],[CA O&amp;M s/parc
BN 2023]],Tableau106[],7,FALSE)</f>
        <v>GROUPE</v>
      </c>
      <c r="H16" s="297" t="str">
        <f>VLOOKUP(Tableau25[[#This Row],[CA O&amp;M s/parc
BN 2023]],Tableau106[],6,FALSE)</f>
        <v>N</v>
      </c>
      <c r="I16" s="297" t="str">
        <f>VLOOKUP(Tableau25[[#This Row],[CA O&amp;M s/parc
BN 2023]],Tableau106[],9,FALSE)</f>
        <v>AyB</v>
      </c>
      <c r="J16" s="18">
        <v>36186.863093915752</v>
      </c>
      <c r="K16" s="120">
        <v>92.972582399999993</v>
      </c>
      <c r="L16" s="13"/>
      <c r="M16" s="19">
        <v>3364386.110796601</v>
      </c>
    </row>
    <row r="17" spans="1:13">
      <c r="A17" s="301" t="s">
        <v>457</v>
      </c>
      <c r="B17" s="294" t="str">
        <f>VLOOKUP(Tableau25[[#This Row],[CA O&amp;M s/parc
BN 2023]],Tableau106[],3,FALSE)</f>
        <v>A133</v>
      </c>
      <c r="C17" s="294" t="str">
        <f>VLOOKUP(Tableau25[[#This Row],[CA O&amp;M s/parc
BN 2023]],Tableau106[],2,FALSE)</f>
        <v>FR84S01E</v>
      </c>
      <c r="D17" s="294" t="str">
        <f>VLOOKUP(Tableau25[[#This Row],[CA O&amp;M s/parc
BN 2023]],Tableau106[],8,FALSE)</f>
        <v>SOLAIRE</v>
      </c>
      <c r="E17" s="295">
        <f>VLOOKUP(Tableau25[[#This Row],[CA O&amp;M s/parc
BN 2023]],Tableau106[],4,FALSE)</f>
        <v>2.61</v>
      </c>
      <c r="F17" s="296" t="str">
        <f>VLOOKUP(Tableau25[[#This Row],[CA O&amp;M s/parc
BN 2023]],Tableau106[],5,FALSE)</f>
        <v>BLAU</v>
      </c>
      <c r="G17" s="297" t="str">
        <f>VLOOKUP(Tableau25[[#This Row],[CA O&amp;M s/parc
BN 2023]],Tableau106[],7,FALSE)</f>
        <v>GROUPE</v>
      </c>
      <c r="H17" s="297" t="str">
        <f>VLOOKUP(Tableau25[[#This Row],[CA O&amp;M s/parc
BN 2023]],Tableau106[],6,FALSE)</f>
        <v>S</v>
      </c>
      <c r="I17" s="297" t="str">
        <f>VLOOKUP(Tableau25[[#This Row],[CA O&amp;M s/parc
BN 2023]],Tableau106[],9,FALSE)</f>
        <v>ArB</v>
      </c>
      <c r="J17" s="19">
        <v>3911</v>
      </c>
      <c r="K17" s="120">
        <v>269.97000000000003</v>
      </c>
      <c r="L17" s="21"/>
      <c r="M17" s="23">
        <v>1055852.6700000002</v>
      </c>
    </row>
    <row r="18" spans="1:13">
      <c r="A18" s="301" t="s">
        <v>583</v>
      </c>
      <c r="B18" s="294" t="str">
        <f>VLOOKUP(Tableau25[[#This Row],[CA O&amp;M s/parc
BN 2023]],Tableau106[],3,FALSE)</f>
        <v>A095</v>
      </c>
      <c r="C18" s="294" t="str">
        <f>VLOOKUP(Tableau25[[#This Row],[CA O&amp;M s/parc
BN 2023]],Tableau106[],2,FALSE)</f>
        <v>FR43E99E</v>
      </c>
      <c r="D18" s="294" t="str">
        <f>VLOOKUP(Tableau25[[#This Row],[CA O&amp;M s/parc
BN 2023]],Tableau106[],8,FALSE)</f>
        <v>EOLIEN</v>
      </c>
      <c r="E18" s="295">
        <f>VLOOKUP(Tableau25[[#This Row],[CA O&amp;M s/parc
BN 2023]],Tableau106[],4,FALSE)</f>
        <v>12</v>
      </c>
      <c r="F18" s="296" t="str">
        <f>VLOOKUP(Tableau25[[#This Row],[CA O&amp;M s/parc
BN 2023]],Tableau106[],5,FALSE)</f>
        <v>BARB</v>
      </c>
      <c r="G18" s="297" t="str">
        <f>VLOOKUP(Tableau25[[#This Row],[CA O&amp;M s/parc
BN 2023]],Tableau106[],7,FALSE)</f>
        <v>FUTUREN</v>
      </c>
      <c r="H18" s="297" t="str">
        <f>VLOOKUP(Tableau25[[#This Row],[CA O&amp;M s/parc
BN 2023]],Tableau106[],6,FALSE)</f>
        <v>S</v>
      </c>
      <c r="I18" s="297" t="str">
        <f>VLOOKUP(Tableau25[[#This Row],[CA O&amp;M s/parc
BN 2023]],Tableau106[],9,FALSE)</f>
        <v>OdP</v>
      </c>
      <c r="J18" s="18">
        <v>20262.82659233678</v>
      </c>
      <c r="K18" s="120">
        <v>103.6563944</v>
      </c>
      <c r="L18" s="12"/>
      <c r="M18" s="18">
        <v>2100371.5449140691</v>
      </c>
    </row>
    <row r="19" spans="1:13">
      <c r="A19" s="301" t="s">
        <v>437</v>
      </c>
      <c r="B19" s="294" t="str">
        <f>VLOOKUP(Tableau25[[#This Row],[CA O&amp;M s/parc
BN 2023]],Tableau106[],3,FALSE)</f>
        <v>A541</v>
      </c>
      <c r="C19" s="294" t="str">
        <f>VLOOKUP(Tableau25[[#This Row],[CA O&amp;M s/parc
BN 2023]],Tableau106[],2,FALSE)</f>
        <v>FR57E05E</v>
      </c>
      <c r="D19" s="294" t="str">
        <f>VLOOKUP(Tableau25[[#This Row],[CA O&amp;M s/parc
BN 2023]],Tableau106[],8,FALSE)</f>
        <v>EOLIEN</v>
      </c>
      <c r="E19" s="295">
        <f>VLOOKUP(Tableau25[[#This Row],[CA O&amp;M s/parc
BN 2023]],Tableau106[],4,FALSE)</f>
        <v>10.5</v>
      </c>
      <c r="F19" s="296" t="str">
        <f>VLOOKUP(Tableau25[[#This Row],[CA O&amp;M s/parc
BN 2023]],Tableau106[],5,FALSE)</f>
        <v>BOUS</v>
      </c>
      <c r="G19" s="297" t="str">
        <f>VLOOKUP(Tableau25[[#This Row],[CA O&amp;M s/parc
BN 2023]],Tableau106[],7,FALSE)</f>
        <v>EGM</v>
      </c>
      <c r="H19" s="297" t="str">
        <f>VLOOKUP(Tableau25[[#This Row],[CA O&amp;M s/parc
BN 2023]],Tableau106[],6,FALSE)</f>
        <v>N</v>
      </c>
      <c r="I19" s="297" t="str">
        <f>VLOOKUP(Tableau25[[#This Row],[CA O&amp;M s/parc
BN 2023]],Tableau106[],9,FALSE)</f>
        <v>NoS</v>
      </c>
      <c r="J19" s="18">
        <v>13838</v>
      </c>
      <c r="K19" s="120">
        <v>117.44</v>
      </c>
      <c r="L19" s="12"/>
      <c r="M19" s="18">
        <v>1625134.72</v>
      </c>
    </row>
    <row r="20" spans="1:13">
      <c r="A20" s="301" t="s">
        <v>459</v>
      </c>
      <c r="B20" s="294" t="str">
        <f>VLOOKUP(Tableau25[[#This Row],[CA O&amp;M s/parc
BN 2023]],Tableau106[],3,FALSE)</f>
        <v>A145</v>
      </c>
      <c r="C20" s="294" t="str">
        <f>VLOOKUP(Tableau25[[#This Row],[CA O&amp;M s/parc
BN 2023]],Tableau106[],2,FALSE)</f>
        <v>FR31S01E</v>
      </c>
      <c r="D20" s="294" t="str">
        <f>VLOOKUP(Tableau25[[#This Row],[CA O&amp;M s/parc
BN 2023]],Tableau106[],8,FALSE)</f>
        <v>SOLAIRE</v>
      </c>
      <c r="E20" s="295">
        <f>VLOOKUP(Tableau25[[#This Row],[CA O&amp;M s/parc
BN 2023]],Tableau106[],4,FALSE)</f>
        <v>10.15</v>
      </c>
      <c r="F20" s="296" t="str">
        <f>VLOOKUP(Tableau25[[#This Row],[CA O&amp;M s/parc
BN 2023]],Tableau106[],5,FALSE)</f>
        <v>BOUL</v>
      </c>
      <c r="G20" s="297" t="str">
        <f>VLOOKUP(Tableau25[[#This Row],[CA O&amp;M s/parc
BN 2023]],Tableau106[],7,FALSE)</f>
        <v>GROUPE</v>
      </c>
      <c r="H20" s="297" t="str">
        <f>VLOOKUP(Tableau25[[#This Row],[CA O&amp;M s/parc
BN 2023]],Tableau106[],6,FALSE)</f>
        <v>S</v>
      </c>
      <c r="I20" s="297" t="str">
        <f>VLOOKUP(Tableau25[[#This Row],[CA O&amp;M s/parc
BN 2023]],Tableau106[],9,FALSE)</f>
        <v>BaA</v>
      </c>
      <c r="J20" s="19">
        <v>12464</v>
      </c>
      <c r="K20" s="120">
        <v>298.33999999999997</v>
      </c>
      <c r="L20" s="13"/>
      <c r="M20" s="19">
        <v>3718509.76</v>
      </c>
    </row>
    <row r="21" spans="1:13">
      <c r="A21" s="301" t="s">
        <v>54</v>
      </c>
      <c r="B21" s="294" t="str">
        <f>VLOOKUP(Tableau25[[#This Row],[CA O&amp;M s/parc
BN 2023]],Tableau106[],3,FALSE)</f>
        <v>A272</v>
      </c>
      <c r="C21" s="294" t="str">
        <f>VLOOKUP(Tableau25[[#This Row],[CA O&amp;M s/parc
BN 2023]],Tableau106[],2,FALSE)</f>
        <v>FR45S03E</v>
      </c>
      <c r="D21" s="294" t="str">
        <f>VLOOKUP(Tableau25[[#This Row],[CA O&amp;M s/parc
BN 2023]],Tableau106[],8,FALSE)</f>
        <v>SOLAIRE</v>
      </c>
      <c r="E21" s="295">
        <f>VLOOKUP(Tableau25[[#This Row],[CA O&amp;M s/parc
BN 2023]],Tableau106[],4,FALSE)</f>
        <v>15.5</v>
      </c>
      <c r="F21" s="296" t="str">
        <f>VLOOKUP(Tableau25[[#This Row],[CA O&amp;M s/parc
BN 2023]],Tableau106[],5,FALSE)</f>
        <v>BRIA</v>
      </c>
      <c r="G21" s="297" t="str">
        <f>VLOOKUP(Tableau25[[#This Row],[CA O&amp;M s/parc
BN 2023]],Tableau106[],7,FALSE)</f>
        <v>GROUPE</v>
      </c>
      <c r="H21" s="297" t="str">
        <f>VLOOKUP(Tableau25[[#This Row],[CA O&amp;M s/parc
BN 2023]],Tableau106[],6,FALSE)</f>
        <v>N</v>
      </c>
      <c r="I21" s="297" t="str">
        <f>VLOOKUP(Tableau25[[#This Row],[CA O&amp;M s/parc
BN 2023]],Tableau106[],9,FALSE)</f>
        <v>LoG</v>
      </c>
      <c r="J21" s="19">
        <v>16031</v>
      </c>
      <c r="K21" s="120">
        <v>63.672959999999996</v>
      </c>
      <c r="L21" s="13"/>
      <c r="M21" s="19">
        <v>1020741.22176</v>
      </c>
    </row>
    <row r="22" spans="1:13">
      <c r="A22" s="301" t="s">
        <v>510</v>
      </c>
      <c r="B22" s="294" t="str">
        <f>VLOOKUP(Tableau25[[#This Row],[CA O&amp;M s/parc
BN 2023]],Tableau106[],3,FALSE)</f>
        <v>A540</v>
      </c>
      <c r="C22" s="294" t="str">
        <f>VLOOKUP(Tableau25[[#This Row],[CA O&amp;M s/parc
BN 2023]],Tableau106[],2,FALSE)</f>
        <v>FR02E03E</v>
      </c>
      <c r="D22" s="294" t="str">
        <f>VLOOKUP(Tableau25[[#This Row],[CA O&amp;M s/parc
BN 2023]],Tableau106[],8,FALSE)</f>
        <v>EOLIEN</v>
      </c>
      <c r="E22" s="295">
        <f>VLOOKUP(Tableau25[[#This Row],[CA O&amp;M s/parc
BN 2023]],Tableau106[],4,FALSE)</f>
        <v>6</v>
      </c>
      <c r="F22" s="296" t="str">
        <f>VLOOKUP(Tableau25[[#This Row],[CA O&amp;M s/parc
BN 2023]],Tableau106[],5,FALSE)</f>
        <v>BRIY</v>
      </c>
      <c r="G22" s="297" t="str">
        <f>VLOOKUP(Tableau25[[#This Row],[CA O&amp;M s/parc
BN 2023]],Tableau106[],7,FALSE)</f>
        <v>EGM</v>
      </c>
      <c r="H22" s="297" t="str">
        <f>VLOOKUP(Tableau25[[#This Row],[CA O&amp;M s/parc
BN 2023]],Tableau106[],6,FALSE)</f>
        <v>N</v>
      </c>
      <c r="I22" s="297" t="str">
        <f>VLOOKUP(Tableau25[[#This Row],[CA O&amp;M s/parc
BN 2023]],Tableau106[],9,FALSE)</f>
        <v>NoS</v>
      </c>
      <c r="J22" s="18">
        <v>11857</v>
      </c>
      <c r="K22" s="120">
        <v>220.4796</v>
      </c>
      <c r="L22" s="13"/>
      <c r="M22" s="19">
        <v>2614226.6172000002</v>
      </c>
    </row>
    <row r="23" spans="1:13">
      <c r="A23" s="301" t="s">
        <v>563</v>
      </c>
      <c r="B23" s="294" t="str">
        <f>VLOOKUP(Tableau25[[#This Row],[CA O&amp;M s/parc
BN 2023]],Tableau106[],3,FALSE)</f>
        <v>A114</v>
      </c>
      <c r="C23" s="294" t="str">
        <f>VLOOKUP(Tableau25[[#This Row],[CA O&amp;M s/parc
BN 2023]],Tableau106[],2,FALSE)</f>
        <v>FR11E95E</v>
      </c>
      <c r="D23" s="294" t="str">
        <f>VLOOKUP(Tableau25[[#This Row],[CA O&amp;M s/parc
BN 2023]],Tableau106[],8,FALSE)</f>
        <v>EOLIEN</v>
      </c>
      <c r="E23" s="295">
        <f>VLOOKUP(Tableau25[[#This Row],[CA O&amp;M s/parc
BN 2023]],Tableau106[],4,FALSE)</f>
        <v>11.5</v>
      </c>
      <c r="F23" s="296" t="str">
        <f>VLOOKUP(Tableau25[[#This Row],[CA O&amp;M s/parc
BN 2023]],Tableau106[],5,FALSE)</f>
        <v>CAMB</v>
      </c>
      <c r="G23" s="297" t="str">
        <f>VLOOKUP(Tableau25[[#This Row],[CA O&amp;M s/parc
BN 2023]],Tableau106[],7,FALSE)</f>
        <v>GROUPE</v>
      </c>
      <c r="H23" s="297" t="str">
        <f>VLOOKUP(Tableau25[[#This Row],[CA O&amp;M s/parc
BN 2023]],Tableau106[],6,FALSE)</f>
        <v>S</v>
      </c>
      <c r="I23" s="297" t="str">
        <f>VLOOKUP(Tableau25[[#This Row],[CA O&amp;M s/parc
BN 2023]],Tableau106[],9,FALSE)</f>
        <v>ThC</v>
      </c>
      <c r="J23" s="19">
        <v>32611.90117755784</v>
      </c>
      <c r="K23" s="120">
        <v>80.349760000000003</v>
      </c>
      <c r="L23" s="13"/>
      <c r="M23" s="19">
        <v>2620358.4327604901</v>
      </c>
    </row>
    <row r="24" spans="1:13">
      <c r="A24" s="301" t="s">
        <v>466</v>
      </c>
      <c r="B24" s="294" t="str">
        <f>VLOOKUP(Tableau25[[#This Row],[CA O&amp;M s/parc
BN 2023]],Tableau106[],3,FALSE)</f>
        <v>A047</v>
      </c>
      <c r="C24" s="294" t="str">
        <f>VLOOKUP(Tableau25[[#This Row],[CA O&amp;M s/parc
BN 2023]],Tableau106[],2,FALSE)</f>
        <v>FR97S76E</v>
      </c>
      <c r="D24" s="294" t="str">
        <f>VLOOKUP(Tableau25[[#This Row],[CA O&amp;M s/parc
BN 2023]],Tableau106[],8,FALSE)</f>
        <v>SOLAIRE DOM</v>
      </c>
      <c r="E24" s="295">
        <f>VLOOKUP(Tableau25[[#This Row],[CA O&amp;M s/parc
BN 2023]],Tableau106[],4,FALSE)</f>
        <v>0.68200000000000005</v>
      </c>
      <c r="F24" s="296" t="str">
        <f>VLOOKUP(Tableau25[[#This Row],[CA O&amp;M s/parc
BN 2023]],Tableau106[],5,FALSE)</f>
        <v>CANO</v>
      </c>
      <c r="G24" s="297" t="str">
        <f>VLOOKUP(Tableau25[[#This Row],[CA O&amp;M s/parc
BN 2023]],Tableau106[],7,FALSE)</f>
        <v>GROUPE</v>
      </c>
      <c r="H24" s="297" t="str">
        <f>VLOOKUP(Tableau25[[#This Row],[CA O&amp;M s/parc
BN 2023]],Tableau106[],6,FALSE)</f>
        <v>DOM</v>
      </c>
      <c r="I24" s="297" t="str">
        <f>VLOOKUP(Tableau25[[#This Row],[CA O&amp;M s/parc
BN 2023]],Tableau106[],9,FALSE)</f>
        <v>DoJ</v>
      </c>
      <c r="J24" s="19">
        <v>465</v>
      </c>
      <c r="K24" s="120">
        <v>495.13770239999997</v>
      </c>
      <c r="L24" s="13"/>
      <c r="M24" s="19">
        <v>230239.03161599999</v>
      </c>
    </row>
    <row r="25" spans="1:13">
      <c r="A25" s="301" t="s">
        <v>590</v>
      </c>
      <c r="B25" s="294" t="str">
        <f>VLOOKUP(Tableau25[[#This Row],[CA O&amp;M s/parc
BN 2023]],Tableau106[],3,FALSE)</f>
        <v>A124</v>
      </c>
      <c r="C25" s="294" t="str">
        <f>VLOOKUP(Tableau25[[#This Row],[CA O&amp;M s/parc
BN 2023]],Tableau106[],2,FALSE)</f>
        <v>FR28E99E</v>
      </c>
      <c r="D25" s="294" t="str">
        <f>VLOOKUP(Tableau25[[#This Row],[CA O&amp;M s/parc
BN 2023]],Tableau106[],8,FALSE)</f>
        <v>EOLIEN</v>
      </c>
      <c r="E25" s="295">
        <f>VLOOKUP(Tableau25[[#This Row],[CA O&amp;M s/parc
BN 2023]],Tableau106[],4,FALSE)</f>
        <v>12</v>
      </c>
      <c r="F25" s="296" t="str">
        <f>VLOOKUP(Tableau25[[#This Row],[CA O&amp;M s/parc
BN 2023]],Tableau106[],5,FALSE)</f>
        <v>CDBO</v>
      </c>
      <c r="G25" s="297" t="str">
        <f>VLOOKUP(Tableau25[[#This Row],[CA O&amp;M s/parc
BN 2023]],Tableau106[],7,FALSE)</f>
        <v>GROUPE</v>
      </c>
      <c r="H25" s="297" t="str">
        <f>VLOOKUP(Tableau25[[#This Row],[CA O&amp;M s/parc
BN 2023]],Tableau106[],6,FALSE)</f>
        <v>N</v>
      </c>
      <c r="I25" s="297" t="str">
        <f>VLOOKUP(Tableau25[[#This Row],[CA O&amp;M s/parc
BN 2023]],Tableau106[],9,FALSE)</f>
        <v>LoH</v>
      </c>
      <c r="J25" s="18">
        <v>45462.570261499946</v>
      </c>
      <c r="K25" s="120">
        <v>103.3243792</v>
      </c>
      <c r="L25" s="13"/>
      <c r="M25" s="19">
        <v>4697391.8491058638</v>
      </c>
    </row>
    <row r="26" spans="1:13">
      <c r="A26" s="301" t="s">
        <v>622</v>
      </c>
      <c r="B26" s="294" t="str">
        <f>VLOOKUP(Tableau25[[#This Row],[CA O&amp;M s/parc
BN 2023]],Tableau106[],3,FALSE)</f>
        <v>A049</v>
      </c>
      <c r="C26" s="294" t="str">
        <f>VLOOKUP(Tableau25[[#This Row],[CA O&amp;M s/parc
BN 2023]],Tableau106[],2,FALSE)</f>
        <v>FR34E96E</v>
      </c>
      <c r="D26" s="294" t="str">
        <f>VLOOKUP(Tableau25[[#This Row],[CA O&amp;M s/parc
BN 2023]],Tableau106[],8,FALSE)</f>
        <v>EOLIEN</v>
      </c>
      <c r="E26" s="295">
        <f>VLOOKUP(Tableau25[[#This Row],[CA O&amp;M s/parc
BN 2023]],Tableau106[],4,FALSE)</f>
        <v>11.5</v>
      </c>
      <c r="F26" s="296" t="str">
        <f>VLOOKUP(Tableau25[[#This Row],[CA O&amp;M s/parc
BN 2023]],Tableau106[],5,FALSE)</f>
        <v>CASH</v>
      </c>
      <c r="G26" s="297" t="str">
        <f>VLOOKUP(Tableau25[[#This Row],[CA O&amp;M s/parc
BN 2023]],Tableau106[],7,FALSE)</f>
        <v>GROUPE</v>
      </c>
      <c r="H26" s="297" t="str">
        <f>VLOOKUP(Tableau25[[#This Row],[CA O&amp;M s/parc
BN 2023]],Tableau106[],6,FALSE)</f>
        <v>S</v>
      </c>
      <c r="I26" s="297" t="str">
        <f>VLOOKUP(Tableau25[[#This Row],[CA O&amp;M s/parc
BN 2023]],Tableau106[],9,FALSE)</f>
        <v>OdP</v>
      </c>
      <c r="J26" s="19">
        <v>27171.129076357829</v>
      </c>
      <c r="K26" s="120">
        <v>101.81209679999999</v>
      </c>
      <c r="L26" s="13"/>
      <c r="M26" s="19">
        <v>2766349.6236874377</v>
      </c>
    </row>
    <row r="27" spans="1:13">
      <c r="A27" s="301" t="s">
        <v>471</v>
      </c>
      <c r="B27" s="294" t="str">
        <f>VLOOKUP(Tableau25[[#This Row],[CA O&amp;M s/parc
BN 2023]],Tableau106[],3,FALSE)</f>
        <v>A043</v>
      </c>
      <c r="C27" s="294" t="str">
        <f>VLOOKUP(Tableau25[[#This Row],[CA O&amp;M s/parc
BN 2023]],Tableau106[],2,FALSE)</f>
        <v>FR97S77E</v>
      </c>
      <c r="D27" s="294" t="str">
        <f>VLOOKUP(Tableau25[[#This Row],[CA O&amp;M s/parc
BN 2023]],Tableau106[],8,FALSE)</f>
        <v>SOLAIRE DOM</v>
      </c>
      <c r="E27" s="295">
        <f>VLOOKUP(Tableau25[[#This Row],[CA O&amp;M s/parc
BN 2023]],Tableau106[],4,FALSE)</f>
        <v>0.68200000000000005</v>
      </c>
      <c r="F27" s="296" t="str">
        <f>VLOOKUP(Tableau25[[#This Row],[CA O&amp;M s/parc
BN 2023]],Tableau106[],5,FALSE)</f>
        <v>CESA</v>
      </c>
      <c r="G27" s="297" t="str">
        <f>VLOOKUP(Tableau25[[#This Row],[CA O&amp;M s/parc
BN 2023]],Tableau106[],7,FALSE)</f>
        <v>GROUPE</v>
      </c>
      <c r="H27" s="297" t="str">
        <f>VLOOKUP(Tableau25[[#This Row],[CA O&amp;M s/parc
BN 2023]],Tableau106[],6,FALSE)</f>
        <v>DOM</v>
      </c>
      <c r="I27" s="297" t="str">
        <f>VLOOKUP(Tableau25[[#This Row],[CA O&amp;M s/parc
BN 2023]],Tableau106[],9,FALSE)</f>
        <v>DoJ</v>
      </c>
      <c r="J27" s="18">
        <v>636</v>
      </c>
      <c r="K27" s="120">
        <v>495.13978400000002</v>
      </c>
      <c r="L27" s="13"/>
      <c r="M27" s="19">
        <v>314908.90262400004</v>
      </c>
    </row>
    <row r="28" spans="1:13">
      <c r="A28" s="301" t="s">
        <v>83</v>
      </c>
      <c r="B28" s="294" t="str">
        <f>VLOOKUP(Tableau25[[#This Row],[CA O&amp;M s/parc
BN 2023]],Tableau106[],3,FALSE)</f>
        <v>A253</v>
      </c>
      <c r="C28" s="294" t="str">
        <f>VLOOKUP(Tableau25[[#This Row],[CA O&amp;M s/parc
BN 2023]],Tableau106[],2,FALSE)</f>
        <v>FR21S01E</v>
      </c>
      <c r="D28" s="294" t="str">
        <f>VLOOKUP(Tableau25[[#This Row],[CA O&amp;M s/parc
BN 2023]],Tableau106[],8,FALSE)</f>
        <v>SOLAIRE</v>
      </c>
      <c r="E28" s="295">
        <f>VLOOKUP(Tableau25[[#This Row],[CA O&amp;M s/parc
BN 2023]],Tableau106[],4,FALSE)</f>
        <v>15.5</v>
      </c>
      <c r="F28" s="296" t="str">
        <f>VLOOKUP(Tableau25[[#This Row],[CA O&amp;M s/parc
BN 2023]],Tableau106[],5,FALSE)</f>
        <v>DIJO</v>
      </c>
      <c r="G28" s="297" t="str">
        <f>VLOOKUP(Tableau25[[#This Row],[CA O&amp;M s/parc
BN 2023]],Tableau106[],7,FALSE)</f>
        <v>GROUPE</v>
      </c>
      <c r="H28" s="297" t="str">
        <f>VLOOKUP(Tableau25[[#This Row],[CA O&amp;M s/parc
BN 2023]],Tableau106[],6,FALSE)</f>
        <v>N</v>
      </c>
      <c r="I28" s="297" t="str">
        <f>VLOOKUP(Tableau25[[#This Row],[CA O&amp;M s/parc
BN 2023]],Tableau106[],9,FALSE)</f>
        <v>LoG</v>
      </c>
      <c r="J28" s="18">
        <v>15603</v>
      </c>
      <c r="K28" s="120">
        <v>51.622036000000001</v>
      </c>
      <c r="L28" s="13"/>
      <c r="M28" s="19">
        <v>805458.62770800001</v>
      </c>
    </row>
    <row r="29" spans="1:13">
      <c r="A29" s="301" t="s">
        <v>472</v>
      </c>
      <c r="B29" s="294" t="str">
        <f>VLOOKUP(Tableau25[[#This Row],[CA O&amp;M s/parc
BN 2023]],Tableau106[],3,FALSE)</f>
        <v>A257</v>
      </c>
      <c r="C29" s="294" t="str">
        <f>VLOOKUP(Tableau25[[#This Row],[CA O&amp;M s/parc
BN 2023]],Tableau106[],2,FALSE)</f>
        <v>FR71S06E</v>
      </c>
      <c r="D29" s="294" t="str">
        <f>VLOOKUP(Tableau25[[#This Row],[CA O&amp;M s/parc
BN 2023]],Tableau106[],8,FALSE)</f>
        <v>SOLAIRE</v>
      </c>
      <c r="E29" s="295">
        <f>VLOOKUP(Tableau25[[#This Row],[CA O&amp;M s/parc
BN 2023]],Tableau106[],4,FALSE)</f>
        <v>4.4000000000000004</v>
      </c>
      <c r="F29" s="296" t="str">
        <f>VLOOKUP(Tableau25[[#This Row],[CA O&amp;M s/parc
BN 2023]],Tableau106[],5,FALSE)</f>
        <v>CHAG</v>
      </c>
      <c r="G29" s="297" t="str">
        <f>VLOOKUP(Tableau25[[#This Row],[CA O&amp;M s/parc
BN 2023]],Tableau106[],7,FALSE)</f>
        <v>GROUPE</v>
      </c>
      <c r="H29" s="297" t="str">
        <f>VLOOKUP(Tableau25[[#This Row],[CA O&amp;M s/parc
BN 2023]],Tableau106[],6,FALSE)</f>
        <v>N</v>
      </c>
      <c r="I29" s="297" t="str">
        <f>VLOOKUP(Tableau25[[#This Row],[CA O&amp;M s/parc
BN 2023]],Tableau106[],9,FALSE)</f>
        <v>LoG</v>
      </c>
      <c r="J29" s="18">
        <v>4717.96</v>
      </c>
      <c r="K29" s="120">
        <v>75.927963999999989</v>
      </c>
      <c r="L29" s="13"/>
      <c r="M29" s="19">
        <v>358225.09703343996</v>
      </c>
    </row>
    <row r="30" spans="1:13">
      <c r="A30" s="301" t="s">
        <v>524</v>
      </c>
      <c r="B30" s="294" t="str">
        <f>VLOOKUP(Tableau25[[#This Row],[CA O&amp;M s/parc
BN 2023]],Tableau106[],3,FALSE)</f>
        <v>A419</v>
      </c>
      <c r="C30" s="294" t="str">
        <f>VLOOKUP(Tableau25[[#This Row],[CA O&amp;M s/parc
BN 2023]],Tableau106[],2,FALSE)</f>
        <v>FR02E02E</v>
      </c>
      <c r="D30" s="294" t="str">
        <f>VLOOKUP(Tableau25[[#This Row],[CA O&amp;M s/parc
BN 2023]],Tableau106[],8,FALSE)</f>
        <v>EOLIEN</v>
      </c>
      <c r="E30" s="295">
        <f>VLOOKUP(Tableau25[[#This Row],[CA O&amp;M s/parc
BN 2023]],Tableau106[],4,FALSE)</f>
        <v>72</v>
      </c>
      <c r="F30" s="296" t="str">
        <f>VLOOKUP(Tableau25[[#This Row],[CA O&amp;M s/parc
BN 2023]],Tableau106[],5,FALSE)</f>
        <v>CHPI</v>
      </c>
      <c r="G30" s="297" t="str">
        <f>VLOOKUP(Tableau25[[#This Row],[CA O&amp;M s/parc
BN 2023]],Tableau106[],7,FALSE)</f>
        <v>GROUPE</v>
      </c>
      <c r="H30" s="297" t="str">
        <f>VLOOKUP(Tableau25[[#This Row],[CA O&amp;M s/parc
BN 2023]],Tableau106[],6,FALSE)</f>
        <v>N</v>
      </c>
      <c r="I30" s="297" t="str">
        <f>VLOOKUP(Tableau25[[#This Row],[CA O&amp;M s/parc
BN 2023]],Tableau106[],9,FALSE)</f>
        <v>MéS</v>
      </c>
      <c r="J30" s="19">
        <v>141899.11895759965</v>
      </c>
      <c r="K30" s="120">
        <v>92.072290399999986</v>
      </c>
      <c r="L30" s="13"/>
      <c r="M30" s="19">
        <v>13064976.888168259</v>
      </c>
    </row>
    <row r="31" spans="1:13">
      <c r="A31" s="301" t="s">
        <v>538</v>
      </c>
      <c r="B31" s="294" t="str">
        <f>VLOOKUP(Tableau25[[#This Row],[CA O&amp;M s/parc
BN 2023]],Tableau106[],3,FALSE)</f>
        <v>A992</v>
      </c>
      <c r="C31" s="294" t="str">
        <f>VLOOKUP(Tableau25[[#This Row],[CA O&amp;M s/parc
BN 2023]],Tableau106[],2,FALSE)</f>
        <v>FR89E03E</v>
      </c>
      <c r="D31" s="294" t="str">
        <f>VLOOKUP(Tableau25[[#This Row],[CA O&amp;M s/parc
BN 2023]],Tableau106[],8,FALSE)</f>
        <v>EOLIEN</v>
      </c>
      <c r="E31" s="295">
        <f>VLOOKUP(Tableau25[[#This Row],[CA O&amp;M s/parc
BN 2023]],Tableau106[],4,FALSE)</f>
        <v>21.700000000000003</v>
      </c>
      <c r="F31" s="296" t="str">
        <f>VLOOKUP(Tableau25[[#This Row],[CA O&amp;M s/parc
BN 2023]],Tableau106[],5,FALSE)</f>
        <v>GOUR</v>
      </c>
      <c r="G31" s="297" t="str">
        <f>VLOOKUP(Tableau25[[#This Row],[CA O&amp;M s/parc
BN 2023]],Tableau106[],7,FALSE)</f>
        <v>GROUPE</v>
      </c>
      <c r="H31" s="297" t="str">
        <f>VLOOKUP(Tableau25[[#This Row],[CA O&amp;M s/parc
BN 2023]],Tableau106[],6,FALSE)</f>
        <v>N</v>
      </c>
      <c r="I31" s="297" t="str">
        <f>VLOOKUP(Tableau25[[#This Row],[CA O&amp;M s/parc
BN 2023]],Tableau106[],9,FALSE)</f>
        <v>LoH</v>
      </c>
      <c r="J31" s="19">
        <v>35523</v>
      </c>
      <c r="K31" s="120">
        <v>73.464046315789474</v>
      </c>
      <c r="L31" s="21"/>
      <c r="M31" s="23">
        <v>2609663.3172757896</v>
      </c>
    </row>
    <row r="32" spans="1:13">
      <c r="A32" s="301" t="s">
        <v>448</v>
      </c>
      <c r="B32" s="294" t="str">
        <f>VLOOKUP(Tableau25[[#This Row],[CA O&amp;M s/parc
BN 2023]],Tableau106[],3,FALSE)</f>
        <v>A099</v>
      </c>
      <c r="C32" s="294" t="str">
        <f>VLOOKUP(Tableau25[[#This Row],[CA O&amp;M s/parc
BN 2023]],Tableau106[],2,FALSE)</f>
        <v>FR28E96E</v>
      </c>
      <c r="D32" s="294" t="str">
        <f>VLOOKUP(Tableau25[[#This Row],[CA O&amp;M s/parc
BN 2023]],Tableau106[],8,FALSE)</f>
        <v>EOLIEN</v>
      </c>
      <c r="E32" s="295">
        <f>VLOOKUP(Tableau25[[#This Row],[CA O&amp;M s/parc
BN 2023]],Tableau106[],4,FALSE)</f>
        <v>52</v>
      </c>
      <c r="F32" s="296" t="str">
        <f>VLOOKUP(Tableau25[[#This Row],[CA O&amp;M s/parc
BN 2023]],Tableau106[],5,FALSE)</f>
        <v>CHAB</v>
      </c>
      <c r="G32" s="297" t="str">
        <f>VLOOKUP(Tableau25[[#This Row],[CA O&amp;M s/parc
BN 2023]],Tableau106[],7,FALSE)</f>
        <v>GROUPE</v>
      </c>
      <c r="H32" s="297" t="str">
        <f>VLOOKUP(Tableau25[[#This Row],[CA O&amp;M s/parc
BN 2023]],Tableau106[],6,FALSE)</f>
        <v>N</v>
      </c>
      <c r="I32" s="297" t="str">
        <f>VLOOKUP(Tableau25[[#This Row],[CA O&amp;M s/parc
BN 2023]],Tableau106[],9,FALSE)</f>
        <v>HuB</v>
      </c>
      <c r="J32" s="19">
        <v>131391.59172745241</v>
      </c>
      <c r="K32" s="120">
        <v>242.08800000000002</v>
      </c>
      <c r="L32" s="21"/>
      <c r="M32" s="23">
        <v>31808327.658115502</v>
      </c>
    </row>
    <row r="33" spans="1:13">
      <c r="A33" s="301" t="s">
        <v>92</v>
      </c>
      <c r="B33" s="294" t="str">
        <f>VLOOKUP(Tableau25[[#This Row],[CA O&amp;M s/parc
BN 2023]],Tableau106[],3,FALSE)</f>
        <v>F212</v>
      </c>
      <c r="C33" s="294" t="str">
        <f>VLOOKUP(Tableau25[[#This Row],[CA O&amp;M s/parc
BN 2023]],Tableau106[],2,FALSE)</f>
        <v>FR10E01E</v>
      </c>
      <c r="D33" s="294" t="str">
        <f>VLOOKUP(Tableau25[[#This Row],[CA O&amp;M s/parc
BN 2023]],Tableau106[],8,FALSE)</f>
        <v>EOLIEN</v>
      </c>
      <c r="E33" s="295">
        <f>VLOOKUP(Tableau25[[#This Row],[CA O&amp;M s/parc
BN 2023]],Tableau106[],4,FALSE)</f>
        <v>18</v>
      </c>
      <c r="F33" s="296" t="str">
        <f>VLOOKUP(Tableau25[[#This Row],[CA O&amp;M s/parc
BN 2023]],Tableau106[],5,FALSE)</f>
        <v>CPE1, CPE2</v>
      </c>
      <c r="G33" s="297" t="str">
        <f>VLOOKUP(Tableau25[[#This Row],[CA O&amp;M s/parc
BN 2023]],Tableau106[],7,FALSE)</f>
        <v>FUTUREN</v>
      </c>
      <c r="H33" s="297" t="str">
        <f>VLOOKUP(Tableau25[[#This Row],[CA O&amp;M s/parc
BN 2023]],Tableau106[],6,FALSE)</f>
        <v>N</v>
      </c>
      <c r="I33" s="297" t="str">
        <f>VLOOKUP(Tableau25[[#This Row],[CA O&amp;M s/parc
BN 2023]],Tableau106[],9,FALSE)</f>
        <v>AlY</v>
      </c>
      <c r="J33" s="19">
        <v>47133</v>
      </c>
      <c r="K33" s="120">
        <v>94.140360000000001</v>
      </c>
      <c r="L33" s="13"/>
      <c r="M33" s="19">
        <v>4437117.5878800005</v>
      </c>
    </row>
    <row r="34" spans="1:13">
      <c r="A34" s="301" t="s">
        <v>476</v>
      </c>
      <c r="B34" s="294" t="str">
        <f>VLOOKUP(Tableau25[[#This Row],[CA O&amp;M s/parc
BN 2023]],Tableau106[],3,FALSE)</f>
        <v>A290</v>
      </c>
      <c r="C34" s="294" t="str">
        <f>VLOOKUP(Tableau25[[#This Row],[CA O&amp;M s/parc
BN 2023]],Tableau106[],2,FALSE)</f>
        <v>FR86S03E</v>
      </c>
      <c r="D34" s="294" t="str">
        <f>VLOOKUP(Tableau25[[#This Row],[CA O&amp;M s/parc
BN 2023]],Tableau106[],8,FALSE)</f>
        <v>SOLAIRE</v>
      </c>
      <c r="E34" s="295">
        <f>VLOOKUP(Tableau25[[#This Row],[CA O&amp;M s/parc
BN 2023]],Tableau106[],4,FALSE)</f>
        <v>5.5</v>
      </c>
      <c r="F34" s="296" t="str">
        <f>VLOOKUP(Tableau25[[#This Row],[CA O&amp;M s/parc
BN 2023]],Tableau106[],5,FALSE)</f>
        <v>CIVA</v>
      </c>
      <c r="G34" s="297" t="str">
        <f>VLOOKUP(Tableau25[[#This Row],[CA O&amp;M s/parc
BN 2023]],Tableau106[],7,FALSE)</f>
        <v>GROUPE</v>
      </c>
      <c r="H34" s="297" t="str">
        <f>VLOOKUP(Tableau25[[#This Row],[CA O&amp;M s/parc
BN 2023]],Tableau106[],6,FALSE)</f>
        <v>N</v>
      </c>
      <c r="I34" s="297" t="str">
        <f>VLOOKUP(Tableau25[[#This Row],[CA O&amp;M s/parc
BN 2023]],Tableau106[],9,FALSE)</f>
        <v>ArB</v>
      </c>
      <c r="J34" s="19">
        <v>5941</v>
      </c>
      <c r="K34" s="120">
        <v>67.45</v>
      </c>
      <c r="L34" s="21"/>
      <c r="M34" s="23">
        <v>400720.45</v>
      </c>
    </row>
    <row r="35" spans="1:13">
      <c r="A35" s="301" t="s">
        <v>570</v>
      </c>
      <c r="B35" s="294" t="str">
        <f>VLOOKUP(Tableau25[[#This Row],[CA O&amp;M s/parc
BN 2023]],Tableau106[],3,FALSE)</f>
        <v>A532</v>
      </c>
      <c r="C35" s="294" t="str">
        <f>VLOOKUP(Tableau25[[#This Row],[CA O&amp;M s/parc
BN 2023]],Tableau106[],2,FALSE)</f>
        <v>FR51E03E</v>
      </c>
      <c r="D35" s="294" t="str">
        <f>VLOOKUP(Tableau25[[#This Row],[CA O&amp;M s/parc
BN 2023]],Tableau106[],8,FALSE)</f>
        <v>EOLIEN</v>
      </c>
      <c r="E35" s="295">
        <f>VLOOKUP(Tableau25[[#This Row],[CA O&amp;M s/parc
BN 2023]],Tableau106[],4,FALSE)</f>
        <v>10.02</v>
      </c>
      <c r="F35" s="296" t="str">
        <f>VLOOKUP(Tableau25[[#This Row],[CA O&amp;M s/parc
BN 2023]],Tableau106[],5,FALSE)</f>
        <v>CLAM</v>
      </c>
      <c r="G35" s="297" t="str">
        <f>VLOOKUP(Tableau25[[#This Row],[CA O&amp;M s/parc
BN 2023]],Tableau106[],7,FALSE)</f>
        <v>GROUPE</v>
      </c>
      <c r="H35" s="297" t="str">
        <f>VLOOKUP(Tableau25[[#This Row],[CA O&amp;M s/parc
BN 2023]],Tableau106[],6,FALSE)</f>
        <v>N</v>
      </c>
      <c r="I35" s="297" t="str">
        <f>VLOOKUP(Tableau25[[#This Row],[CA O&amp;M s/parc
BN 2023]],Tableau106[],9,FALSE)</f>
        <v>AyB</v>
      </c>
      <c r="J35" s="18">
        <v>17576.701385321012</v>
      </c>
      <c r="K35" s="120">
        <v>242.08800000000002</v>
      </c>
      <c r="L35" s="13"/>
      <c r="M35" s="19">
        <v>4255108.4849695936</v>
      </c>
    </row>
    <row r="36" spans="1:13">
      <c r="A36" s="301" t="s">
        <v>567</v>
      </c>
      <c r="B36" s="294" t="str">
        <f>VLOOKUP(Tableau25[[#This Row],[CA O&amp;M s/parc
BN 2023]],Tableau106[],3,FALSE)</f>
        <v>A532</v>
      </c>
      <c r="C36" s="294" t="str">
        <f>VLOOKUP(Tableau25[[#This Row],[CA O&amp;M s/parc
BN 2023]],Tableau106[],2,FALSE)</f>
        <v>FR51E04E</v>
      </c>
      <c r="D36" s="294" t="str">
        <f>VLOOKUP(Tableau25[[#This Row],[CA O&amp;M s/parc
BN 2023]],Tableau106[],8,FALSE)</f>
        <v>EOLIEN</v>
      </c>
      <c r="E36" s="295">
        <f>VLOOKUP(Tableau25[[#This Row],[CA O&amp;M s/parc
BN 2023]],Tableau106[],4,FALSE)</f>
        <v>4</v>
      </c>
      <c r="F36" s="296" t="str">
        <f>VLOOKUP(Tableau25[[#This Row],[CA O&amp;M s/parc
BN 2023]],Tableau106[],5,FALSE)</f>
        <v>CLA2</v>
      </c>
      <c r="G36" s="297" t="str">
        <f>VLOOKUP(Tableau25[[#This Row],[CA O&amp;M s/parc
BN 2023]],Tableau106[],7,FALSE)</f>
        <v>GROUPE</v>
      </c>
      <c r="H36" s="297" t="str">
        <f>VLOOKUP(Tableau25[[#This Row],[CA O&amp;M s/parc
BN 2023]],Tableau106[],6,FALSE)</f>
        <v>N</v>
      </c>
      <c r="I36" s="297" t="str">
        <f>VLOOKUP(Tableau25[[#This Row],[CA O&amp;M s/parc
BN 2023]],Tableau106[],9,FALSE)</f>
        <v>AyB</v>
      </c>
      <c r="J36" s="19">
        <v>8408.1621230526234</v>
      </c>
      <c r="K36" s="120">
        <v>94.580618400000006</v>
      </c>
      <c r="L36" s="13"/>
      <c r="M36" s="19">
        <v>795249.17320577404</v>
      </c>
    </row>
    <row r="37" spans="1:13">
      <c r="A37" s="301" t="s">
        <v>552</v>
      </c>
      <c r="B37" s="294" t="str">
        <f>VLOOKUP(Tableau25[[#This Row],[CA O&amp;M s/parc
BN 2023]],Tableau106[],3,FALSE)</f>
        <v>A535</v>
      </c>
      <c r="C37" s="294" t="str">
        <f>VLOOKUP(Tableau25[[#This Row],[CA O&amp;M s/parc
BN 2023]],Tableau106[],2,FALSE)</f>
        <v>FR02E10E</v>
      </c>
      <c r="D37" s="294" t="str">
        <f>VLOOKUP(Tableau25[[#This Row],[CA O&amp;M s/parc
BN 2023]],Tableau106[],8,FALSE)</f>
        <v>EOLIEN</v>
      </c>
      <c r="E37" s="295">
        <f>VLOOKUP(Tableau25[[#This Row],[CA O&amp;M s/parc
BN 2023]],Tableau106[],4,FALSE)</f>
        <v>15</v>
      </c>
      <c r="F37" s="296" t="str">
        <f>VLOOKUP(Tableau25[[#This Row],[CA O&amp;M s/parc
BN 2023]],Tableau106[],5,FALSE)</f>
        <v>CLAN</v>
      </c>
      <c r="G37" s="297" t="str">
        <f>VLOOKUP(Tableau25[[#This Row],[CA O&amp;M s/parc
BN 2023]],Tableau106[],7,FALSE)</f>
        <v>FUTUREN</v>
      </c>
      <c r="H37" s="297" t="str">
        <f>VLOOKUP(Tableau25[[#This Row],[CA O&amp;M s/parc
BN 2023]],Tableau106[],6,FALSE)</f>
        <v>N</v>
      </c>
      <c r="I37" s="297" t="str">
        <f>VLOOKUP(Tableau25[[#This Row],[CA O&amp;M s/parc
BN 2023]],Tableau106[],9,FALSE)</f>
        <v>NiL</v>
      </c>
      <c r="J37" s="19">
        <v>32865.960956057839</v>
      </c>
      <c r="K37" s="120">
        <v>90.808759199999997</v>
      </c>
      <c r="L37" s="21"/>
      <c r="M37" s="23">
        <v>2984517.134335258</v>
      </c>
    </row>
    <row r="38" spans="1:13">
      <c r="A38" s="301" t="s">
        <v>468</v>
      </c>
      <c r="B38" s="294" t="str">
        <f>VLOOKUP(Tableau25[[#This Row],[CA O&amp;M s/parc
BN 2023]],Tableau106[],3,FALSE)</f>
        <v>A893</v>
      </c>
      <c r="C38" s="294" t="str">
        <f>VLOOKUP(Tableau25[[#This Row],[CA O&amp;M s/parc
BN 2023]],Tableau106[],2,FALSE)</f>
        <v>FR50E99E</v>
      </c>
      <c r="D38" s="294" t="str">
        <f>VLOOKUP(Tableau25[[#This Row],[CA O&amp;M s/parc
BN 2023]],Tableau106[],8,FALSE)</f>
        <v>EOLIEN</v>
      </c>
      <c r="E38" s="295">
        <f>VLOOKUP(Tableau25[[#This Row],[CA O&amp;M s/parc
BN 2023]],Tableau106[],4,FALSE)</f>
        <v>3.3</v>
      </c>
      <c r="F38" s="296" t="str">
        <f>VLOOKUP(Tableau25[[#This Row],[CA O&amp;M s/parc
BN 2023]],Tableau106[],5,FALSE)</f>
        <v>CLIT</v>
      </c>
      <c r="G38" s="297" t="str">
        <f>VLOOKUP(Tableau25[[#This Row],[CA O&amp;M s/parc
BN 2023]],Tableau106[],7,FALSE)</f>
        <v>GROUPE</v>
      </c>
      <c r="H38" s="297" t="str">
        <f>VLOOKUP(Tableau25[[#This Row],[CA O&amp;M s/parc
BN 2023]],Tableau106[],6,FALSE)</f>
        <v>N</v>
      </c>
      <c r="I38" s="297" t="str">
        <f>VLOOKUP(Tableau25[[#This Row],[CA O&amp;M s/parc
BN 2023]],Tableau106[],9,FALSE)</f>
        <v>AnN</v>
      </c>
      <c r="J38" s="19">
        <v>5041.9243699999934</v>
      </c>
      <c r="K38" s="120">
        <v>58.48</v>
      </c>
      <c r="L38" s="13"/>
      <c r="M38" s="19">
        <v>294851.73715759959</v>
      </c>
    </row>
    <row r="39" spans="1:13">
      <c r="A39" s="301" t="s">
        <v>481</v>
      </c>
      <c r="B39" s="294" t="str">
        <f>VLOOKUP(Tableau25[[#This Row],[CA O&amp;M s/parc
BN 2023]],Tableau106[],3,FALSE)</f>
        <v>A313</v>
      </c>
      <c r="C39" s="294" t="str">
        <f>VLOOKUP(Tableau25[[#This Row],[CA O&amp;M s/parc
BN 2023]],Tableau106[],2,FALSE)</f>
        <v>FR21S03E</v>
      </c>
      <c r="D39" s="294" t="str">
        <f>VLOOKUP(Tableau25[[#This Row],[CA O&amp;M s/parc
BN 2023]],Tableau106[],8,FALSE)</f>
        <v>SOLAIRE</v>
      </c>
      <c r="E39" s="295">
        <f>VLOOKUP(Tableau25[[#This Row],[CA O&amp;M s/parc
BN 2023]],Tableau106[],4,FALSE)</f>
        <v>5</v>
      </c>
      <c r="F39" s="296" t="str">
        <f>VLOOKUP(Tableau25[[#This Row],[CA O&amp;M s/parc
BN 2023]],Tableau106[],5,FALSE)</f>
        <v>COLB</v>
      </c>
      <c r="G39" s="294" t="str">
        <f>VLOOKUP(Tableau25[[#This Row],[CA O&amp;M s/parc
BN 2023]],Tableau106[],7,FALSE)</f>
        <v>GROUPE</v>
      </c>
      <c r="H39" s="294" t="str">
        <f>VLOOKUP(Tableau25[[#This Row],[CA O&amp;M s/parc
BN 2023]],Tableau106[],6,FALSE)</f>
        <v>N</v>
      </c>
      <c r="I39" s="294" t="str">
        <f>VLOOKUP(Tableau25[[#This Row],[CA O&amp;M s/parc
BN 2023]],Tableau106[],9,FALSE)</f>
        <v>LoG</v>
      </c>
      <c r="J39" s="18">
        <v>5440</v>
      </c>
      <c r="K39" s="120">
        <v>69.509647999999999</v>
      </c>
      <c r="L39" s="13"/>
      <c r="M39" s="19">
        <v>378132.48511999997</v>
      </c>
    </row>
    <row r="40" spans="1:13">
      <c r="A40" s="301" t="s">
        <v>544</v>
      </c>
      <c r="B40" s="294" t="str">
        <f>VLOOKUP(Tableau25[[#This Row],[CA O&amp;M s/parc
BN 2023]],Tableau106[],3,FALSE)</f>
        <v>A958</v>
      </c>
      <c r="C40" s="294" t="str">
        <f>VLOOKUP(Tableau25[[#This Row],[CA O&amp;M s/parc
BN 2023]],Tableau106[],2,FALSE)</f>
        <v>FR11E92E</v>
      </c>
      <c r="D40" s="294" t="str">
        <f>VLOOKUP(Tableau25[[#This Row],[CA O&amp;M s/parc
BN 2023]],Tableau106[],8,FALSE)</f>
        <v>EOLIEN</v>
      </c>
      <c r="E40" s="295">
        <f>VLOOKUP(Tableau25[[#This Row],[CA O&amp;M s/parc
BN 2023]],Tableau106[],4,FALSE)</f>
        <v>9.1999999999999993</v>
      </c>
      <c r="F40" s="296" t="str">
        <f>VLOOKUP(Tableau25[[#This Row],[CA O&amp;M s/parc
BN 2023]],Tableau106[],5,FALSE)</f>
        <v>CONI</v>
      </c>
      <c r="G40" s="297" t="str">
        <f>VLOOKUP(Tableau25[[#This Row],[CA O&amp;M s/parc
BN 2023]],Tableau106[],7,FALSE)</f>
        <v>FUTUREN</v>
      </c>
      <c r="H40" s="297" t="str">
        <f>VLOOKUP(Tableau25[[#This Row],[CA O&amp;M s/parc
BN 2023]],Tableau106[],6,FALSE)</f>
        <v>S</v>
      </c>
      <c r="I40" s="297" t="str">
        <f>VLOOKUP(Tableau25[[#This Row],[CA O&amp;M s/parc
BN 2023]],Tableau106[],9,FALSE)</f>
        <v>StE</v>
      </c>
      <c r="J40" s="18">
        <v>32936</v>
      </c>
      <c r="K40" s="120">
        <v>94.675331199999988</v>
      </c>
      <c r="L40" s="13"/>
      <c r="M40" s="19">
        <v>3118226.7084031994</v>
      </c>
    </row>
    <row r="41" spans="1:13">
      <c r="A41" s="301" t="s">
        <v>580</v>
      </c>
      <c r="B41" s="294" t="str">
        <f>VLOOKUP(Tableau25[[#This Row],[CA O&amp;M s/parc
BN 2023]],Tableau106[],3,FALSE)</f>
        <v>A064</v>
      </c>
      <c r="C41" s="294" t="str">
        <f>VLOOKUP(Tableau25[[#This Row],[CA O&amp;M s/parc
BN 2023]],Tableau106[],2,FALSE)</f>
        <v>FR34E92E</v>
      </c>
      <c r="D41" s="294" t="str">
        <f>VLOOKUP(Tableau25[[#This Row],[CA O&amp;M s/parc
BN 2023]],Tableau106[],8,FALSE)</f>
        <v>EOLIEN</v>
      </c>
      <c r="E41" s="295">
        <f>VLOOKUP(Tableau25[[#This Row],[CA O&amp;M s/parc
BN 2023]],Tableau106[],4,FALSE)</f>
        <v>12</v>
      </c>
      <c r="F41" s="296" t="str">
        <f>VLOOKUP(Tableau25[[#This Row],[CA O&amp;M s/parc
BN 2023]],Tableau106[],5,FALSE)</f>
        <v>AUCO</v>
      </c>
      <c r="G41" s="297" t="str">
        <f>VLOOKUP(Tableau25[[#This Row],[CA O&amp;M s/parc
BN 2023]],Tableau106[],7,FALSE)</f>
        <v>GROUPE</v>
      </c>
      <c r="H41" s="297" t="str">
        <f>VLOOKUP(Tableau25[[#This Row],[CA O&amp;M s/parc
BN 2023]],Tableau106[],6,FALSE)</f>
        <v>S</v>
      </c>
      <c r="I41" s="297" t="str">
        <f>VLOOKUP(Tableau25[[#This Row],[CA O&amp;M s/parc
BN 2023]],Tableau106[],9,FALSE)</f>
        <v>KéD</v>
      </c>
      <c r="J41" s="18">
        <v>19377.153999999999</v>
      </c>
      <c r="K41" s="120">
        <v>53</v>
      </c>
      <c r="L41" s="13">
        <v>30000</v>
      </c>
      <c r="M41" s="19">
        <v>1026989.1619999999</v>
      </c>
    </row>
    <row r="42" spans="1:13">
      <c r="A42" s="301" t="s">
        <v>106</v>
      </c>
      <c r="B42" s="294" t="str">
        <f>VLOOKUP(Tableau25[[#This Row],[CA O&amp;M s/parc
BN 2023]],Tableau106[],3,FALSE)</f>
        <v>F069</v>
      </c>
      <c r="C42" s="294" t="str">
        <f>VLOOKUP(Tableau25[[#This Row],[CA O&amp;M s/parc
BN 2023]],Tableau106[],2,FALSE)</f>
        <v>FR20E01E</v>
      </c>
      <c r="D42" s="294" t="str">
        <f>VLOOKUP(Tableau25[[#This Row],[CA O&amp;M s/parc
BN 2023]],Tableau106[],8,FALSE)</f>
        <v>EOLIEN</v>
      </c>
      <c r="E42" s="295">
        <f>VLOOKUP(Tableau25[[#This Row],[CA O&amp;M s/parc
BN 2023]],Tableau106[],4,FALSE)</f>
        <v>6</v>
      </c>
      <c r="F42" s="296" t="str">
        <f>VLOOKUP(Tableau25[[#This Row],[CA O&amp;M s/parc
BN 2023]],Tableau106[],5,FALSE)</f>
        <v>CORS</v>
      </c>
      <c r="G42" s="297" t="str">
        <f>VLOOKUP(Tableau25[[#This Row],[CA O&amp;M s/parc
BN 2023]],Tableau106[],7,FALSE)</f>
        <v>FUTUREN</v>
      </c>
      <c r="H42" s="297" t="str">
        <f>VLOOKUP(Tableau25[[#This Row],[CA O&amp;M s/parc
BN 2023]],Tableau106[],6,FALSE)</f>
        <v>S</v>
      </c>
      <c r="I42" s="297" t="str">
        <f>VLOOKUP(Tableau25[[#This Row],[CA O&amp;M s/parc
BN 2023]],Tableau106[],9,FALSE)</f>
        <v>SaH</v>
      </c>
      <c r="J42" s="18">
        <v>11039</v>
      </c>
      <c r="K42" s="120">
        <v>75.249839999999992</v>
      </c>
      <c r="L42" s="13"/>
      <c r="M42" s="19">
        <v>830682.98375999986</v>
      </c>
    </row>
    <row r="43" spans="1:13">
      <c r="A43" s="301" t="s">
        <v>620</v>
      </c>
      <c r="B43" s="294" t="str">
        <f>VLOOKUP(Tableau25[[#This Row],[CA O&amp;M s/parc
BN 2023]],Tableau106[],3,FALSE)</f>
        <v>A541</v>
      </c>
      <c r="C43" s="294" t="str">
        <f>VLOOKUP(Tableau25[[#This Row],[CA O&amp;M s/parc
BN 2023]],Tableau106[],2,FALSE)</f>
        <v>FR55E02E</v>
      </c>
      <c r="D43" s="294" t="str">
        <f>VLOOKUP(Tableau25[[#This Row],[CA O&amp;M s/parc
BN 2023]],Tableau106[],8,FALSE)</f>
        <v>EOLIEN</v>
      </c>
      <c r="E43" s="295">
        <f>VLOOKUP(Tableau25[[#This Row],[CA O&amp;M s/parc
BN 2023]],Tableau106[],4,FALSE)</f>
        <v>12</v>
      </c>
      <c r="F43" s="296" t="str">
        <f>VLOOKUP(Tableau25[[#This Row],[CA O&amp;M s/parc
BN 2023]],Tableau106[],5,FALSE)</f>
        <v>COUR</v>
      </c>
      <c r="G43" s="297" t="str">
        <f>VLOOKUP(Tableau25[[#This Row],[CA O&amp;M s/parc
BN 2023]],Tableau106[],7,FALSE)</f>
        <v>EGM</v>
      </c>
      <c r="H43" s="297" t="str">
        <f>VLOOKUP(Tableau25[[#This Row],[CA O&amp;M s/parc
BN 2023]],Tableau106[],6,FALSE)</f>
        <v>N</v>
      </c>
      <c r="I43" s="297" t="str">
        <f>VLOOKUP(Tableau25[[#This Row],[CA O&amp;M s/parc
BN 2023]],Tableau106[],9,FALSE)</f>
        <v>BaB</v>
      </c>
      <c r="J43" s="18">
        <v>20935</v>
      </c>
      <c r="K43" s="120">
        <v>220.4796</v>
      </c>
      <c r="L43" s="13"/>
      <c r="M43" s="19">
        <v>4615740.426</v>
      </c>
    </row>
    <row r="44" spans="1:13">
      <c r="A44" s="301" t="s">
        <v>486</v>
      </c>
      <c r="B44" s="294" t="str">
        <f>VLOOKUP(Tableau25[[#This Row],[CA O&amp;M s/parc
BN 2023]],Tableau106[],3,FALSE)</f>
        <v>A290</v>
      </c>
      <c r="C44" s="294" t="str">
        <f>VLOOKUP(Tableau25[[#This Row],[CA O&amp;M s/parc
BN 2023]],Tableau106[],2,FALSE)</f>
        <v>FR38S07E</v>
      </c>
      <c r="D44" s="294" t="str">
        <f>VLOOKUP(Tableau25[[#This Row],[CA O&amp;M s/parc
BN 2023]],Tableau106[],8,FALSE)</f>
        <v>SOLAIRE</v>
      </c>
      <c r="E44" s="295">
        <f>VLOOKUP(Tableau25[[#This Row],[CA O&amp;M s/parc
BN 2023]],Tableau106[],4,FALSE)</f>
        <v>10.8</v>
      </c>
      <c r="F44" s="296" t="str">
        <f>VLOOKUP(Tableau25[[#This Row],[CA O&amp;M s/parc
BN 2023]],Tableau106[],5,FALSE)</f>
        <v>CRMA</v>
      </c>
      <c r="G44" s="297" t="str">
        <f>VLOOKUP(Tableau25[[#This Row],[CA O&amp;M s/parc
BN 2023]],Tableau106[],7,FALSE)</f>
        <v>GROUPE</v>
      </c>
      <c r="H44" s="297" t="str">
        <f>VLOOKUP(Tableau25[[#This Row],[CA O&amp;M s/parc
BN 2023]],Tableau106[],6,FALSE)</f>
        <v>S</v>
      </c>
      <c r="I44" s="297" t="str">
        <f>VLOOKUP(Tableau25[[#This Row],[CA O&amp;M s/parc
BN 2023]],Tableau106[],9,FALSE)</f>
        <v>ZaA</v>
      </c>
      <c r="J44" s="18">
        <v>11891</v>
      </c>
      <c r="K44" s="120">
        <v>57.724027999999997</v>
      </c>
      <c r="L44" s="13"/>
      <c r="M44" s="19">
        <v>686396.41694799997</v>
      </c>
    </row>
    <row r="45" spans="1:13">
      <c r="A45" s="301" t="s">
        <v>487</v>
      </c>
      <c r="B45" s="294" t="str">
        <f>VLOOKUP(Tableau25[[#This Row],[CA O&amp;M s/parc
BN 2023]],Tableau106[],3,FALSE)</f>
        <v>A385</v>
      </c>
      <c r="C45" s="294" t="str">
        <f>VLOOKUP(Tableau25[[#This Row],[CA O&amp;M s/parc
BN 2023]],Tableau106[],2,FALSE)</f>
        <v>FR28S02E</v>
      </c>
      <c r="D45" s="294" t="str">
        <f>VLOOKUP(Tableau25[[#This Row],[CA O&amp;M s/parc
BN 2023]],Tableau106[],8,FALSE)</f>
        <v>SOLAIRE</v>
      </c>
      <c r="E45" s="295">
        <f>VLOOKUP(Tableau25[[#This Row],[CA O&amp;M s/parc
BN 2023]],Tableau106[],4,FALSE)</f>
        <v>36</v>
      </c>
      <c r="F45" s="298" t="str">
        <f>VLOOKUP(Tableau25[[#This Row],[CA O&amp;M s/parc
BN 2023]],Tableau106[],5,FALSE)</f>
        <v>CY11, CY12, CY13</v>
      </c>
      <c r="G45" s="294" t="str">
        <f>VLOOKUP(Tableau25[[#This Row],[CA O&amp;M s/parc
BN 2023]],Tableau106[],7,FALSE)</f>
        <v>GROUPE</v>
      </c>
      <c r="H45" s="294" t="str">
        <f>VLOOKUP(Tableau25[[#This Row],[CA O&amp;M s/parc
BN 2023]],Tableau106[],6,FALSE)</f>
        <v>N</v>
      </c>
      <c r="I45" s="294" t="str">
        <f>VLOOKUP(Tableau25[[#This Row],[CA O&amp;M s/parc
BN 2023]],Tableau106[],9,FALSE)</f>
        <v>LoG</v>
      </c>
      <c r="J45" s="3">
        <v>39640.620076031999</v>
      </c>
      <c r="K45" s="120">
        <v>363.53169439999999</v>
      </c>
      <c r="L45" s="13"/>
      <c r="M45" s="19">
        <v>14410621.783306569</v>
      </c>
    </row>
    <row r="46" spans="1:13">
      <c r="A46" s="301" t="s">
        <v>118</v>
      </c>
      <c r="B46" s="294" t="str">
        <f>VLOOKUP(Tableau25[[#This Row],[CA O&amp;M s/parc
BN 2023]],Tableau106[],3,FALSE)</f>
        <v>F142</v>
      </c>
      <c r="C46" s="294" t="str">
        <f>VLOOKUP(Tableau25[[#This Row],[CA O&amp;M s/parc
BN 2023]],Tableau106[],2,FALSE)</f>
        <v>FR55E14E</v>
      </c>
      <c r="D46" s="294" t="str">
        <f>VLOOKUP(Tableau25[[#This Row],[CA O&amp;M s/parc
BN 2023]],Tableau106[],8,FALSE)</f>
        <v>EOLIEN</v>
      </c>
      <c r="E46" s="295">
        <f>VLOOKUP(Tableau25[[#This Row],[CA O&amp;M s/parc
BN 2023]],Tableau106[],4,FALSE)</f>
        <v>19.8</v>
      </c>
      <c r="F46" s="296" t="str">
        <f>VLOOKUP(Tableau25[[#This Row],[CA O&amp;M s/parc
BN 2023]],Tableau106[],5,FALSE)</f>
        <v>DEM1, DEM2</v>
      </c>
      <c r="G46" s="297" t="str">
        <f>VLOOKUP(Tableau25[[#This Row],[CA O&amp;M s/parc
BN 2023]],Tableau106[],7,FALSE)</f>
        <v>FUTUREN</v>
      </c>
      <c r="H46" s="297" t="str">
        <f>VLOOKUP(Tableau25[[#This Row],[CA O&amp;M s/parc
BN 2023]],Tableau106[],6,FALSE)</f>
        <v>N</v>
      </c>
      <c r="I46" s="297" t="str">
        <f>VLOOKUP(Tableau25[[#This Row],[CA O&amp;M s/parc
BN 2023]],Tableau106[],9,FALSE)</f>
        <v>NiL</v>
      </c>
      <c r="J46" s="19">
        <v>48082</v>
      </c>
      <c r="K46" s="120">
        <v>88.967584000000002</v>
      </c>
      <c r="L46" s="21"/>
      <c r="M46" s="23">
        <v>4277739.3738879999</v>
      </c>
    </row>
    <row r="47" spans="1:13">
      <c r="A47" s="302" t="s">
        <v>636</v>
      </c>
      <c r="B47" s="294" t="str">
        <f>VLOOKUP(Tableau25[[#This Row],[CA O&amp;M s/parc
BN 2023]],Tableau106[],3,FALSE)</f>
        <v>A955</v>
      </c>
      <c r="C47" s="294" t="str">
        <f>VLOOKUP(Tableau25[[#This Row],[CA O&amp;M s/parc
BN 2023]],Tableau106[],2,FALSE)</f>
        <v>FR01S08E</v>
      </c>
      <c r="D47" s="294" t="str">
        <f>VLOOKUP(Tableau25[[#This Row],[CA O&amp;M s/parc
BN 2023]],Tableau106[],8,FALSE)</f>
        <v>SOLAIRE</v>
      </c>
      <c r="E47" s="295">
        <f>VLOOKUP(Tableau25[[#This Row],[CA O&amp;M s/parc
BN 2023]],Tableau106[],4,FALSE)</f>
        <v>2.2000000000000002</v>
      </c>
      <c r="F47" s="296" t="str">
        <f>VLOOKUP(Tableau25[[#This Row],[CA O&amp;M s/parc
BN 2023]],Tableau106[],5,FALSE)</f>
        <v>DROM</v>
      </c>
      <c r="G47" s="297" t="str">
        <f>VLOOKUP(Tableau25[[#This Row],[CA O&amp;M s/parc
BN 2023]],Tableau106[],7,FALSE)</f>
        <v>GROUPE</v>
      </c>
      <c r="H47" s="297" t="str">
        <f>VLOOKUP(Tableau25[[#This Row],[CA O&amp;M s/parc
BN 2023]],Tableau106[],6,FALSE)</f>
        <v>S</v>
      </c>
      <c r="I47" s="297" t="e">
        <f>VLOOKUP(Tableau25[[#This Row],[CA O&amp;M s/parc
BN 2023]],Tableau106[],9,FALSE)</f>
        <v>#N/A</v>
      </c>
      <c r="J47" s="19">
        <v>0</v>
      </c>
      <c r="K47" s="120"/>
      <c r="L47" s="13"/>
      <c r="M47" s="19">
        <v>0</v>
      </c>
    </row>
    <row r="48" spans="1:13">
      <c r="A48" s="301" t="s">
        <v>541</v>
      </c>
      <c r="B48" s="294" t="str">
        <f>VLOOKUP(Tableau25[[#This Row],[CA O&amp;M s/parc
BN 2023]],Tableau106[],3,FALSE)</f>
        <v>A900</v>
      </c>
      <c r="C48" s="294" t="str">
        <f>VLOOKUP(Tableau25[[#This Row],[CA O&amp;M s/parc
BN 2023]],Tableau106[],2,FALSE)</f>
        <v>FR66E99E</v>
      </c>
      <c r="D48" s="294" t="str">
        <f>VLOOKUP(Tableau25[[#This Row],[CA O&amp;M s/parc
BN 2023]],Tableau106[],8,FALSE)</f>
        <v>EOLIEN</v>
      </c>
      <c r="E48" s="295">
        <f>VLOOKUP(Tableau25[[#This Row],[CA O&amp;M s/parc
BN 2023]],Tableau106[],4,FALSE)</f>
        <v>96</v>
      </c>
      <c r="F48" s="296" t="str">
        <f>VLOOKUP(Tableau25[[#This Row],[CA O&amp;M s/parc
BN 2023]],Tableau106[],5,FALSE)</f>
        <v>PEZI</v>
      </c>
      <c r="G48" s="297" t="str">
        <f>VLOOKUP(Tableau25[[#This Row],[CA O&amp;M s/parc
BN 2023]],Tableau106[],7,FALSE)</f>
        <v>GROUPE</v>
      </c>
      <c r="H48" s="297" t="str">
        <f>VLOOKUP(Tableau25[[#This Row],[CA O&amp;M s/parc
BN 2023]],Tableau106[],6,FALSE)</f>
        <v>S</v>
      </c>
      <c r="I48" s="297" t="str">
        <f>VLOOKUP(Tableau25[[#This Row],[CA O&amp;M s/parc
BN 2023]],Tableau106[],9,FALSE)</f>
        <v>PiM</v>
      </c>
      <c r="J48" s="18">
        <v>226668.70025000002</v>
      </c>
      <c r="K48" s="120">
        <v>94.716963199999995</v>
      </c>
      <c r="L48" s="13"/>
      <c r="M48" s="19">
        <v>21469370.940171082</v>
      </c>
    </row>
    <row r="49" spans="1:13">
      <c r="A49" s="301" t="s">
        <v>491</v>
      </c>
      <c r="B49" s="294" t="str">
        <f>VLOOKUP(Tableau25[[#This Row],[CA O&amp;M s/parc
BN 2023]],Tableau106[],3,FALSE)</f>
        <v>A266</v>
      </c>
      <c r="C49" s="294" t="str">
        <f>VLOOKUP(Tableau25[[#This Row],[CA O&amp;M s/parc
BN 2023]],Tableau106[],2,FALSE)</f>
        <v>FR71S05E</v>
      </c>
      <c r="D49" s="294" t="str">
        <f>VLOOKUP(Tableau25[[#This Row],[CA O&amp;M s/parc
BN 2023]],Tableau106[],8,FALSE)</f>
        <v>SOLAIRE</v>
      </c>
      <c r="E49" s="295">
        <f>VLOOKUP(Tableau25[[#This Row],[CA O&amp;M s/parc
BN 2023]],Tableau106[],4,FALSE)</f>
        <v>3.1</v>
      </c>
      <c r="F49" s="296" t="str">
        <f>VLOOKUP(Tableau25[[#This Row],[CA O&amp;M s/parc
BN 2023]],Tableau106[],5,FALSE)</f>
        <v>EPIN</v>
      </c>
      <c r="G49" s="297" t="str">
        <f>VLOOKUP(Tableau25[[#This Row],[CA O&amp;M s/parc
BN 2023]],Tableau106[],7,FALSE)</f>
        <v>GROUPE</v>
      </c>
      <c r="H49" s="297" t="str">
        <f>VLOOKUP(Tableau25[[#This Row],[CA O&amp;M s/parc
BN 2023]],Tableau106[],6,FALSE)</f>
        <v>N</v>
      </c>
      <c r="I49" s="297" t="str">
        <f>VLOOKUP(Tableau25[[#This Row],[CA O&amp;M s/parc
BN 2023]],Tableau106[],9,FALSE)</f>
        <v>LoG</v>
      </c>
      <c r="J49" s="19">
        <v>3119</v>
      </c>
      <c r="K49" s="120">
        <v>64.47999999999999</v>
      </c>
      <c r="L49" s="13"/>
      <c r="M49" s="19">
        <v>201113.11999999997</v>
      </c>
    </row>
    <row r="50" spans="1:13">
      <c r="A50" s="301" t="s">
        <v>506</v>
      </c>
      <c r="B50" s="294" t="str">
        <f>VLOOKUP(Tableau25[[#This Row],[CA O&amp;M s/parc
BN 2023]],Tableau106[],3,FALSE)</f>
        <v>A541</v>
      </c>
      <c r="C50" s="294" t="str">
        <f>VLOOKUP(Tableau25[[#This Row],[CA O&amp;M s/parc
BN 2023]],Tableau106[],2,FALSE)</f>
        <v>FR55E03E</v>
      </c>
      <c r="D50" s="294" t="str">
        <f>VLOOKUP(Tableau25[[#This Row],[CA O&amp;M s/parc
BN 2023]],Tableau106[],8,FALSE)</f>
        <v>EOLIEN</v>
      </c>
      <c r="E50" s="295">
        <f>VLOOKUP(Tableau25[[#This Row],[CA O&amp;M s/parc
BN 2023]],Tableau106[],4,FALSE)</f>
        <v>11.5</v>
      </c>
      <c r="F50" s="296" t="str">
        <f>VLOOKUP(Tableau25[[#This Row],[CA O&amp;M s/parc
BN 2023]],Tableau106[],5,FALSE)</f>
        <v>ERIZ</v>
      </c>
      <c r="G50" s="297" t="str">
        <f>VLOOKUP(Tableau25[[#This Row],[CA O&amp;M s/parc
BN 2023]],Tableau106[],7,FALSE)</f>
        <v>EGM</v>
      </c>
      <c r="H50" s="297" t="str">
        <f>VLOOKUP(Tableau25[[#This Row],[CA O&amp;M s/parc
BN 2023]],Tableau106[],6,FALSE)</f>
        <v>N</v>
      </c>
      <c r="I50" s="297" t="str">
        <f>VLOOKUP(Tableau25[[#This Row],[CA O&amp;M s/parc
BN 2023]],Tableau106[],9,FALSE)</f>
        <v>MaA</v>
      </c>
      <c r="J50" s="19">
        <v>18951</v>
      </c>
      <c r="K50" s="120">
        <v>220.4796</v>
      </c>
      <c r="L50" s="13"/>
      <c r="M50" s="19">
        <v>4178308.8996000001</v>
      </c>
    </row>
    <row r="51" spans="1:13">
      <c r="A51" s="301" t="s">
        <v>526</v>
      </c>
      <c r="B51" s="294" t="str">
        <f>VLOOKUP(Tableau25[[#This Row],[CA O&amp;M s/parc
BN 2023]],Tableau106[],3,FALSE)</f>
        <v>A967</v>
      </c>
      <c r="C51" s="294" t="str">
        <f>VLOOKUP(Tableau25[[#This Row],[CA O&amp;M s/parc
BN 2023]],Tableau106[],2,FALSE)</f>
        <v>FR28E97E</v>
      </c>
      <c r="D51" s="294" t="str">
        <f>VLOOKUP(Tableau25[[#This Row],[CA O&amp;M s/parc
BN 2023]],Tableau106[],8,FALSE)</f>
        <v>EOLIEN</v>
      </c>
      <c r="E51" s="295">
        <f>VLOOKUP(Tableau25[[#This Row],[CA O&amp;M s/parc
BN 2023]],Tableau106[],4,FALSE)</f>
        <v>17</v>
      </c>
      <c r="F51" s="296" t="str">
        <f>VLOOKUP(Tableau25[[#This Row],[CA O&amp;M s/parc
BN 2023]],Tableau106[],5,FALSE)</f>
        <v>ESPS</v>
      </c>
      <c r="G51" s="297" t="str">
        <f>VLOOKUP(Tableau25[[#This Row],[CA O&amp;M s/parc
BN 2023]],Tableau106[],7,FALSE)</f>
        <v>FUTUREN</v>
      </c>
      <c r="H51" s="297" t="str">
        <f>VLOOKUP(Tableau25[[#This Row],[CA O&amp;M s/parc
BN 2023]],Tableau106[],6,FALSE)</f>
        <v>N</v>
      </c>
      <c r="I51" s="297" t="str">
        <f>VLOOKUP(Tableau25[[#This Row],[CA O&amp;M s/parc
BN 2023]],Tableau106[],9,FALSE)</f>
        <v>AlY</v>
      </c>
      <c r="J51" s="19">
        <v>43854</v>
      </c>
      <c r="K51" s="120">
        <v>90.141606400000001</v>
      </c>
      <c r="L51" s="13"/>
      <c r="M51" s="19">
        <v>3953070.0070656002</v>
      </c>
    </row>
    <row r="52" spans="1:13">
      <c r="A52" s="301" t="s">
        <v>493</v>
      </c>
      <c r="B52" s="294" t="str">
        <f>VLOOKUP(Tableau25[[#This Row],[CA O&amp;M s/parc
BN 2023]],Tableau106[],3,FALSE)</f>
        <v>A353</v>
      </c>
      <c r="C52" s="294" t="str">
        <f>VLOOKUP(Tableau25[[#This Row],[CA O&amp;M s/parc
BN 2023]],Tableau106[],2,FALSE)</f>
        <v>FR13S08E</v>
      </c>
      <c r="D52" s="294" t="str">
        <f>VLOOKUP(Tableau25[[#This Row],[CA O&amp;M s/parc
BN 2023]],Tableau106[],8,FALSE)</f>
        <v>SOLAIRE</v>
      </c>
      <c r="E52" s="295">
        <f>VLOOKUP(Tableau25[[#This Row],[CA O&amp;M s/parc
BN 2023]],Tableau106[],4,FALSE)</f>
        <v>10.4</v>
      </c>
      <c r="F52" s="296" t="str">
        <f>VLOOKUP(Tableau25[[#This Row],[CA O&amp;M s/parc
BN 2023]],Tableau106[],5,FALSE)</f>
        <v>EYGU</v>
      </c>
      <c r="G52" s="297" t="str">
        <f>VLOOKUP(Tableau25[[#This Row],[CA O&amp;M s/parc
BN 2023]],Tableau106[],7,FALSE)</f>
        <v>GROUPE</v>
      </c>
      <c r="H52" s="297" t="str">
        <f>VLOOKUP(Tableau25[[#This Row],[CA O&amp;M s/parc
BN 2023]],Tableau106[],6,FALSE)</f>
        <v>S</v>
      </c>
      <c r="I52" s="297" t="str">
        <f>VLOOKUP(Tableau25[[#This Row],[CA O&amp;M s/parc
BN 2023]],Tableau106[],9,FALSE)</f>
        <v>ArB</v>
      </c>
      <c r="J52" s="19">
        <v>14747</v>
      </c>
      <c r="K52" s="120">
        <v>73.366759999999999</v>
      </c>
      <c r="L52" s="21"/>
      <c r="M52" s="23">
        <v>1081939.6097200001</v>
      </c>
    </row>
    <row r="53" spans="1:13">
      <c r="A53" s="301" t="s">
        <v>616</v>
      </c>
      <c r="B53" s="294" t="str">
        <f>VLOOKUP(Tableau25[[#This Row],[CA O&amp;M s/parc
BN 2023]],Tableau106[],3,FALSE)</f>
        <v>A895</v>
      </c>
      <c r="C53" s="294" t="str">
        <f>VLOOKUP(Tableau25[[#This Row],[CA O&amp;M s/parc
BN 2023]],Tableau106[],2,FALSE)</f>
        <v>FR76E99E</v>
      </c>
      <c r="D53" s="294" t="str">
        <f>VLOOKUP(Tableau25[[#This Row],[CA O&amp;M s/parc
BN 2023]],Tableau106[],8,FALSE)</f>
        <v>EOLIEN</v>
      </c>
      <c r="E53" s="295">
        <f>VLOOKUP(Tableau25[[#This Row],[CA O&amp;M s/parc
BN 2023]],Tableau106[],4,FALSE)</f>
        <v>4.5</v>
      </c>
      <c r="F53" s="296" t="str">
        <f>VLOOKUP(Tableau25[[#This Row],[CA O&amp;M s/parc
BN 2023]],Tableau106[],5,FALSE)</f>
        <v>FECA</v>
      </c>
      <c r="G53" s="297" t="str">
        <f>VLOOKUP(Tableau25[[#This Row],[CA O&amp;M s/parc
BN 2023]],Tableau106[],7,FALSE)</f>
        <v>GROUPE</v>
      </c>
      <c r="H53" s="297" t="str">
        <f>VLOOKUP(Tableau25[[#This Row],[CA O&amp;M s/parc
BN 2023]],Tableau106[],6,FALSE)</f>
        <v>N</v>
      </c>
      <c r="I53" s="297" t="str">
        <f>VLOOKUP(Tableau25[[#This Row],[CA O&amp;M s/parc
BN 2023]],Tableau106[],9,FALSE)</f>
        <v>AnN</v>
      </c>
      <c r="J53" s="19">
        <v>9794</v>
      </c>
      <c r="K53" s="120">
        <v>207.316</v>
      </c>
      <c r="L53" s="13"/>
      <c r="M53" s="19">
        <v>1951682.4951470022</v>
      </c>
    </row>
    <row r="54" spans="1:13">
      <c r="A54" s="301" t="s">
        <v>353</v>
      </c>
      <c r="B54" s="294" t="str">
        <f>VLOOKUP(Tableau25[[#This Row],[CA O&amp;M s/parc
BN 2023]],Tableau106[],3,FALSE)</f>
        <v>A257</v>
      </c>
      <c r="C54" s="294" t="str">
        <f>VLOOKUP(Tableau25[[#This Row],[CA O&amp;M s/parc
BN 2023]],Tableau106[],2,FALSE)</f>
        <v>FR11S06E</v>
      </c>
      <c r="D54" s="294" t="str">
        <f>VLOOKUP(Tableau25[[#This Row],[CA O&amp;M s/parc
BN 2023]],Tableau106[],8,FALSE)</f>
        <v>SOLAIRE</v>
      </c>
      <c r="E54" s="295">
        <f>VLOOKUP(Tableau25[[#This Row],[CA O&amp;M s/parc
BN 2023]],Tableau106[],4,FALSE)</f>
        <v>4.5999999999999996</v>
      </c>
      <c r="F54" s="296" t="str">
        <f>VLOOKUP(Tableau25[[#This Row],[CA O&amp;M s/parc
BN 2023]],Tableau106[],5,FALSE)</f>
        <v>STPA</v>
      </c>
      <c r="G54" s="297" t="str">
        <f>VLOOKUP(Tableau25[[#This Row],[CA O&amp;M s/parc
BN 2023]],Tableau106[],7,FALSE)</f>
        <v>GROUPE</v>
      </c>
      <c r="H54" s="297" t="str">
        <f>VLOOKUP(Tableau25[[#This Row],[CA O&amp;M s/parc
BN 2023]],Tableau106[],6,FALSE)</f>
        <v>S</v>
      </c>
      <c r="I54" s="297" t="str">
        <f>VLOOKUP(Tableau25[[#This Row],[CA O&amp;M s/parc
BN 2023]],Tableau106[],9,FALSE)</f>
        <v>BaA</v>
      </c>
      <c r="J54" s="19">
        <v>5447.9769999999999</v>
      </c>
      <c r="K54" s="120">
        <v>74.264712000000003</v>
      </c>
      <c r="L54" s="21"/>
      <c r="M54" s="23">
        <v>404592.44288762403</v>
      </c>
    </row>
    <row r="55" spans="1:13">
      <c r="A55" s="301" t="s">
        <v>586</v>
      </c>
      <c r="B55" s="294" t="str">
        <f>VLOOKUP(Tableau25[[#This Row],[CA O&amp;M s/parc
BN 2023]],Tableau106[],3,FALSE)</f>
        <v>A053</v>
      </c>
      <c r="C55" s="294" t="str">
        <f>VLOOKUP(Tableau25[[#This Row],[CA O&amp;M s/parc
BN 2023]],Tableau106[],2,FALSE)</f>
        <v>FR62E99E</v>
      </c>
      <c r="D55" s="294" t="str">
        <f>VLOOKUP(Tableau25[[#This Row],[CA O&amp;M s/parc
BN 2023]],Tableau106[],8,FALSE)</f>
        <v>EOLIEN</v>
      </c>
      <c r="E55" s="295">
        <f>VLOOKUP(Tableau25[[#This Row],[CA O&amp;M s/parc
BN 2023]],Tableau106[],4,FALSE)</f>
        <v>11.5</v>
      </c>
      <c r="F55" s="296" t="str">
        <f>VLOOKUP(Tableau25[[#This Row],[CA O&amp;M s/parc
BN 2023]],Tableau106[],5,FALSE)</f>
        <v>FIEN</v>
      </c>
      <c r="G55" s="297" t="str">
        <f>VLOOKUP(Tableau25[[#This Row],[CA O&amp;M s/parc
BN 2023]],Tableau106[],7,FALSE)</f>
        <v>GROUPE</v>
      </c>
      <c r="H55" s="297" t="str">
        <f>VLOOKUP(Tableau25[[#This Row],[CA O&amp;M s/parc
BN 2023]],Tableau106[],6,FALSE)</f>
        <v>N</v>
      </c>
      <c r="I55" s="297" t="str">
        <f>VLOOKUP(Tableau25[[#This Row],[CA O&amp;M s/parc
BN 2023]],Tableau106[],9,FALSE)</f>
        <v>MéS</v>
      </c>
      <c r="J55" s="19">
        <v>29262.612392842053</v>
      </c>
      <c r="K55" s="120">
        <v>99.501520799999994</v>
      </c>
      <c r="L55" s="21"/>
      <c r="M55" s="23">
        <v>2911674.4356687111</v>
      </c>
    </row>
    <row r="56" spans="1:13">
      <c r="A56" s="301" t="s">
        <v>484</v>
      </c>
      <c r="B56" s="294" t="str">
        <f>VLOOKUP(Tableau25[[#This Row],[CA O&amp;M s/parc
BN 2023]],Tableau106[],3,FALSE)</f>
        <v>A542</v>
      </c>
      <c r="C56" s="294" t="str">
        <f>VLOOKUP(Tableau25[[#This Row],[CA O&amp;M s/parc
BN 2023]],Tableau106[],2,FALSE)</f>
        <v>FR11E03E</v>
      </c>
      <c r="D56" s="294" t="str">
        <f>VLOOKUP(Tableau25[[#This Row],[CA O&amp;M s/parc
BN 2023]],Tableau106[],8,FALSE)</f>
        <v>EOLIEN</v>
      </c>
      <c r="E56" s="295">
        <f>VLOOKUP(Tableau25[[#This Row],[CA O&amp;M s/parc
BN 2023]],Tableau106[],4,FALSE)</f>
        <v>11.7</v>
      </c>
      <c r="F56" s="296" t="str">
        <f>VLOOKUP(Tableau25[[#This Row],[CA O&amp;M s/parc
BN 2023]],Tableau106[],5,FALSE)</f>
        <v>FITO</v>
      </c>
      <c r="G56" s="297" t="str">
        <f>VLOOKUP(Tableau25[[#This Row],[CA O&amp;M s/parc
BN 2023]],Tableau106[],7,FALSE)</f>
        <v>EGM</v>
      </c>
      <c r="H56" s="297" t="str">
        <f>VLOOKUP(Tableau25[[#This Row],[CA O&amp;M s/parc
BN 2023]],Tableau106[],6,FALSE)</f>
        <v>S</v>
      </c>
      <c r="I56" s="297" t="str">
        <f>VLOOKUP(Tableau25[[#This Row],[CA O&amp;M s/parc
BN 2023]],Tableau106[],9,FALSE)</f>
        <v>StE</v>
      </c>
      <c r="J56" s="18">
        <v>21714</v>
      </c>
      <c r="K56" s="120">
        <v>50</v>
      </c>
      <c r="L56" s="13"/>
      <c r="M56" s="19">
        <v>1085700</v>
      </c>
    </row>
    <row r="57" spans="1:13">
      <c r="A57" s="301" t="s">
        <v>496</v>
      </c>
      <c r="B57" s="294" t="str">
        <f>VLOOKUP(Tableau25[[#This Row],[CA O&amp;M s/parc
BN 2023]],Tableau106[],3,FALSE)</f>
        <v>F032</v>
      </c>
      <c r="C57" s="294" t="str">
        <f>VLOOKUP(Tableau25[[#This Row],[CA O&amp;M s/parc
BN 2023]],Tableau106[],2,FALSE)</f>
        <v>FR80E96E</v>
      </c>
      <c r="D57" s="294" t="str">
        <f>VLOOKUP(Tableau25[[#This Row],[CA O&amp;M s/parc
BN 2023]],Tableau106[],8,FALSE)</f>
        <v>EOLIEN</v>
      </c>
      <c r="E57" s="295">
        <f>VLOOKUP(Tableau25[[#This Row],[CA O&amp;M s/parc
BN 2023]],Tableau106[],4,FALSE)</f>
        <v>10</v>
      </c>
      <c r="F57" s="296" t="str">
        <f>VLOOKUP(Tableau25[[#This Row],[CA O&amp;M s/parc
BN 2023]],Tableau106[],5,FALSE)</f>
        <v>CEFF</v>
      </c>
      <c r="G57" s="297" t="str">
        <f>VLOOKUP(Tableau25[[#This Row],[CA O&amp;M s/parc
BN 2023]],Tableau106[],7,FALSE)</f>
        <v>FUTUREN</v>
      </c>
      <c r="H57" s="297" t="str">
        <f>VLOOKUP(Tableau25[[#This Row],[CA O&amp;M s/parc
BN 2023]],Tableau106[],6,FALSE)</f>
        <v>N</v>
      </c>
      <c r="I57" s="297" t="str">
        <f>VLOOKUP(Tableau25[[#This Row],[CA O&amp;M s/parc
BN 2023]],Tableau106[],9,FALSE)</f>
        <v>NiD</v>
      </c>
      <c r="J57" s="19">
        <v>18809.854801010468</v>
      </c>
      <c r="K57" s="120">
        <v>45</v>
      </c>
      <c r="L57" s="13"/>
      <c r="M57" s="19">
        <v>846443.46604547102</v>
      </c>
    </row>
    <row r="58" spans="1:13">
      <c r="A58" s="301" t="s">
        <v>507</v>
      </c>
      <c r="B58" s="294" t="str">
        <f>VLOOKUP(Tableau25[[#This Row],[CA O&amp;M s/parc
BN 2023]],Tableau106[],3,FALSE)</f>
        <v>A286</v>
      </c>
      <c r="C58" s="294" t="str">
        <f>VLOOKUP(Tableau25[[#This Row],[CA O&amp;M s/parc
BN 2023]],Tableau106[],2,FALSE)</f>
        <v>FR28E03E</v>
      </c>
      <c r="D58" s="294" t="str">
        <f>VLOOKUP(Tableau25[[#This Row],[CA O&amp;M s/parc
BN 2023]],Tableau106[],8,FALSE)</f>
        <v>EOLIEN</v>
      </c>
      <c r="E58" s="295">
        <f>VLOOKUP(Tableau25[[#This Row],[CA O&amp;M s/parc
BN 2023]],Tableau106[],4,FALSE)</f>
        <v>13.2</v>
      </c>
      <c r="F58" s="296" t="str">
        <f>VLOOKUP(Tableau25[[#This Row],[CA O&amp;M s/parc
BN 2023]],Tableau106[],5,FALSE)</f>
        <v>FOGU</v>
      </c>
      <c r="G58" s="297" t="str">
        <f>VLOOKUP(Tableau25[[#This Row],[CA O&amp;M s/parc
BN 2023]],Tableau106[],7,FALSE)</f>
        <v>GROUPE</v>
      </c>
      <c r="H58" s="297" t="str">
        <f>VLOOKUP(Tableau25[[#This Row],[CA O&amp;M s/parc
BN 2023]],Tableau106[],6,FALSE)</f>
        <v>N</v>
      </c>
      <c r="I58" s="297" t="str">
        <f>VLOOKUP(Tableau25[[#This Row],[CA O&amp;M s/parc
BN 2023]],Tableau106[],9,FALSE)</f>
        <v>NiL</v>
      </c>
      <c r="J58" s="19">
        <v>27256</v>
      </c>
      <c r="K58" s="120">
        <v>78.148467999999994</v>
      </c>
      <c r="L58" s="21"/>
      <c r="M58" s="23">
        <v>2130014.6438079998</v>
      </c>
    </row>
    <row r="59" spans="1:13">
      <c r="A59" s="301" t="s">
        <v>498</v>
      </c>
      <c r="B59" s="294" t="str">
        <f>VLOOKUP(Tableau25[[#This Row],[CA O&amp;M s/parc
BN 2023]],Tableau106[],3,FALSE)</f>
        <v>A037</v>
      </c>
      <c r="C59" s="294" t="str">
        <f>VLOOKUP(Tableau25[[#This Row],[CA O&amp;M s/parc
BN 2023]],Tableau106[],2,FALSE)</f>
        <v>FR13S15E</v>
      </c>
      <c r="D59" s="294" t="str">
        <f>VLOOKUP(Tableau25[[#This Row],[CA O&amp;M s/parc
BN 2023]],Tableau106[],8,FALSE)</f>
        <v>SOLAIRE</v>
      </c>
      <c r="E59" s="295">
        <f>VLOOKUP(Tableau25[[#This Row],[CA O&amp;M s/parc
BN 2023]],Tableau106[],4,FALSE)</f>
        <v>11.9</v>
      </c>
      <c r="F59" s="296" t="str">
        <f>VLOOKUP(Tableau25[[#This Row],[CA O&amp;M s/parc
BN 2023]],Tableau106[],5,FALSE)</f>
        <v>FOST</v>
      </c>
      <c r="G59" s="297" t="str">
        <f>VLOOKUP(Tableau25[[#This Row],[CA O&amp;M s/parc
BN 2023]],Tableau106[],7,FALSE)</f>
        <v>GROUPE</v>
      </c>
      <c r="H59" s="297" t="str">
        <f>VLOOKUP(Tableau25[[#This Row],[CA O&amp;M s/parc
BN 2023]],Tableau106[],6,FALSE)</f>
        <v>S</v>
      </c>
      <c r="I59" s="297" t="str">
        <f>VLOOKUP(Tableau25[[#This Row],[CA O&amp;M s/parc
BN 2023]],Tableau106[],9,FALSE)</f>
        <v>ArB</v>
      </c>
      <c r="J59" s="19">
        <v>11284</v>
      </c>
      <c r="K59" s="120">
        <v>62.701296000000006</v>
      </c>
      <c r="L59" s="21"/>
      <c r="M59" s="23">
        <v>707521.42406400002</v>
      </c>
    </row>
    <row r="60" spans="1:13">
      <c r="A60" s="301" t="s">
        <v>581</v>
      </c>
      <c r="B60" s="294" t="str">
        <f>VLOOKUP(Tableau25[[#This Row],[CA O&amp;M s/parc
BN 2023]],Tableau106[],3,FALSE)</f>
        <v>A063</v>
      </c>
      <c r="C60" s="294" t="str">
        <f>VLOOKUP(Tableau25[[#This Row],[CA O&amp;M s/parc
BN 2023]],Tableau106[],2,FALSE)</f>
        <v>FR34E85E</v>
      </c>
      <c r="D60" s="294" t="str">
        <f>VLOOKUP(Tableau25[[#This Row],[CA O&amp;M s/parc
BN 2023]],Tableau106[],8,FALSE)</f>
        <v>EOLIEN</v>
      </c>
      <c r="E60" s="295">
        <f>VLOOKUP(Tableau25[[#This Row],[CA O&amp;M s/parc
BN 2023]],Tableau106[],4,FALSE)</f>
        <v>11.5</v>
      </c>
      <c r="F60" s="296" t="str">
        <f>VLOOKUP(Tableau25[[#This Row],[CA O&amp;M s/parc
BN 2023]],Tableau106[],5,FALSE)</f>
        <v>FRA1</v>
      </c>
      <c r="G60" s="297" t="str">
        <f>VLOOKUP(Tableau25[[#This Row],[CA O&amp;M s/parc
BN 2023]],Tableau106[],7,FALSE)</f>
        <v>FUTUREN</v>
      </c>
      <c r="H60" s="297" t="str">
        <f>VLOOKUP(Tableau25[[#This Row],[CA O&amp;M s/parc
BN 2023]],Tableau106[],6,FALSE)</f>
        <v>S</v>
      </c>
      <c r="I60" s="297" t="str">
        <f>VLOOKUP(Tableau25[[#This Row],[CA O&amp;M s/parc
BN 2023]],Tableau106[],9,FALSE)</f>
        <v>OdP</v>
      </c>
      <c r="J60" s="19">
        <v>44056</v>
      </c>
      <c r="K60" s="120">
        <v>242.08800000000002</v>
      </c>
      <c r="L60" s="13"/>
      <c r="M60" s="19">
        <v>10665428.928000001</v>
      </c>
    </row>
    <row r="61" spans="1:13">
      <c r="A61" s="301" t="s">
        <v>515</v>
      </c>
      <c r="B61" s="294" t="str">
        <f>VLOOKUP(Tableau25[[#This Row],[CA O&amp;M s/parc
BN 2023]],Tableau106[],3,FALSE)</f>
        <v>A894</v>
      </c>
      <c r="C61" s="294" t="str">
        <f>VLOOKUP(Tableau25[[#This Row],[CA O&amp;M s/parc
BN 2023]],Tableau106[],2,FALSE)</f>
        <v>FR07E99E</v>
      </c>
      <c r="D61" s="294" t="str">
        <f>VLOOKUP(Tableau25[[#This Row],[CA O&amp;M s/parc
BN 2023]],Tableau106[],8,FALSE)</f>
        <v>EOLIEN</v>
      </c>
      <c r="E61" s="295">
        <f>VLOOKUP(Tableau25[[#This Row],[CA O&amp;M s/parc
BN 2023]],Tableau106[],4,FALSE)</f>
        <v>10</v>
      </c>
      <c r="F61" s="296" t="str">
        <f>VLOOKUP(Tableau25[[#This Row],[CA O&amp;M s/parc
BN 2023]],Tableau106[],5,FALSE)</f>
        <v>FREY</v>
      </c>
      <c r="G61" s="297" t="str">
        <f>VLOOKUP(Tableau25[[#This Row],[CA O&amp;M s/parc
BN 2023]],Tableau106[],7,FALSE)</f>
        <v>GROUPE</v>
      </c>
      <c r="H61" s="297" t="str">
        <f>VLOOKUP(Tableau25[[#This Row],[CA O&amp;M s/parc
BN 2023]],Tableau106[],6,FALSE)</f>
        <v>S</v>
      </c>
      <c r="I61" s="297" t="str">
        <f>VLOOKUP(Tableau25[[#This Row],[CA O&amp;M s/parc
BN 2023]],Tableau106[],9,FALSE)</f>
        <v>ThC</v>
      </c>
      <c r="J61" s="19">
        <v>28572.981846153845</v>
      </c>
      <c r="K61" s="120">
        <v>49.25</v>
      </c>
      <c r="L61" s="21"/>
      <c r="M61" s="23">
        <v>1407219.3559230769</v>
      </c>
    </row>
    <row r="62" spans="1:13">
      <c r="A62" s="301" t="s">
        <v>500</v>
      </c>
      <c r="B62" s="294" t="str">
        <f>VLOOKUP(Tableau25[[#This Row],[CA O&amp;M s/parc
BN 2023]],Tableau106[],3,FALSE)</f>
        <v>A191</v>
      </c>
      <c r="C62" s="294" t="str">
        <f>VLOOKUP(Tableau25[[#This Row],[CA O&amp;M s/parc
BN 2023]],Tableau106[],2,FALSE)</f>
        <v>FR40S04E</v>
      </c>
      <c r="D62" s="294" t="str">
        <f>VLOOKUP(Tableau25[[#This Row],[CA O&amp;M s/parc
BN 2023]],Tableau106[],8,FALSE)</f>
        <v>SOLAIRE</v>
      </c>
      <c r="E62" s="295">
        <f>VLOOKUP(Tableau25[[#This Row],[CA O&amp;M s/parc
BN 2023]],Tableau106[],4,FALSE)</f>
        <v>11.9</v>
      </c>
      <c r="F62" s="296" t="str">
        <f>VLOOKUP(Tableau25[[#This Row],[CA O&amp;M s/parc
BN 2023]],Tableau106[],5,FALSE)</f>
        <v>GAB1</v>
      </c>
      <c r="G62" s="297" t="str">
        <f>VLOOKUP(Tableau25[[#This Row],[CA O&amp;M s/parc
BN 2023]],Tableau106[],7,FALSE)</f>
        <v>GROUPE</v>
      </c>
      <c r="H62" s="297" t="str">
        <f>VLOOKUP(Tableau25[[#This Row],[CA O&amp;M s/parc
BN 2023]],Tableau106[],6,FALSE)</f>
        <v>S</v>
      </c>
      <c r="I62" s="297" t="str">
        <f>VLOOKUP(Tableau25[[#This Row],[CA O&amp;M s/parc
BN 2023]],Tableau106[],9,FALSE)</f>
        <v>BaA</v>
      </c>
      <c r="J62" s="19">
        <v>12111</v>
      </c>
      <c r="K62" s="120">
        <v>385.15844799999996</v>
      </c>
      <c r="L62" s="21"/>
      <c r="M62" s="23">
        <v>4664653.9637279995</v>
      </c>
    </row>
    <row r="63" spans="1:13">
      <c r="A63" s="301" t="s">
        <v>501</v>
      </c>
      <c r="B63" s="294" t="str">
        <f>VLOOKUP(Tableau25[[#This Row],[CA O&amp;M s/parc
BN 2023]],Tableau106[],3,FALSE)</f>
        <v>A194</v>
      </c>
      <c r="C63" s="294" t="str">
        <f>VLOOKUP(Tableau25[[#This Row],[CA O&amp;M s/parc
BN 2023]],Tableau106[],2,FALSE)</f>
        <v>FR40S07E</v>
      </c>
      <c r="D63" s="294" t="str">
        <f>VLOOKUP(Tableau25[[#This Row],[CA O&amp;M s/parc
BN 2023]],Tableau106[],8,FALSE)</f>
        <v>SOLAIRE</v>
      </c>
      <c r="E63" s="295">
        <f>VLOOKUP(Tableau25[[#This Row],[CA O&amp;M s/parc
BN 2023]],Tableau106[],4,FALSE)</f>
        <v>11.89</v>
      </c>
      <c r="F63" s="296" t="str">
        <f>VLOOKUP(Tableau25[[#This Row],[CA O&amp;M s/parc
BN 2023]],Tableau106[],5,FALSE)</f>
        <v>GAB4</v>
      </c>
      <c r="G63" s="297" t="str">
        <f>VLOOKUP(Tableau25[[#This Row],[CA O&amp;M s/parc
BN 2023]],Tableau106[],7,FALSE)</f>
        <v>GROUPE</v>
      </c>
      <c r="H63" s="297" t="str">
        <f>VLOOKUP(Tableau25[[#This Row],[CA O&amp;M s/parc
BN 2023]],Tableau106[],6,FALSE)</f>
        <v>S</v>
      </c>
      <c r="I63" s="297" t="str">
        <f>VLOOKUP(Tableau25[[#This Row],[CA O&amp;M s/parc
BN 2023]],Tableau106[],9,FALSE)</f>
        <v>BaA</v>
      </c>
      <c r="J63" s="18">
        <v>12466</v>
      </c>
      <c r="K63" s="120">
        <v>385.03875599999998</v>
      </c>
      <c r="L63" s="13"/>
      <c r="M63" s="19">
        <v>4799893.1322959997</v>
      </c>
    </row>
    <row r="64" spans="1:13">
      <c r="A64" s="301" t="s">
        <v>502</v>
      </c>
      <c r="B64" s="294" t="str">
        <f>VLOOKUP(Tableau25[[#This Row],[CA O&amp;M s/parc
BN 2023]],Tableau106[],3,FALSE)</f>
        <v>A197</v>
      </c>
      <c r="C64" s="294" t="str">
        <f>VLOOKUP(Tableau25[[#This Row],[CA O&amp;M s/parc
BN 2023]],Tableau106[],2,FALSE)</f>
        <v>FR40S10E</v>
      </c>
      <c r="D64" s="294" t="str">
        <f>VLOOKUP(Tableau25[[#This Row],[CA O&amp;M s/parc
BN 2023]],Tableau106[],8,FALSE)</f>
        <v>SOLAIRE</v>
      </c>
      <c r="E64" s="295">
        <f>VLOOKUP(Tableau25[[#This Row],[CA O&amp;M s/parc
BN 2023]],Tableau106[],4,FALSE)</f>
        <v>2.89</v>
      </c>
      <c r="F64" s="296" t="str">
        <f>VLOOKUP(Tableau25[[#This Row],[CA O&amp;M s/parc
BN 2023]],Tableau106[],5,FALSE)</f>
        <v>GAB7</v>
      </c>
      <c r="G64" s="297" t="str">
        <f>VLOOKUP(Tableau25[[#This Row],[CA O&amp;M s/parc
BN 2023]],Tableau106[],7,FALSE)</f>
        <v>GROUPE</v>
      </c>
      <c r="H64" s="297" t="str">
        <f>VLOOKUP(Tableau25[[#This Row],[CA O&amp;M s/parc
BN 2023]],Tableau106[],6,FALSE)</f>
        <v>S</v>
      </c>
      <c r="I64" s="297" t="str">
        <f>VLOOKUP(Tableau25[[#This Row],[CA O&amp;M s/parc
BN 2023]],Tableau106[],9,FALSE)</f>
        <v>BaA</v>
      </c>
      <c r="J64" s="18">
        <v>2825</v>
      </c>
      <c r="K64" s="120">
        <v>371.9101048</v>
      </c>
      <c r="L64" s="13"/>
      <c r="M64" s="19">
        <v>1050646.0460600001</v>
      </c>
    </row>
    <row r="65" spans="1:13">
      <c r="A65" s="301" t="s">
        <v>503</v>
      </c>
      <c r="B65" s="294" t="str">
        <f>VLOOKUP(Tableau25[[#This Row],[CA O&amp;M s/parc
BN 2023]],Tableau106[],3,FALSE)</f>
        <v>A139</v>
      </c>
      <c r="C65" s="294" t="str">
        <f>VLOOKUP(Tableau25[[#This Row],[CA O&amp;M s/parc
BN 2023]],Tableau106[],2,FALSE)</f>
        <v>FR40S99E</v>
      </c>
      <c r="D65" s="294" t="str">
        <f>VLOOKUP(Tableau25[[#This Row],[CA O&amp;M s/parc
BN 2023]],Tableau106[],8,FALSE)</f>
        <v>SOLAIRE</v>
      </c>
      <c r="E65" s="295">
        <f>VLOOKUP(Tableau25[[#This Row],[CA O&amp;M s/parc
BN 2023]],Tableau106[],4,FALSE)</f>
        <v>1.998</v>
      </c>
      <c r="F65" s="296" t="str">
        <f>VLOOKUP(Tableau25[[#This Row],[CA O&amp;M s/parc
BN 2023]],Tableau106[],5,FALSE)</f>
        <v>GABT</v>
      </c>
      <c r="G65" s="294" t="str">
        <f>VLOOKUP(Tableau25[[#This Row],[CA O&amp;M s/parc
BN 2023]],Tableau106[],7,FALSE)</f>
        <v>GROUPE</v>
      </c>
      <c r="H65" s="294" t="str">
        <f>VLOOKUP(Tableau25[[#This Row],[CA O&amp;M s/parc
BN 2023]],Tableau106[],6,FALSE)</f>
        <v>S</v>
      </c>
      <c r="I65" s="294" t="str">
        <f>VLOOKUP(Tableau25[[#This Row],[CA O&amp;M s/parc
BN 2023]],Tableau106[],9,FALSE)</f>
        <v>BaA</v>
      </c>
      <c r="J65" s="19">
        <v>2737</v>
      </c>
      <c r="K65" s="120">
        <v>383.25482479999999</v>
      </c>
      <c r="L65" s="13"/>
      <c r="M65" s="19">
        <v>1048968.4554776</v>
      </c>
    </row>
    <row r="66" spans="1:13">
      <c r="A66" s="301" t="s">
        <v>155</v>
      </c>
      <c r="B66" s="294" t="str">
        <f>VLOOKUP(Tableau25[[#This Row],[CA O&amp;M s/parc
BN 2023]],Tableau106[],3,FALSE)</f>
        <v>F239</v>
      </c>
      <c r="C66" s="294" t="str">
        <f>VLOOKUP(Tableau25[[#This Row],[CA O&amp;M s/parc
BN 2023]],Tableau106[],2,FALSE)</f>
        <v>FR28E91E</v>
      </c>
      <c r="D66" s="294" t="str">
        <f>VLOOKUP(Tableau25[[#This Row],[CA O&amp;M s/parc
BN 2023]],Tableau106[],8,FALSE)</f>
        <v>EOLIEN</v>
      </c>
      <c r="E66" s="295">
        <f>VLOOKUP(Tableau25[[#This Row],[CA O&amp;M s/parc
BN 2023]],Tableau106[],4,FALSE)</f>
        <v>18.399999999999999</v>
      </c>
      <c r="F66" s="296" t="str">
        <f>VLOOKUP(Tableau25[[#This Row],[CA O&amp;M s/parc
BN 2023]],Tableau106[],5,FALSE)</f>
        <v>GAR1, GAR2</v>
      </c>
      <c r="G66" s="297" t="str">
        <f>VLOOKUP(Tableau25[[#This Row],[CA O&amp;M s/parc
BN 2023]],Tableau106[],7,FALSE)</f>
        <v>FUTUREN</v>
      </c>
      <c r="H66" s="297" t="str">
        <f>VLOOKUP(Tableau25[[#This Row],[CA O&amp;M s/parc
BN 2023]],Tableau106[],6,FALSE)</f>
        <v>N</v>
      </c>
      <c r="I66" s="297" t="str">
        <f>VLOOKUP(Tableau25[[#This Row],[CA O&amp;M s/parc
BN 2023]],Tableau106[],9,FALSE)</f>
        <v>NoS</v>
      </c>
      <c r="J66" s="18">
        <v>38297</v>
      </c>
      <c r="K66" s="120">
        <v>99.771087999999992</v>
      </c>
      <c r="L66" s="13"/>
      <c r="M66" s="19">
        <v>3820933.3571359995</v>
      </c>
    </row>
    <row r="67" spans="1:13">
      <c r="A67" s="301" t="s">
        <v>505</v>
      </c>
      <c r="B67" s="294" t="str">
        <f>VLOOKUP(Tableau25[[#This Row],[CA O&amp;M s/parc
BN 2023]],Tableau106[],3,FALSE)</f>
        <v>A237</v>
      </c>
      <c r="C67" s="294" t="str">
        <f>VLOOKUP(Tableau25[[#This Row],[CA O&amp;M s/parc
BN 2023]],Tableau106[],2,FALSE)</f>
        <v>FR23S01E</v>
      </c>
      <c r="D67" s="294" t="str">
        <f>VLOOKUP(Tableau25[[#This Row],[CA O&amp;M s/parc
BN 2023]],Tableau106[],8,FALSE)</f>
        <v>SOLAIRE</v>
      </c>
      <c r="E67" s="295">
        <f>VLOOKUP(Tableau25[[#This Row],[CA O&amp;M s/parc
BN 2023]],Tableau106[],4,FALSE)</f>
        <v>14.7</v>
      </c>
      <c r="F67" s="296" t="str">
        <f>VLOOKUP(Tableau25[[#This Row],[CA O&amp;M s/parc
BN 2023]],Tableau106[],5,FALSE)</f>
        <v>GDGT</v>
      </c>
      <c r="G67" s="297" t="str">
        <f>VLOOKUP(Tableau25[[#This Row],[CA O&amp;M s/parc
BN 2023]],Tableau106[],7,FALSE)</f>
        <v>GROUPE</v>
      </c>
      <c r="H67" s="297" t="str">
        <f>VLOOKUP(Tableau25[[#This Row],[CA O&amp;M s/parc
BN 2023]],Tableau106[],6,FALSE)</f>
        <v>S</v>
      </c>
      <c r="I67" s="297" t="str">
        <f>VLOOKUP(Tableau25[[#This Row],[CA O&amp;M s/parc
BN 2023]],Tableau106[],9,FALSE)</f>
        <v>ArB</v>
      </c>
      <c r="J67" s="19">
        <v>15730</v>
      </c>
      <c r="K67" s="120">
        <v>60.364823199999996</v>
      </c>
      <c r="L67" s="13"/>
      <c r="M67" s="19">
        <v>949538.66893599997</v>
      </c>
    </row>
    <row r="68" spans="1:13">
      <c r="A68" s="301" t="s">
        <v>565</v>
      </c>
      <c r="B68" s="294" t="str">
        <f>VLOOKUP(Tableau25[[#This Row],[CA O&amp;M s/parc
BN 2023]],Tableau106[],3,FALSE)</f>
        <v>A540</v>
      </c>
      <c r="C68" s="294" t="str">
        <f>VLOOKUP(Tableau25[[#This Row],[CA O&amp;M s/parc
BN 2023]],Tableau106[],2,FALSE)</f>
        <v>FR56E02E</v>
      </c>
      <c r="D68" s="294" t="str">
        <f>VLOOKUP(Tableau25[[#This Row],[CA O&amp;M s/parc
BN 2023]],Tableau106[],8,FALSE)</f>
        <v>EOLIEN</v>
      </c>
      <c r="E68" s="295">
        <f>VLOOKUP(Tableau25[[#This Row],[CA O&amp;M s/parc
BN 2023]],Tableau106[],4,FALSE)</f>
        <v>12</v>
      </c>
      <c r="F68" s="296" t="str">
        <f>VLOOKUP(Tableau25[[#This Row],[CA O&amp;M s/parc
BN 2023]],Tableau106[],5,FALSE)</f>
        <v>GRPL</v>
      </c>
      <c r="G68" s="297" t="str">
        <f>VLOOKUP(Tableau25[[#This Row],[CA O&amp;M s/parc
BN 2023]],Tableau106[],7,FALSE)</f>
        <v>EGM</v>
      </c>
      <c r="H68" s="297" t="str">
        <f>VLOOKUP(Tableau25[[#This Row],[CA O&amp;M s/parc
BN 2023]],Tableau106[],6,FALSE)</f>
        <v>N</v>
      </c>
      <c r="I68" s="297" t="str">
        <f>VLOOKUP(Tableau25[[#This Row],[CA O&amp;M s/parc
BN 2023]],Tableau106[],9,FALSE)</f>
        <v>MaA</v>
      </c>
      <c r="J68" s="19">
        <v>21290.716</v>
      </c>
      <c r="K68" s="120">
        <v>103.25568639999999</v>
      </c>
      <c r="L68" s="13"/>
      <c r="M68" s="19">
        <v>2198387.4945274624</v>
      </c>
    </row>
    <row r="69" spans="1:13">
      <c r="A69" s="301" t="s">
        <v>467</v>
      </c>
      <c r="B69" s="294" t="str">
        <f>VLOOKUP(Tableau25[[#This Row],[CA O&amp;M s/parc
BN 2023]],Tableau106[],3,FALSE)</f>
        <v>A420</v>
      </c>
      <c r="C69" s="294" t="str">
        <f>VLOOKUP(Tableau25[[#This Row],[CA O&amp;M s/parc
BN 2023]],Tableau106[],2,FALSE)</f>
        <v>FR28E02E</v>
      </c>
      <c r="D69" s="294" t="str">
        <f>VLOOKUP(Tableau25[[#This Row],[CA O&amp;M s/parc
BN 2023]],Tableau106[],8,FALSE)</f>
        <v>EOLIEN</v>
      </c>
      <c r="E69" s="295">
        <f>VLOOKUP(Tableau25[[#This Row],[CA O&amp;M s/parc
BN 2023]],Tableau106[],4,FALSE)</f>
        <v>17.7</v>
      </c>
      <c r="F69" s="296" t="str">
        <f>VLOOKUP(Tableau25[[#This Row],[CA O&amp;M s/parc
BN 2023]],Tableau106[],5,FALSE)</f>
        <v>GUIL</v>
      </c>
      <c r="G69" s="297" t="str">
        <f>VLOOKUP(Tableau25[[#This Row],[CA O&amp;M s/parc
BN 2023]],Tableau106[],7,FALSE)</f>
        <v>GROUPE</v>
      </c>
      <c r="H69" s="297" t="str">
        <f>VLOOKUP(Tableau25[[#This Row],[CA O&amp;M s/parc
BN 2023]],Tableau106[],6,FALSE)</f>
        <v>N</v>
      </c>
      <c r="I69" s="297" t="str">
        <f>VLOOKUP(Tableau25[[#This Row],[CA O&amp;M s/parc
BN 2023]],Tableau106[],9,FALSE)</f>
        <v>AlY</v>
      </c>
      <c r="J69" s="19">
        <v>43476.001153263103</v>
      </c>
      <c r="K69" s="120">
        <v>89.255179972881365</v>
      </c>
      <c r="L69" s="21"/>
      <c r="M69" s="23">
        <v>3880458.307435696</v>
      </c>
    </row>
    <row r="70" spans="1:13">
      <c r="A70" s="301" t="s">
        <v>547</v>
      </c>
      <c r="B70" s="294" t="str">
        <f>VLOOKUP(Tableau25[[#This Row],[CA O&amp;M s/parc
BN 2023]],Tableau106[],3,FALSE)</f>
        <v>F168</v>
      </c>
      <c r="C70" s="294" t="str">
        <f>VLOOKUP(Tableau25[[#This Row],[CA O&amp;M s/parc
BN 2023]],Tableau106[],2,FALSE)</f>
        <v>FR80E91E</v>
      </c>
      <c r="D70" s="294" t="str">
        <f>VLOOKUP(Tableau25[[#This Row],[CA O&amp;M s/parc
BN 2023]],Tableau106[],8,FALSE)</f>
        <v>EOLIEN</v>
      </c>
      <c r="E70" s="295">
        <f>VLOOKUP(Tableau25[[#This Row],[CA O&amp;M s/parc
BN 2023]],Tableau106[],4,FALSE)</f>
        <v>21</v>
      </c>
      <c r="F70" s="296" t="str">
        <f>VLOOKUP(Tableau25[[#This Row],[CA O&amp;M s/parc
BN 2023]],Tableau106[],5,FALSE)</f>
        <v>HAB1, HAB2</v>
      </c>
      <c r="G70" s="297" t="str">
        <f>VLOOKUP(Tableau25[[#This Row],[CA O&amp;M s/parc
BN 2023]],Tableau106[],7,FALSE)</f>
        <v>FUTUREN</v>
      </c>
      <c r="H70" s="297" t="str">
        <f>VLOOKUP(Tableau25[[#This Row],[CA O&amp;M s/parc
BN 2023]],Tableau106[],6,FALSE)</f>
        <v>N</v>
      </c>
      <c r="I70" s="297" t="str">
        <f>VLOOKUP(Tableau25[[#This Row],[CA O&amp;M s/parc
BN 2023]],Tableau106[],9,FALSE)</f>
        <v>NiD</v>
      </c>
      <c r="J70" s="18">
        <v>43975</v>
      </c>
      <c r="K70" s="120">
        <v>94.110176800000005</v>
      </c>
      <c r="L70" s="13"/>
      <c r="M70" s="19">
        <v>4138495.0247800001</v>
      </c>
    </row>
    <row r="71" spans="1:13">
      <c r="A71" s="301" t="s">
        <v>477</v>
      </c>
      <c r="B71" s="294" t="str">
        <f>VLOOKUP(Tableau25[[#This Row],[CA O&amp;M s/parc
BN 2023]],Tableau106[],3,FALSE)</f>
        <v>A531</v>
      </c>
      <c r="C71" s="294" t="str">
        <f>VLOOKUP(Tableau25[[#This Row],[CA O&amp;M s/parc
BN 2023]],Tableau106[],2,FALSE)</f>
        <v>FR62E01E</v>
      </c>
      <c r="D71" s="294" t="str">
        <f>VLOOKUP(Tableau25[[#This Row],[CA O&amp;M s/parc
BN 2023]],Tableau106[],8,FALSE)</f>
        <v>EOLIEN</v>
      </c>
      <c r="E71" s="295">
        <f>VLOOKUP(Tableau25[[#This Row],[CA O&amp;M s/parc
BN 2023]],Tableau106[],4,FALSE)</f>
        <v>6</v>
      </c>
      <c r="F71" s="296" t="str">
        <f>VLOOKUP(Tableau25[[#This Row],[CA O&amp;M s/parc
BN 2023]],Tableau106[],5,FALSE)</f>
        <v>HENI</v>
      </c>
      <c r="G71" s="297" t="str">
        <f>VLOOKUP(Tableau25[[#This Row],[CA O&amp;M s/parc
BN 2023]],Tableau106[],7,FALSE)</f>
        <v>GROUPE</v>
      </c>
      <c r="H71" s="297" t="str">
        <f>VLOOKUP(Tableau25[[#This Row],[CA O&amp;M s/parc
BN 2023]],Tableau106[],6,FALSE)</f>
        <v>N</v>
      </c>
      <c r="I71" s="297" t="str">
        <f>VLOOKUP(Tableau25[[#This Row],[CA O&amp;M s/parc
BN 2023]],Tableau106[],9,FALSE)</f>
        <v>NiL</v>
      </c>
      <c r="J71" s="19">
        <v>13663.93483699999</v>
      </c>
      <c r="K71" s="120">
        <v>99.173668800000002</v>
      </c>
      <c r="L71" s="13"/>
      <c r="M71" s="19">
        <v>1355102.548029419</v>
      </c>
    </row>
    <row r="72" spans="1:13" s="6" customFormat="1">
      <c r="A72" s="301" t="s">
        <v>443</v>
      </c>
      <c r="B72" s="294" t="str">
        <f>VLOOKUP(Tableau25[[#This Row],[CA O&amp;M s/parc
BN 2023]],Tableau106[],3,FALSE)</f>
        <v>A051</v>
      </c>
      <c r="C72" s="294" t="str">
        <f>VLOOKUP(Tableau25[[#This Row],[CA O&amp;M s/parc
BN 2023]],Tableau106[],2,FALSE)</f>
        <v>FR85E99E</v>
      </c>
      <c r="D72" s="294" t="str">
        <f>VLOOKUP(Tableau25[[#This Row],[CA O&amp;M s/parc
BN 2023]],Tableau106[],8,FALSE)</f>
        <v>EOLIEN</v>
      </c>
      <c r="E72" s="295">
        <f>VLOOKUP(Tableau25[[#This Row],[CA O&amp;M s/parc
BN 2023]],Tableau106[],4,FALSE)</f>
        <v>12</v>
      </c>
      <c r="F72" s="296" t="str">
        <f>VLOOKUP(Tableau25[[#This Row],[CA O&amp;M s/parc
BN 2023]],Tableau106[],5,FALSE)</f>
        <v>JADE</v>
      </c>
      <c r="G72" s="297" t="str">
        <f>VLOOKUP(Tableau25[[#This Row],[CA O&amp;M s/parc
BN 2023]],Tableau106[],7,FALSE)</f>
        <v>GROUPE</v>
      </c>
      <c r="H72" s="297" t="str">
        <f>VLOOKUP(Tableau25[[#This Row],[CA O&amp;M s/parc
BN 2023]],Tableau106[],6,FALSE)</f>
        <v>N</v>
      </c>
      <c r="I72" s="297" t="str">
        <f>VLOOKUP(Tableau25[[#This Row],[CA O&amp;M s/parc
BN 2023]],Tableau106[],9,FALSE)</f>
        <v>AyB</v>
      </c>
      <c r="J72" s="19">
        <v>19555</v>
      </c>
      <c r="K72" s="120">
        <v>242.08800000000002</v>
      </c>
      <c r="L72" s="21"/>
      <c r="M72" s="23">
        <v>4734030.8400000008</v>
      </c>
    </row>
    <row r="73" spans="1:13">
      <c r="A73" s="301" t="s">
        <v>464</v>
      </c>
      <c r="B73" s="294" t="str">
        <f>VLOOKUP(Tableau25[[#This Row],[CA O&amp;M s/parc
BN 2023]],Tableau106[],3,FALSE)</f>
        <v>A281</v>
      </c>
      <c r="C73" s="294" t="str">
        <f>VLOOKUP(Tableau25[[#This Row],[CA O&amp;M s/parc
BN 2023]],Tableau106[],2,FALSE)</f>
        <v>FR86E05E</v>
      </c>
      <c r="D73" s="294" t="str">
        <f>VLOOKUP(Tableau25[[#This Row],[CA O&amp;M s/parc
BN 2023]],Tableau106[],8,FALSE)</f>
        <v>EOLIEN</v>
      </c>
      <c r="E73" s="295">
        <f>VLOOKUP(Tableau25[[#This Row],[CA O&amp;M s/parc
BN 2023]],Tableau106[],4,FALSE)</f>
        <v>15</v>
      </c>
      <c r="F73" s="296" t="str">
        <f>VLOOKUP(Tableau25[[#This Row],[CA O&amp;M s/parc
BN 2023]],Tableau106[],5,FALSE)</f>
        <v>JAVI</v>
      </c>
      <c r="G73" s="297" t="str">
        <f>VLOOKUP(Tableau25[[#This Row],[CA O&amp;M s/parc
BN 2023]],Tableau106[],7,FALSE)</f>
        <v>PARTNER</v>
      </c>
      <c r="H73" s="297" t="str">
        <f>VLOOKUP(Tableau25[[#This Row],[CA O&amp;M s/parc
BN 2023]],Tableau106[],6,FALSE)</f>
        <v>S</v>
      </c>
      <c r="I73" s="297" t="str">
        <f>VLOOKUP(Tableau25[[#This Row],[CA O&amp;M s/parc
BN 2023]],Tableau106[],9,FALSE)</f>
        <v>PiM</v>
      </c>
      <c r="J73" s="19">
        <v>30370.7</v>
      </c>
      <c r="K73" s="120">
        <v>76.965710800000011</v>
      </c>
      <c r="L73" s="21"/>
      <c r="M73" s="23">
        <v>2337502.5129935602</v>
      </c>
    </row>
    <row r="74" spans="1:13">
      <c r="A74" s="301" t="s">
        <v>549</v>
      </c>
      <c r="B74" s="294" t="str">
        <f>VLOOKUP(Tableau25[[#This Row],[CA O&amp;M s/parc
BN 2023]],Tableau106[],3,FALSE)</f>
        <v>F156</v>
      </c>
      <c r="C74" s="294" t="str">
        <f>VLOOKUP(Tableau25[[#This Row],[CA O&amp;M s/parc
BN 2023]],Tableau106[],2,FALSE)</f>
        <v>FR34E10E</v>
      </c>
      <c r="D74" s="294" t="str">
        <f>VLOOKUP(Tableau25[[#This Row],[CA O&amp;M s/parc
BN 2023]],Tableau106[],8,FALSE)</f>
        <v>EOLIEN</v>
      </c>
      <c r="E74" s="295">
        <f>VLOOKUP(Tableau25[[#This Row],[CA O&amp;M s/parc
BN 2023]],Tableau106[],4,FALSE)</f>
        <v>6.3</v>
      </c>
      <c r="F74" s="296" t="str">
        <f>VLOOKUP(Tableau25[[#This Row],[CA O&amp;M s/parc
BN 2023]],Tableau106[],5,FALSE)</f>
        <v>JON2</v>
      </c>
      <c r="G74" s="297" t="str">
        <f>VLOOKUP(Tableau25[[#This Row],[CA O&amp;M s/parc
BN 2023]],Tableau106[],7,FALSE)</f>
        <v>FUTUREN</v>
      </c>
      <c r="H74" s="297" t="str">
        <f>VLOOKUP(Tableau25[[#This Row],[CA O&amp;M s/parc
BN 2023]],Tableau106[],6,FALSE)</f>
        <v>S</v>
      </c>
      <c r="I74" s="297" t="str">
        <f>VLOOKUP(Tableau25[[#This Row],[CA O&amp;M s/parc
BN 2023]],Tableau106[],9,FALSE)</f>
        <v>KéC</v>
      </c>
      <c r="J74" s="19">
        <v>11211</v>
      </c>
      <c r="K74" s="120">
        <v>91.417636000000002</v>
      </c>
      <c r="L74" s="13"/>
      <c r="M74" s="19">
        <v>1024883.1171960001</v>
      </c>
    </row>
    <row r="75" spans="1:13">
      <c r="A75" s="301" t="s">
        <v>558</v>
      </c>
      <c r="B75" s="294" t="str">
        <f>VLOOKUP(Tableau25[[#This Row],[CA O&amp;M s/parc
BN 2023]],Tableau106[],3,FALSE)</f>
        <v>A540</v>
      </c>
      <c r="C75" s="294" t="str">
        <f>VLOOKUP(Tableau25[[#This Row],[CA O&amp;M s/parc
BN 2023]],Tableau106[],2,FALSE)</f>
        <v>FR56E01E</v>
      </c>
      <c r="D75" s="294" t="str">
        <f>VLOOKUP(Tableau25[[#This Row],[CA O&amp;M s/parc
BN 2023]],Tableau106[],8,FALSE)</f>
        <v>EOLIEN</v>
      </c>
      <c r="E75" s="295">
        <f>VLOOKUP(Tableau25[[#This Row],[CA O&amp;M s/parc
BN 2023]],Tableau106[],4,FALSE)</f>
        <v>12</v>
      </c>
      <c r="F75" s="296" t="str">
        <f>VLOOKUP(Tableau25[[#This Row],[CA O&amp;M s/parc
BN 2023]],Tableau106[],5,FALSE)</f>
        <v>LBDF</v>
      </c>
      <c r="G75" s="297" t="str">
        <f>VLOOKUP(Tableau25[[#This Row],[CA O&amp;M s/parc
BN 2023]],Tableau106[],7,FALSE)</f>
        <v>EGM</v>
      </c>
      <c r="H75" s="297" t="str">
        <f>VLOOKUP(Tableau25[[#This Row],[CA O&amp;M s/parc
BN 2023]],Tableau106[],6,FALSE)</f>
        <v>N</v>
      </c>
      <c r="I75" s="297" t="str">
        <f>VLOOKUP(Tableau25[[#This Row],[CA O&amp;M s/parc
BN 2023]],Tableau106[],9,FALSE)</f>
        <v>BoK</v>
      </c>
      <c r="J75" s="18">
        <v>17780</v>
      </c>
      <c r="K75" s="120">
        <v>242.08800000000002</v>
      </c>
      <c r="L75" s="13"/>
      <c r="M75" s="19">
        <v>4304324.6400000006</v>
      </c>
    </row>
    <row r="76" spans="1:13">
      <c r="A76" s="301" t="s">
        <v>485</v>
      </c>
      <c r="B76" s="294" t="str">
        <f>VLOOKUP(Tableau25[[#This Row],[CA O&amp;M s/parc
BN 2023]],Tableau106[],3,FALSE)</f>
        <v>A534</v>
      </c>
      <c r="C76" s="294" t="str">
        <f>VLOOKUP(Tableau25[[#This Row],[CA O&amp;M s/parc
BN 2023]],Tableau106[],2,FALSE)</f>
        <v>FR62E03E</v>
      </c>
      <c r="D76" s="294" t="str">
        <f>VLOOKUP(Tableau25[[#This Row],[CA O&amp;M s/parc
BN 2023]],Tableau106[],8,FALSE)</f>
        <v>EOLIEN</v>
      </c>
      <c r="E76" s="295">
        <f>VLOOKUP(Tableau25[[#This Row],[CA O&amp;M s/parc
BN 2023]],Tableau106[],4,FALSE)</f>
        <v>19.8</v>
      </c>
      <c r="F76" s="296" t="str">
        <f>VLOOKUP(Tableau25[[#This Row],[CA O&amp;M s/parc
BN 2023]],Tableau106[],5,FALSE)</f>
        <v>CARN</v>
      </c>
      <c r="G76" s="297" t="str">
        <f>VLOOKUP(Tableau25[[#This Row],[CA O&amp;M s/parc
BN 2023]],Tableau106[],7,FALSE)</f>
        <v>GROUPE</v>
      </c>
      <c r="H76" s="297" t="str">
        <f>VLOOKUP(Tableau25[[#This Row],[CA O&amp;M s/parc
BN 2023]],Tableau106[],6,FALSE)</f>
        <v>N</v>
      </c>
      <c r="I76" s="297" t="str">
        <f>VLOOKUP(Tableau25[[#This Row],[CA O&amp;M s/parc
BN 2023]],Tableau106[],9,FALSE)</f>
        <v>NiL</v>
      </c>
      <c r="J76" s="19">
        <v>44495.851332947313</v>
      </c>
      <c r="K76" s="120">
        <v>93.054805599999995</v>
      </c>
      <c r="L76" s="21"/>
      <c r="M76" s="23">
        <v>4140552.7957939128</v>
      </c>
    </row>
    <row r="77" spans="1:13">
      <c r="A77" s="301" t="s">
        <v>458</v>
      </c>
      <c r="B77" s="294" t="str">
        <f>VLOOKUP(Tableau25[[#This Row],[CA O&amp;M s/parc
BN 2023]],Tableau106[],3,FALSE)</f>
        <v>A540</v>
      </c>
      <c r="C77" s="294" t="str">
        <f>VLOOKUP(Tableau25[[#This Row],[CA O&amp;M s/parc
BN 2023]],Tableau106[],2,FALSE)</f>
        <v>FR14E03E</v>
      </c>
      <c r="D77" s="294" t="str">
        <f>VLOOKUP(Tableau25[[#This Row],[CA O&amp;M s/parc
BN 2023]],Tableau106[],8,FALSE)</f>
        <v>EOLIEN</v>
      </c>
      <c r="E77" s="295">
        <f>VLOOKUP(Tableau25[[#This Row],[CA O&amp;M s/parc
BN 2023]],Tableau106[],4,FALSE)</f>
        <v>8</v>
      </c>
      <c r="F77" s="296" t="str">
        <f>VLOOKUP(Tableau25[[#This Row],[CA O&amp;M s/parc
BN 2023]],Tableau106[],5,FALSE)</f>
        <v>HERO</v>
      </c>
      <c r="G77" s="297" t="str">
        <f>VLOOKUP(Tableau25[[#This Row],[CA O&amp;M s/parc
BN 2023]],Tableau106[],7,FALSE)</f>
        <v>EGM</v>
      </c>
      <c r="H77" s="297" t="str">
        <f>VLOOKUP(Tableau25[[#This Row],[CA O&amp;M s/parc
BN 2023]],Tableau106[],6,FALSE)</f>
        <v>N</v>
      </c>
      <c r="I77" s="297" t="str">
        <f>VLOOKUP(Tableau25[[#This Row],[CA O&amp;M s/parc
BN 2023]],Tableau106[],9,FALSE)</f>
        <v>DeN</v>
      </c>
      <c r="J77" s="18">
        <v>14468</v>
      </c>
      <c r="K77" s="120">
        <v>220.4796</v>
      </c>
      <c r="L77" s="13"/>
      <c r="M77" s="19">
        <v>3189898.8528</v>
      </c>
    </row>
    <row r="78" spans="1:13">
      <c r="A78" s="301" t="s">
        <v>480</v>
      </c>
      <c r="B78" s="294" t="str">
        <f>VLOOKUP(Tableau25[[#This Row],[CA O&amp;M s/parc
BN 2023]],Tableau106[],3,FALSE)</f>
        <v>A540</v>
      </c>
      <c r="C78" s="294" t="str">
        <f>VLOOKUP(Tableau25[[#This Row],[CA O&amp;M s/parc
BN 2023]],Tableau106[],2,FALSE)</f>
        <v>FR35E02E</v>
      </c>
      <c r="D78" s="294" t="str">
        <f>VLOOKUP(Tableau25[[#This Row],[CA O&amp;M s/parc
BN 2023]],Tableau106[],8,FALSE)</f>
        <v>EOLIEN</v>
      </c>
      <c r="E78" s="295">
        <f>VLOOKUP(Tableau25[[#This Row],[CA O&amp;M s/parc
BN 2023]],Tableau106[],4,FALSE)</f>
        <v>10</v>
      </c>
      <c r="F78" s="296" t="str">
        <f>VLOOKUP(Tableau25[[#This Row],[CA O&amp;M s/parc
BN 2023]],Tableau106[],5,FALSE)</f>
        <v>NOUR</v>
      </c>
      <c r="G78" s="297" t="str">
        <f>VLOOKUP(Tableau25[[#This Row],[CA O&amp;M s/parc
BN 2023]],Tableau106[],7,FALSE)</f>
        <v>EGM</v>
      </c>
      <c r="H78" s="297" t="str">
        <f>VLOOKUP(Tableau25[[#This Row],[CA O&amp;M s/parc
BN 2023]],Tableau106[],6,FALSE)</f>
        <v>N</v>
      </c>
      <c r="I78" s="297" t="str">
        <f>VLOOKUP(Tableau25[[#This Row],[CA O&amp;M s/parc
BN 2023]],Tableau106[],9,FALSE)</f>
        <v>MaA</v>
      </c>
      <c r="J78" s="18">
        <v>15577.644</v>
      </c>
      <c r="K78" s="120">
        <v>81.459999999999994</v>
      </c>
      <c r="L78" s="13"/>
      <c r="M78" s="19">
        <v>1418158.7777558691</v>
      </c>
    </row>
    <row r="79" spans="1:13">
      <c r="A79" s="301" t="s">
        <v>519</v>
      </c>
      <c r="B79" s="294" t="str">
        <f>VLOOKUP(Tableau25[[#This Row],[CA O&amp;M s/parc
BN 2023]],Tableau106[],3,FALSE)</f>
        <v>A071</v>
      </c>
      <c r="C79" s="294" t="str">
        <f>VLOOKUP(Tableau25[[#This Row],[CA O&amp;M s/parc
BN 2023]],Tableau106[],2,FALSE)</f>
        <v>FR97S87E</v>
      </c>
      <c r="D79" s="294" t="str">
        <f>VLOOKUP(Tableau25[[#This Row],[CA O&amp;M s/parc
BN 2023]],Tableau106[],8,FALSE)</f>
        <v>SOLAIRE DOM</v>
      </c>
      <c r="E79" s="295">
        <f>VLOOKUP(Tableau25[[#This Row],[CA O&amp;M s/parc
BN 2023]],Tableau106[],4,FALSE)</f>
        <v>10.452</v>
      </c>
      <c r="F79" s="296" t="str">
        <f>VLOOKUP(Tableau25[[#This Row],[CA O&amp;M s/parc
BN 2023]],Tableau106[],5,FALSE)</f>
        <v>ROSE</v>
      </c>
      <c r="G79" s="297" t="str">
        <f>VLOOKUP(Tableau25[[#This Row],[CA O&amp;M s/parc
BN 2023]],Tableau106[],7,FALSE)</f>
        <v>GROUPE</v>
      </c>
      <c r="H79" s="297" t="str">
        <f>VLOOKUP(Tableau25[[#This Row],[CA O&amp;M s/parc
BN 2023]],Tableau106[],6,FALSE)</f>
        <v>DOM</v>
      </c>
      <c r="I79" s="297" t="str">
        <f>VLOOKUP(Tableau25[[#This Row],[CA O&amp;M s/parc
BN 2023]],Tableau106[],9,FALSE)</f>
        <v>BéK</v>
      </c>
      <c r="J79" s="19">
        <v>12606</v>
      </c>
      <c r="K79" s="120">
        <v>525.48743039999999</v>
      </c>
      <c r="L79" s="21"/>
      <c r="M79" s="23">
        <v>6624294.5476224003</v>
      </c>
    </row>
    <row r="80" spans="1:13">
      <c r="A80" s="301" t="s">
        <v>520</v>
      </c>
      <c r="B80" s="294" t="str">
        <f>VLOOKUP(Tableau25[[#This Row],[CA O&amp;M s/parc
BN 2023]],Tableau106[],3,FALSE)</f>
        <v>A257</v>
      </c>
      <c r="C80" s="294" t="str">
        <f>VLOOKUP(Tableau25[[#This Row],[CA O&amp;M s/parc
BN 2023]],Tableau106[],2,FALSE)</f>
        <v>FR01S06E</v>
      </c>
      <c r="D80" s="294" t="str">
        <f>VLOOKUP(Tableau25[[#This Row],[CA O&amp;M s/parc
BN 2023]],Tableau106[],8,FALSE)</f>
        <v>SOLAIRE</v>
      </c>
      <c r="E80" s="295">
        <f>VLOOKUP(Tableau25[[#This Row],[CA O&amp;M s/parc
BN 2023]],Tableau106[],4,FALSE)</f>
        <v>2.9</v>
      </c>
      <c r="F80" s="296" t="str">
        <f>VLOOKUP(Tableau25[[#This Row],[CA O&amp;M s/parc
BN 2023]],Tableau106[],5,FALSE)</f>
        <v>LAGN</v>
      </c>
      <c r="G80" s="297" t="str">
        <f>VLOOKUP(Tableau25[[#This Row],[CA O&amp;M s/parc
BN 2023]],Tableau106[],7,FALSE)</f>
        <v>GROUPE</v>
      </c>
      <c r="H80" s="297" t="str">
        <f>VLOOKUP(Tableau25[[#This Row],[CA O&amp;M s/parc
BN 2023]],Tableau106[],6,FALSE)</f>
        <v>S</v>
      </c>
      <c r="I80" s="297" t="str">
        <f>VLOOKUP(Tableau25[[#This Row],[CA O&amp;M s/parc
BN 2023]],Tableau106[],9,FALSE)</f>
        <v>ArB</v>
      </c>
      <c r="J80" s="19">
        <v>3094</v>
      </c>
      <c r="K80" s="120">
        <v>69.591279999999998</v>
      </c>
      <c r="L80" s="21"/>
      <c r="M80" s="23">
        <v>215315.42032</v>
      </c>
    </row>
    <row r="81" spans="1:13">
      <c r="A81" s="301" t="s">
        <v>499</v>
      </c>
      <c r="B81" s="294" t="str">
        <f>VLOOKUP(Tableau25[[#This Row],[CA O&amp;M s/parc
BN 2023]],Tableau106[],3,FALSE)</f>
        <v>A540</v>
      </c>
      <c r="C81" s="294" t="str">
        <f>VLOOKUP(Tableau25[[#This Row],[CA O&amp;M s/parc
BN 2023]],Tableau106[],2,FALSE)</f>
        <v>FR22E03E</v>
      </c>
      <c r="D81" s="294" t="str">
        <f>VLOOKUP(Tableau25[[#This Row],[CA O&amp;M s/parc
BN 2023]],Tableau106[],8,FALSE)</f>
        <v>EOLIEN</v>
      </c>
      <c r="E81" s="295">
        <f>VLOOKUP(Tableau25[[#This Row],[CA O&amp;M s/parc
BN 2023]],Tableau106[],4,FALSE)</f>
        <v>10</v>
      </c>
      <c r="F81" s="296" t="str">
        <f>VLOOKUP(Tableau25[[#This Row],[CA O&amp;M s/parc
BN 2023]],Tableau106[],5,FALSE)</f>
        <v>LDTE</v>
      </c>
      <c r="G81" s="297" t="str">
        <f>VLOOKUP(Tableau25[[#This Row],[CA O&amp;M s/parc
BN 2023]],Tableau106[],7,FALSE)</f>
        <v>EGM</v>
      </c>
      <c r="H81" s="297" t="str">
        <f>VLOOKUP(Tableau25[[#This Row],[CA O&amp;M s/parc
BN 2023]],Tableau106[],6,FALSE)</f>
        <v>N</v>
      </c>
      <c r="I81" s="297" t="str">
        <f>VLOOKUP(Tableau25[[#This Row],[CA O&amp;M s/parc
BN 2023]],Tableau106[],9,FALSE)</f>
        <v>BoK</v>
      </c>
      <c r="J81" s="18">
        <v>12900.412</v>
      </c>
      <c r="K81" s="120">
        <v>101.61018159999999</v>
      </c>
      <c r="L81" s="13"/>
      <c r="M81" s="19">
        <v>1310813.2060348191</v>
      </c>
    </row>
    <row r="82" spans="1:13">
      <c r="A82" s="301" t="s">
        <v>546</v>
      </c>
      <c r="B82" s="294" t="str">
        <f>VLOOKUP(Tableau25[[#This Row],[CA O&amp;M s/parc
BN 2023]],Tableau106[],3,FALSE)</f>
        <v>A541</v>
      </c>
      <c r="C82" s="294" t="str">
        <f>VLOOKUP(Tableau25[[#This Row],[CA O&amp;M s/parc
BN 2023]],Tableau106[],2,FALSE)</f>
        <v>FR55E04E</v>
      </c>
      <c r="D82" s="294" t="str">
        <f>VLOOKUP(Tableau25[[#This Row],[CA O&amp;M s/parc
BN 2023]],Tableau106[],8,FALSE)</f>
        <v>EOLIEN</v>
      </c>
      <c r="E82" s="295">
        <f>VLOOKUP(Tableau25[[#This Row],[CA O&amp;M s/parc
BN 2023]],Tableau106[],4,FALSE)</f>
        <v>11.5</v>
      </c>
      <c r="F82" s="296" t="str">
        <f>VLOOKUP(Tableau25[[#This Row],[CA O&amp;M s/parc
BN 2023]],Tableau106[],5,FALSE)</f>
        <v>LANE</v>
      </c>
      <c r="G82" s="297" t="str">
        <f>VLOOKUP(Tableau25[[#This Row],[CA O&amp;M s/parc
BN 2023]],Tableau106[],7,FALSE)</f>
        <v>EGM</v>
      </c>
      <c r="H82" s="297" t="str">
        <f>VLOOKUP(Tableau25[[#This Row],[CA O&amp;M s/parc
BN 2023]],Tableau106[],6,FALSE)</f>
        <v>N</v>
      </c>
      <c r="I82" s="297" t="str">
        <f>VLOOKUP(Tableau25[[#This Row],[CA O&amp;M s/parc
BN 2023]],Tableau106[],9,FALSE)</f>
        <v>MaA</v>
      </c>
      <c r="J82" s="18">
        <v>15597</v>
      </c>
      <c r="K82" s="120">
        <v>220.4796</v>
      </c>
      <c r="L82" s="13"/>
      <c r="M82" s="19">
        <v>3438820.3212000001</v>
      </c>
    </row>
    <row r="83" spans="1:13">
      <c r="A83" s="301" t="s">
        <v>522</v>
      </c>
      <c r="B83" s="294" t="str">
        <f>VLOOKUP(Tableau25[[#This Row],[CA O&amp;M s/parc
BN 2023]],Tableau106[],3,FALSE)</f>
        <v>A258</v>
      </c>
      <c r="C83" s="294" t="str">
        <f>VLOOKUP(Tableau25[[#This Row],[CA O&amp;M s/parc
BN 2023]],Tableau106[],2,FALSE)</f>
        <v>FR05S02E</v>
      </c>
      <c r="D83" s="294" t="str">
        <f>VLOOKUP(Tableau25[[#This Row],[CA O&amp;M s/parc
BN 2023]],Tableau106[],8,FALSE)</f>
        <v>SOLAIRE</v>
      </c>
      <c r="E83" s="295">
        <f>VLOOKUP(Tableau25[[#This Row],[CA O&amp;M s/parc
BN 2023]],Tableau106[],4,FALSE)</f>
        <v>19.8</v>
      </c>
      <c r="F83" s="296" t="str">
        <f>VLOOKUP(Tableau25[[#This Row],[CA O&amp;M s/parc
BN 2023]],Tableau106[],5,FALSE)</f>
        <v>LAZE</v>
      </c>
      <c r="G83" s="297" t="str">
        <f>VLOOKUP(Tableau25[[#This Row],[CA O&amp;M s/parc
BN 2023]],Tableau106[],7,FALSE)</f>
        <v>GROUPE</v>
      </c>
      <c r="H83" s="297" t="str">
        <f>VLOOKUP(Tableau25[[#This Row],[CA O&amp;M s/parc
BN 2023]],Tableau106[],6,FALSE)</f>
        <v>S</v>
      </c>
      <c r="I83" s="297" t="str">
        <f>VLOOKUP(Tableau25[[#This Row],[CA O&amp;M s/parc
BN 2023]],Tableau106[],9,FALSE)</f>
        <v>ArB</v>
      </c>
      <c r="J83" s="18">
        <v>24810</v>
      </c>
      <c r="K83" s="120"/>
      <c r="L83" s="13"/>
      <c r="M83" s="19"/>
    </row>
    <row r="84" spans="1:13">
      <c r="A84" s="301" t="s">
        <v>523</v>
      </c>
      <c r="B84" s="294" t="str">
        <f>VLOOKUP(Tableau25[[#This Row],[CA O&amp;M s/parc
BN 2023]],Tableau106[],3,FALSE)</f>
        <v>A272</v>
      </c>
      <c r="C84" s="294" t="str">
        <f>VLOOKUP(Tableau25[[#This Row],[CA O&amp;M s/parc
BN 2023]],Tableau106[],2,FALSE)</f>
        <v>FR07S04E</v>
      </c>
      <c r="D84" s="294" t="str">
        <f>VLOOKUP(Tableau25[[#This Row],[CA O&amp;M s/parc
BN 2023]],Tableau106[],8,FALSE)</f>
        <v>SOLAIRE</v>
      </c>
      <c r="E84" s="295">
        <f>VLOOKUP(Tableau25[[#This Row],[CA O&amp;M s/parc
BN 2023]],Tableau106[],4,FALSE)</f>
        <v>8.1999999999999993</v>
      </c>
      <c r="F84" s="296" t="str">
        <f>VLOOKUP(Tableau25[[#This Row],[CA O&amp;M s/parc
BN 2023]],Tableau106[],5,FALSE)</f>
        <v>PZIN</v>
      </c>
      <c r="G84" s="297" t="str">
        <f>VLOOKUP(Tableau25[[#This Row],[CA O&amp;M s/parc
BN 2023]],Tableau106[],7,FALSE)</f>
        <v>GROUPE</v>
      </c>
      <c r="H84" s="297" t="str">
        <f>VLOOKUP(Tableau25[[#This Row],[CA O&amp;M s/parc
BN 2023]],Tableau106[],6,FALSE)</f>
        <v>S</v>
      </c>
      <c r="I84" s="297" t="str">
        <f>VLOOKUP(Tableau25[[#This Row],[CA O&amp;M s/parc
BN 2023]],Tableau106[],9,FALSE)</f>
        <v>ArB</v>
      </c>
      <c r="J84" s="19">
        <v>9819</v>
      </c>
      <c r="K84" s="120">
        <v>46.315956</v>
      </c>
      <c r="L84" s="21"/>
      <c r="M84" s="23">
        <v>454776.37196399999</v>
      </c>
    </row>
    <row r="85" spans="1:13">
      <c r="A85" s="301" t="s">
        <v>609</v>
      </c>
      <c r="B85" s="294" t="str">
        <f>VLOOKUP(Tableau25[[#This Row],[CA O&amp;M s/parc
BN 2023]],Tableau106[],3,FALSE)</f>
        <v>A540</v>
      </c>
      <c r="C85" s="294" t="str">
        <f>VLOOKUP(Tableau25[[#This Row],[CA O&amp;M s/parc
BN 2023]],Tableau106[],2,FALSE)</f>
        <v>FR56E06E</v>
      </c>
      <c r="D85" s="294" t="str">
        <f>VLOOKUP(Tableau25[[#This Row],[CA O&amp;M s/parc
BN 2023]],Tableau106[],8,FALSE)</f>
        <v>EOLIEN</v>
      </c>
      <c r="E85" s="295">
        <f>VLOOKUP(Tableau25[[#This Row],[CA O&amp;M s/parc
BN 2023]],Tableau106[],4,FALSE)</f>
        <v>6.85</v>
      </c>
      <c r="F85" s="296" t="str">
        <f>VLOOKUP(Tableau25[[#This Row],[CA O&amp;M s/parc
BN 2023]],Tableau106[],5,FALSE)</f>
        <v>RODU</v>
      </c>
      <c r="G85" s="297" t="str">
        <f>VLOOKUP(Tableau25[[#This Row],[CA O&amp;M s/parc
BN 2023]],Tableau106[],7,FALSE)</f>
        <v>EGM</v>
      </c>
      <c r="H85" s="297" t="str">
        <f>VLOOKUP(Tableau25[[#This Row],[CA O&amp;M s/parc
BN 2023]],Tableau106[],6,FALSE)</f>
        <v>N</v>
      </c>
      <c r="I85" s="297" t="str">
        <f>VLOOKUP(Tableau25[[#This Row],[CA O&amp;M s/parc
BN 2023]],Tableau106[],9,FALSE)</f>
        <v>DeN</v>
      </c>
      <c r="J85" s="19">
        <v>8676.7170000000006</v>
      </c>
      <c r="K85" s="120">
        <v>242.08800000000002</v>
      </c>
      <c r="L85" s="13"/>
      <c r="M85" s="19">
        <v>2100529.0650960002</v>
      </c>
    </row>
    <row r="86" spans="1:13">
      <c r="A86" s="301" t="s">
        <v>606</v>
      </c>
      <c r="B86" s="294" t="str">
        <f>VLOOKUP(Tableau25[[#This Row],[CA O&amp;M s/parc
BN 2023]],Tableau106[],3,FALSE)</f>
        <v>A540</v>
      </c>
      <c r="C86" s="294" t="str">
        <f>VLOOKUP(Tableau25[[#This Row],[CA O&amp;M s/parc
BN 2023]],Tableau106[],2,FALSE)</f>
        <v>FR56E03E</v>
      </c>
      <c r="D86" s="294" t="str">
        <f>VLOOKUP(Tableau25[[#This Row],[CA O&amp;M s/parc
BN 2023]],Tableau106[],8,FALSE)</f>
        <v>EOLIEN</v>
      </c>
      <c r="E86" s="295">
        <f>VLOOKUP(Tableau25[[#This Row],[CA O&amp;M s/parc
BN 2023]],Tableau106[],4,FALSE)</f>
        <v>4.8499999999999996</v>
      </c>
      <c r="F86" s="296" t="str">
        <f>VLOOKUP(Tableau25[[#This Row],[CA O&amp;M s/parc
BN 2023]],Tableau106[],5,FALSE)</f>
        <v>LERO</v>
      </c>
      <c r="G86" s="297" t="str">
        <f>VLOOKUP(Tableau25[[#This Row],[CA O&amp;M s/parc
BN 2023]],Tableau106[],7,FALSE)</f>
        <v>EGM</v>
      </c>
      <c r="H86" s="297" t="str">
        <f>VLOOKUP(Tableau25[[#This Row],[CA O&amp;M s/parc
BN 2023]],Tableau106[],6,FALSE)</f>
        <v>N</v>
      </c>
      <c r="I86" s="297" t="str">
        <f>VLOOKUP(Tableau25[[#This Row],[CA O&amp;M s/parc
BN 2023]],Tableau106[],9,FALSE)</f>
        <v>DeN</v>
      </c>
      <c r="J86" s="19">
        <v>6695.91</v>
      </c>
      <c r="K86" s="120">
        <v>242.08800000000002</v>
      </c>
      <c r="L86" s="21"/>
      <c r="M86" s="23">
        <v>1620999.4600800001</v>
      </c>
    </row>
    <row r="87" spans="1:13">
      <c r="A87" s="301" t="s">
        <v>192</v>
      </c>
      <c r="B87" s="294" t="str">
        <f>VLOOKUP(Tableau25[[#This Row],[CA O&amp;M s/parc
BN 2023]],Tableau106[],3,FALSE)</f>
        <v>F247</v>
      </c>
      <c r="C87" s="294" t="str">
        <f>VLOOKUP(Tableau25[[#This Row],[CA O&amp;M s/parc
BN 2023]],Tableau106[],2,FALSE)</f>
        <v>FR10E02E</v>
      </c>
      <c r="D87" s="294" t="str">
        <f>VLOOKUP(Tableau25[[#This Row],[CA O&amp;M s/parc
BN 2023]],Tableau106[],8,FALSE)</f>
        <v>EOLIEN</v>
      </c>
      <c r="E87" s="295">
        <f>VLOOKUP(Tableau25[[#This Row],[CA O&amp;M s/parc
BN 2023]],Tableau106[],4,FALSE)</f>
        <v>37.950000000000003</v>
      </c>
      <c r="F87" s="296" t="str">
        <f>VLOOKUP(Tableau25[[#This Row],[CA O&amp;M s/parc
BN 2023]],Tableau106[],5,FALSE)</f>
        <v>COT1, COT2, COT3, COT4</v>
      </c>
      <c r="G87" s="297" t="str">
        <f>VLOOKUP(Tableau25[[#This Row],[CA O&amp;M s/parc
BN 2023]],Tableau106[],7,FALSE)</f>
        <v>FUTUREN</v>
      </c>
      <c r="H87" s="297" t="str">
        <f>VLOOKUP(Tableau25[[#This Row],[CA O&amp;M s/parc
BN 2023]],Tableau106[],6,FALSE)</f>
        <v>N</v>
      </c>
      <c r="I87" s="297" t="str">
        <f>VLOOKUP(Tableau25[[#This Row],[CA O&amp;M s/parc
BN 2023]],Tableau106[],9,FALSE)</f>
        <v>MéS</v>
      </c>
      <c r="J87" s="19">
        <v>71576</v>
      </c>
      <c r="K87" s="120">
        <v>87.676991999999984</v>
      </c>
      <c r="L87" s="21"/>
      <c r="M87" s="23">
        <v>6275568.379391999</v>
      </c>
    </row>
    <row r="88" spans="1:13">
      <c r="A88" s="301" t="s">
        <v>194</v>
      </c>
      <c r="B88" s="294" t="str">
        <f>VLOOKUP(Tableau25[[#This Row],[CA O&amp;M s/parc
BN 2023]],Tableau106[],3,FALSE)</f>
        <v>F046</v>
      </c>
      <c r="C88" s="294" t="str">
        <f>VLOOKUP(Tableau25[[#This Row],[CA O&amp;M s/parc
BN 2023]],Tableau106[],2,FALSE)</f>
        <v>FR10E03E</v>
      </c>
      <c r="D88" s="294" t="str">
        <f>VLOOKUP(Tableau25[[#This Row],[CA O&amp;M s/parc
BN 2023]],Tableau106[],8,FALSE)</f>
        <v>EOLIEN</v>
      </c>
      <c r="E88" s="295">
        <f>VLOOKUP(Tableau25[[#This Row],[CA O&amp;M s/parc
BN 2023]],Tableau106[],4,FALSE)</f>
        <v>13.2</v>
      </c>
      <c r="F88" s="296" t="str">
        <f>VLOOKUP(Tableau25[[#This Row],[CA O&amp;M s/parc
BN 2023]],Tableau106[],5,FALSE)</f>
        <v>LEMO</v>
      </c>
      <c r="G88" s="297" t="str">
        <f>VLOOKUP(Tableau25[[#This Row],[CA O&amp;M s/parc
BN 2023]],Tableau106[],7,FALSE)</f>
        <v>FUTUREN</v>
      </c>
      <c r="H88" s="297" t="str">
        <f>VLOOKUP(Tableau25[[#This Row],[CA O&amp;M s/parc
BN 2023]],Tableau106[],6,FALSE)</f>
        <v>N</v>
      </c>
      <c r="I88" s="297" t="str">
        <f>VLOOKUP(Tableau25[[#This Row],[CA O&amp;M s/parc
BN 2023]],Tableau106[],9,FALSE)</f>
        <v>MéS</v>
      </c>
      <c r="J88" s="18">
        <v>26790.306929789414</v>
      </c>
      <c r="K88" s="120">
        <v>92.684280799999996</v>
      </c>
      <c r="L88" s="13"/>
      <c r="M88" s="19">
        <v>2483040.3301987881</v>
      </c>
    </row>
    <row r="89" spans="1:13">
      <c r="A89" s="301" t="s">
        <v>195</v>
      </c>
      <c r="B89" s="294" t="str">
        <f>VLOOKUP(Tableau25[[#This Row],[CA O&amp;M s/parc
BN 2023]],Tableau106[],3,FALSE)</f>
        <v>F034</v>
      </c>
      <c r="C89" s="294" t="str">
        <f>VLOOKUP(Tableau25[[#This Row],[CA O&amp;M s/parc
BN 2023]],Tableau106[],2,FALSE)</f>
        <v>FR12E94E</v>
      </c>
      <c r="D89" s="294" t="str">
        <f>VLOOKUP(Tableau25[[#This Row],[CA O&amp;M s/parc
BN 2023]],Tableau106[],8,FALSE)</f>
        <v>EOLIEN</v>
      </c>
      <c r="E89" s="295">
        <f>VLOOKUP(Tableau25[[#This Row],[CA O&amp;M s/parc
BN 2023]],Tableau106[],4,FALSE)</f>
        <v>11.5</v>
      </c>
      <c r="F89" s="296" t="str">
        <f>VLOOKUP(Tableau25[[#This Row],[CA O&amp;M s/parc
BN 2023]],Tableau106[],5,FALSE)</f>
        <v>PLOS</v>
      </c>
      <c r="G89" s="297" t="str">
        <f>VLOOKUP(Tableau25[[#This Row],[CA O&amp;M s/parc
BN 2023]],Tableau106[],7,FALSE)</f>
        <v>FUTUREN</v>
      </c>
      <c r="H89" s="297" t="str">
        <f>VLOOKUP(Tableau25[[#This Row],[CA O&amp;M s/parc
BN 2023]],Tableau106[],6,FALSE)</f>
        <v>S</v>
      </c>
      <c r="I89" s="297" t="str">
        <f>VLOOKUP(Tableau25[[#This Row],[CA O&amp;M s/parc
BN 2023]],Tableau106[],9,FALSE)</f>
        <v>OdP</v>
      </c>
      <c r="J89" s="18">
        <v>27985.843221896739</v>
      </c>
      <c r="K89" s="120">
        <v>81.3</v>
      </c>
      <c r="L89" s="13"/>
      <c r="M89" s="19">
        <v>2275249.0539402049</v>
      </c>
    </row>
    <row r="90" spans="1:13">
      <c r="A90" s="301" t="s">
        <v>573</v>
      </c>
      <c r="B90" s="294" t="str">
        <f>VLOOKUP(Tableau25[[#This Row],[CA O&amp;M s/parc
BN 2023]],Tableau106[],3,FALSE)</f>
        <v>F037</v>
      </c>
      <c r="C90" s="294" t="str">
        <f>VLOOKUP(Tableau25[[#This Row],[CA O&amp;M s/parc
BN 2023]],Tableau106[],2,FALSE)</f>
        <v>FR14E05E</v>
      </c>
      <c r="D90" s="294" t="str">
        <f>VLOOKUP(Tableau25[[#This Row],[CA O&amp;M s/parc
BN 2023]],Tableau106[],8,FALSE)</f>
        <v>EOLIEN</v>
      </c>
      <c r="E90" s="295">
        <f>VLOOKUP(Tableau25[[#This Row],[CA O&amp;M s/parc
BN 2023]],Tableau106[],4,FALSE)</f>
        <v>10</v>
      </c>
      <c r="F90" s="296" t="str">
        <f>VLOOKUP(Tableau25[[#This Row],[CA O&amp;M s/parc
BN 2023]],Tableau106[],5,FALSE)</f>
        <v>SABL</v>
      </c>
      <c r="G90" s="297" t="str">
        <f>VLOOKUP(Tableau25[[#This Row],[CA O&amp;M s/parc
BN 2023]],Tableau106[],7,FALSE)</f>
        <v>FUTUREN</v>
      </c>
      <c r="H90" s="297" t="str">
        <f>VLOOKUP(Tableau25[[#This Row],[CA O&amp;M s/parc
BN 2023]],Tableau106[],6,FALSE)</f>
        <v>N</v>
      </c>
      <c r="I90" s="297" t="str">
        <f>VLOOKUP(Tableau25[[#This Row],[CA O&amp;M s/parc
BN 2023]],Tableau106[],9,FALSE)</f>
        <v>AnN</v>
      </c>
      <c r="J90" s="19">
        <v>17738.165934084165</v>
      </c>
      <c r="K90" s="120">
        <v>242.08800000000002</v>
      </c>
      <c r="L90" s="13"/>
      <c r="M90" s="19">
        <v>4294197.114650568</v>
      </c>
    </row>
    <row r="91" spans="1:13">
      <c r="A91" s="301" t="s">
        <v>579</v>
      </c>
      <c r="B91" s="294" t="str">
        <f>VLOOKUP(Tableau25[[#This Row],[CA O&amp;M s/parc
BN 2023]],Tableau106[],3,FALSE)</f>
        <v>A899</v>
      </c>
      <c r="C91" s="294" t="str">
        <f>VLOOKUP(Tableau25[[#This Row],[CA O&amp;M s/parc
BN 2023]],Tableau106[],2,FALSE)</f>
        <v>FR25E01E</v>
      </c>
      <c r="D91" s="294" t="str">
        <f>VLOOKUP(Tableau25[[#This Row],[CA O&amp;M s/parc
BN 2023]],Tableau106[],8,FALSE)</f>
        <v>EOLIEN</v>
      </c>
      <c r="E91" s="295">
        <f>VLOOKUP(Tableau25[[#This Row],[CA O&amp;M s/parc
BN 2023]],Tableau106[],4,FALSE)</f>
        <v>20</v>
      </c>
      <c r="F91" s="296" t="str">
        <f>VLOOKUP(Tableau25[[#This Row],[CA O&amp;M s/parc
BN 2023]],Tableau106[],5,FALSE)</f>
        <v>LOMO</v>
      </c>
      <c r="G91" s="297" t="str">
        <f>VLOOKUP(Tableau25[[#This Row],[CA O&amp;M s/parc
BN 2023]],Tableau106[],7,FALSE)</f>
        <v>GROUPE</v>
      </c>
      <c r="H91" s="297" t="str">
        <f>VLOOKUP(Tableau25[[#This Row],[CA O&amp;M s/parc
BN 2023]],Tableau106[],6,FALSE)</f>
        <v>N</v>
      </c>
      <c r="I91" s="297" t="str">
        <f>VLOOKUP(Tableau25[[#This Row],[CA O&amp;M s/parc
BN 2023]],Tableau106[],9,FALSE)</f>
        <v>LoH</v>
      </c>
      <c r="J91" s="18">
        <v>35914.921884000003</v>
      </c>
      <c r="K91" s="120">
        <v>242.08800000000002</v>
      </c>
      <c r="L91" s="13"/>
      <c r="M91" s="19">
        <v>8694571.6090537943</v>
      </c>
    </row>
    <row r="92" spans="1:13">
      <c r="A92" s="301" t="s">
        <v>497</v>
      </c>
      <c r="B92" s="294" t="str">
        <f>VLOOKUP(Tableau25[[#This Row],[CA O&amp;M s/parc
BN 2023]],Tableau106[],3,FALSE)</f>
        <v>A895</v>
      </c>
      <c r="C92" s="294" t="str">
        <f>VLOOKUP(Tableau25[[#This Row],[CA O&amp;M s/parc
BN 2023]],Tableau106[],2,FALSE)</f>
        <v>FR80E97E</v>
      </c>
      <c r="D92" s="294" t="str">
        <f>VLOOKUP(Tableau25[[#This Row],[CA O&amp;M s/parc
BN 2023]],Tableau106[],8,FALSE)</f>
        <v>EOLIEN</v>
      </c>
      <c r="E92" s="295">
        <f>VLOOKUP(Tableau25[[#This Row],[CA O&amp;M s/parc
BN 2023]],Tableau106[],4,FALSE)</f>
        <v>10</v>
      </c>
      <c r="F92" s="296" t="str">
        <f>VLOOKUP(Tableau25[[#This Row],[CA O&amp;M s/parc
BN 2023]],Tableau106[],5,FALSE)</f>
        <v>LEPI</v>
      </c>
      <c r="G92" s="297" t="str">
        <f>VLOOKUP(Tableau25[[#This Row],[CA O&amp;M s/parc
BN 2023]],Tableau106[],7,FALSE)</f>
        <v>GROUPE</v>
      </c>
      <c r="H92" s="297" t="str">
        <f>VLOOKUP(Tableau25[[#This Row],[CA O&amp;M s/parc
BN 2023]],Tableau106[],6,FALSE)</f>
        <v>N</v>
      </c>
      <c r="I92" s="297" t="str">
        <f>VLOOKUP(Tableau25[[#This Row],[CA O&amp;M s/parc
BN 2023]],Tableau106[],9,FALSE)</f>
        <v>NiD</v>
      </c>
      <c r="J92" s="19">
        <v>17965.629792636781</v>
      </c>
      <c r="K92" s="120">
        <v>45</v>
      </c>
      <c r="L92" s="21"/>
      <c r="M92" s="23">
        <v>808453.34066865512</v>
      </c>
    </row>
    <row r="93" spans="1:13">
      <c r="A93" s="301" t="s">
        <v>450</v>
      </c>
      <c r="B93" s="294" t="str">
        <f>VLOOKUP(Tableau25[[#This Row],[CA O&amp;M s/parc
BN 2023]],Tableau106[],3,FALSE)</f>
        <v>A279</v>
      </c>
      <c r="C93" s="294" t="str">
        <f>VLOOKUP(Tableau25[[#This Row],[CA O&amp;M s/parc
BN 2023]],Tableau106[],2,FALSE)</f>
        <v>FR51E07E</v>
      </c>
      <c r="D93" s="294" t="str">
        <f>VLOOKUP(Tableau25[[#This Row],[CA O&amp;M s/parc
BN 2023]],Tableau106[],8,FALSE)</f>
        <v>EOLIEN</v>
      </c>
      <c r="E93" s="295">
        <f>VLOOKUP(Tableau25[[#This Row],[CA O&amp;M s/parc
BN 2023]],Tableau106[],4,FALSE)</f>
        <v>43.2</v>
      </c>
      <c r="F93" s="296" t="str">
        <f>VLOOKUP(Tableau25[[#This Row],[CA O&amp;M s/parc
BN 2023]],Tableau106[],5,FALSE)</f>
        <v>LORO</v>
      </c>
      <c r="G93" s="297" t="str">
        <f>VLOOKUP(Tableau25[[#This Row],[CA O&amp;M s/parc
BN 2023]],Tableau106[],7,FALSE)</f>
        <v>GROUPE</v>
      </c>
      <c r="H93" s="297" t="str">
        <f>VLOOKUP(Tableau25[[#This Row],[CA O&amp;M s/parc
BN 2023]],Tableau106[],6,FALSE)</f>
        <v>N</v>
      </c>
      <c r="I93" s="297" t="str">
        <f>VLOOKUP(Tableau25[[#This Row],[CA O&amp;M s/parc
BN 2023]],Tableau106[],9,FALSE)</f>
        <v>BaB</v>
      </c>
      <c r="J93" s="19">
        <v>78422</v>
      </c>
      <c r="K93" s="120">
        <v>69.124957199999997</v>
      </c>
      <c r="L93" s="21"/>
      <c r="M93" s="23">
        <v>5420917.3935383996</v>
      </c>
    </row>
    <row r="94" spans="1:13">
      <c r="A94" s="301" t="s">
        <v>452</v>
      </c>
      <c r="B94" s="294" t="str">
        <f>VLOOKUP(Tableau25[[#This Row],[CA O&amp;M s/parc
BN 2023]],Tableau106[],3,FALSE)</f>
        <v>A896</v>
      </c>
      <c r="C94" s="294" t="str">
        <f>VLOOKUP(Tableau25[[#This Row],[CA O&amp;M s/parc
BN 2023]],Tableau106[],2,FALSE)</f>
        <v>FR48E99E</v>
      </c>
      <c r="D94" s="294" t="str">
        <f>VLOOKUP(Tableau25[[#This Row],[CA O&amp;M s/parc
BN 2023]],Tableau106[],8,FALSE)</f>
        <v>EOLIEN</v>
      </c>
      <c r="E94" s="295">
        <f>VLOOKUP(Tableau25[[#This Row],[CA O&amp;M s/parc
BN 2023]],Tableau106[],4,FALSE)</f>
        <v>14</v>
      </c>
      <c r="F94" s="296" t="str">
        <f>VLOOKUP(Tableau25[[#This Row],[CA O&amp;M s/parc
BN 2023]],Tableau106[],5,FALSE)</f>
        <v>LOPV</v>
      </c>
      <c r="G94" s="297" t="str">
        <f>VLOOKUP(Tableau25[[#This Row],[CA O&amp;M s/parc
BN 2023]],Tableau106[],7,FALSE)</f>
        <v>GROUPE</v>
      </c>
      <c r="H94" s="297" t="str">
        <f>VLOOKUP(Tableau25[[#This Row],[CA O&amp;M s/parc
BN 2023]],Tableau106[],6,FALSE)</f>
        <v>S</v>
      </c>
      <c r="I94" s="297" t="str">
        <f>VLOOKUP(Tableau25[[#This Row],[CA O&amp;M s/parc
BN 2023]],Tableau106[],9,FALSE)</f>
        <v>ThC</v>
      </c>
      <c r="J94" s="19">
        <v>28123</v>
      </c>
      <c r="K94" s="120">
        <v>53</v>
      </c>
      <c r="L94" s="21"/>
      <c r="M94" s="23">
        <v>1490502</v>
      </c>
    </row>
    <row r="95" spans="1:13">
      <c r="A95" s="301" t="s">
        <v>533</v>
      </c>
      <c r="B95" s="294" t="str">
        <f>VLOOKUP(Tableau25[[#This Row],[CA O&amp;M s/parc
BN 2023]],Tableau106[],3,FALSE)</f>
        <v>A257</v>
      </c>
      <c r="C95" s="294" t="str">
        <f>VLOOKUP(Tableau25[[#This Row],[CA O&amp;M s/parc
BN 2023]],Tableau106[],2,FALSE)</f>
        <v>FR01S02E</v>
      </c>
      <c r="D95" s="294" t="str">
        <f>VLOOKUP(Tableau25[[#This Row],[CA O&amp;M s/parc
BN 2023]],Tableau106[],8,FALSE)</f>
        <v>SOLAIRE</v>
      </c>
      <c r="E95" s="295">
        <f>VLOOKUP(Tableau25[[#This Row],[CA O&amp;M s/parc
BN 2023]],Tableau106[],4,FALSE)</f>
        <v>4.8</v>
      </c>
      <c r="F95" s="296" t="str">
        <f>VLOOKUP(Tableau25[[#This Row],[CA O&amp;M s/parc
BN 2023]],Tableau106[],5,FALSE)</f>
        <v>LOYE</v>
      </c>
      <c r="G95" s="297" t="str">
        <f>VLOOKUP(Tableau25[[#This Row],[CA O&amp;M s/parc
BN 2023]],Tableau106[],7,FALSE)</f>
        <v>GROUPE</v>
      </c>
      <c r="H95" s="297" t="str">
        <f>VLOOKUP(Tableau25[[#This Row],[CA O&amp;M s/parc
BN 2023]],Tableau106[],6,FALSE)</f>
        <v>S</v>
      </c>
      <c r="I95" s="297" t="str">
        <f>VLOOKUP(Tableau25[[#This Row],[CA O&amp;M s/parc
BN 2023]],Tableau106[],9,FALSE)</f>
        <v>LoG</v>
      </c>
      <c r="J95" s="19">
        <v>5344.518</v>
      </c>
      <c r="K95" s="120">
        <v>77.244280000000003</v>
      </c>
      <c r="L95" s="13"/>
      <c r="M95" s="19">
        <v>412833.44485704001</v>
      </c>
    </row>
    <row r="96" spans="1:13">
      <c r="A96" s="301" t="s">
        <v>469</v>
      </c>
      <c r="B96" s="294" t="str">
        <f>VLOOKUP(Tableau25[[#This Row],[CA O&amp;M s/parc
BN 2023]],Tableau106[],3,FALSE)</f>
        <v>A039</v>
      </c>
      <c r="C96" s="294" t="str">
        <f>VLOOKUP(Tableau25[[#This Row],[CA O&amp;M s/parc
BN 2023]],Tableau106[],2,FALSE)</f>
        <v>FR11E99E</v>
      </c>
      <c r="D96" s="294" t="str">
        <f>VLOOKUP(Tableau25[[#This Row],[CA O&amp;M s/parc
BN 2023]],Tableau106[],8,FALSE)</f>
        <v>EOLIEN</v>
      </c>
      <c r="E96" s="295">
        <f>VLOOKUP(Tableau25[[#This Row],[CA O&amp;M s/parc
BN 2023]],Tableau106[],4,FALSE)</f>
        <v>12</v>
      </c>
      <c r="F96" s="296" t="str">
        <f>VLOOKUP(Tableau25[[#This Row],[CA O&amp;M s/parc
BN 2023]],Tableau106[],5,FALSE)</f>
        <v>LUCO</v>
      </c>
      <c r="G96" s="297" t="str">
        <f>VLOOKUP(Tableau25[[#This Row],[CA O&amp;M s/parc
BN 2023]],Tableau106[],7,FALSE)</f>
        <v>GROUPE</v>
      </c>
      <c r="H96" s="297" t="str">
        <f>VLOOKUP(Tableau25[[#This Row],[CA O&amp;M s/parc
BN 2023]],Tableau106[],6,FALSE)</f>
        <v>S</v>
      </c>
      <c r="I96" s="297" t="str">
        <f>VLOOKUP(Tableau25[[#This Row],[CA O&amp;M s/parc
BN 2023]],Tableau106[],9,FALSE)</f>
        <v>SaH</v>
      </c>
      <c r="J96" s="19">
        <v>27392.7229999999</v>
      </c>
      <c r="K96" s="120">
        <v>151.56399999999999</v>
      </c>
      <c r="L96" s="21"/>
      <c r="M96" s="23">
        <v>3967850.3636693782</v>
      </c>
    </row>
    <row r="97" spans="1:13">
      <c r="A97" s="301" t="s">
        <v>400</v>
      </c>
      <c r="B97" s="294" t="str">
        <f>VLOOKUP(Tableau25[[#This Row],[CA O&amp;M s/parc
BN 2023]],Tableau106[],3,FALSE)</f>
        <v>A272</v>
      </c>
      <c r="C97" s="294" t="str">
        <f>VLOOKUP(Tableau25[[#This Row],[CA O&amp;M s/parc
BN 2023]],Tableau106[],2,FALSE)</f>
        <v>FR21S02E</v>
      </c>
      <c r="D97" s="294" t="str">
        <f>VLOOKUP(Tableau25[[#This Row],[CA O&amp;M s/parc
BN 2023]],Tableau106[],8,FALSE)</f>
        <v>SOLAIRE</v>
      </c>
      <c r="E97" s="295">
        <f>VLOOKUP(Tableau25[[#This Row],[CA O&amp;M s/parc
BN 2023]],Tableau106[],4,FALSE)</f>
        <v>8.4</v>
      </c>
      <c r="F97" s="296" t="str">
        <f>VLOOKUP(Tableau25[[#This Row],[CA O&amp;M s/parc
BN 2023]],Tableau106[],5,FALSE)</f>
        <v>LUX1</v>
      </c>
      <c r="G97" s="297" t="str">
        <f>VLOOKUP(Tableau25[[#This Row],[CA O&amp;M s/parc
BN 2023]],Tableau106[],7,FALSE)</f>
        <v>GROUPE</v>
      </c>
      <c r="H97" s="297" t="str">
        <f>VLOOKUP(Tableau25[[#This Row],[CA O&amp;M s/parc
BN 2023]],Tableau106[],6,FALSE)</f>
        <v>N</v>
      </c>
      <c r="I97" s="297" t="str">
        <f>VLOOKUP(Tableau25[[#This Row],[CA O&amp;M s/parc
BN 2023]],Tableau106[],9,FALSE)</f>
        <v>ZaA</v>
      </c>
      <c r="J97" s="18">
        <v>8351</v>
      </c>
      <c r="K97" s="120">
        <v>57.683211999999997</v>
      </c>
      <c r="L97" s="13"/>
      <c r="M97" s="19">
        <v>481712.50341199996</v>
      </c>
    </row>
    <row r="98" spans="1:13">
      <c r="A98" s="301" t="s">
        <v>599</v>
      </c>
      <c r="B98" s="294" t="str">
        <f>VLOOKUP(Tableau25[[#This Row],[CA O&amp;M s/parc
BN 2023]],Tableau106[],3,FALSE)</f>
        <v>A541</v>
      </c>
      <c r="C98" s="294" t="str">
        <f>VLOOKUP(Tableau25[[#This Row],[CA O&amp;M s/parc
BN 2023]],Tableau106[],2,FALSE)</f>
        <v>FR85E02E</v>
      </c>
      <c r="D98" s="294" t="str">
        <f>VLOOKUP(Tableau25[[#This Row],[CA O&amp;M s/parc
BN 2023]],Tableau106[],8,FALSE)</f>
        <v>EOLIEN</v>
      </c>
      <c r="E98" s="295">
        <f>VLOOKUP(Tableau25[[#This Row],[CA O&amp;M s/parc
BN 2023]],Tableau106[],4,FALSE)</f>
        <v>8</v>
      </c>
      <c r="F98" s="296" t="str">
        <f>VLOOKUP(Tableau25[[#This Row],[CA O&amp;M s/parc
BN 2023]],Tableau106[],5,FALSE)</f>
        <v>MACH</v>
      </c>
      <c r="G98" s="297" t="str">
        <f>VLOOKUP(Tableau25[[#This Row],[CA O&amp;M s/parc
BN 2023]],Tableau106[],7,FALSE)</f>
        <v>EGM</v>
      </c>
      <c r="H98" s="297" t="str">
        <f>VLOOKUP(Tableau25[[#This Row],[CA O&amp;M s/parc
BN 2023]],Tableau106[],6,FALSE)</f>
        <v>N</v>
      </c>
      <c r="I98" s="297" t="str">
        <f>VLOOKUP(Tableau25[[#This Row],[CA O&amp;M s/parc
BN 2023]],Tableau106[],9,FALSE)</f>
        <v>BoK</v>
      </c>
      <c r="J98" s="19">
        <v>15093.945</v>
      </c>
      <c r="K98" s="120">
        <v>220.4796</v>
      </c>
      <c r="L98" s="21"/>
      <c r="M98" s="23">
        <v>3327906.9560219999</v>
      </c>
    </row>
    <row r="99" spans="1:13">
      <c r="A99" s="301" t="s">
        <v>214</v>
      </c>
      <c r="B99" s="294" t="str">
        <f>VLOOKUP(Tableau25[[#This Row],[CA O&amp;M s/parc
BN 2023]],Tableau106[],3,FALSE)</f>
        <v>F240</v>
      </c>
      <c r="C99" s="294" t="str">
        <f>VLOOKUP(Tableau25[[#This Row],[CA O&amp;M s/parc
BN 2023]],Tableau106[],2,FALSE)</f>
        <v>FR80E93E</v>
      </c>
      <c r="D99" s="294" t="str">
        <f>VLOOKUP(Tableau25[[#This Row],[CA O&amp;M s/parc
BN 2023]],Tableau106[],8,FALSE)</f>
        <v>EOLIEN</v>
      </c>
      <c r="E99" s="295">
        <f>VLOOKUP(Tableau25[[#This Row],[CA O&amp;M s/parc
BN 2023]],Tableau106[],4,FALSE)</f>
        <v>15</v>
      </c>
      <c r="F99" s="296" t="str">
        <f>VLOOKUP(Tableau25[[#This Row],[CA O&amp;M s/parc
BN 2023]],Tableau106[],5,FALSE)</f>
        <v>MAG1, MAG3</v>
      </c>
      <c r="G99" s="297" t="str">
        <f>VLOOKUP(Tableau25[[#This Row],[CA O&amp;M s/parc
BN 2023]],Tableau106[],7,FALSE)</f>
        <v>FUTUREN</v>
      </c>
      <c r="H99" s="297" t="str">
        <f>VLOOKUP(Tableau25[[#This Row],[CA O&amp;M s/parc
BN 2023]],Tableau106[],6,FALSE)</f>
        <v>N</v>
      </c>
      <c r="I99" s="297" t="str">
        <f>VLOOKUP(Tableau25[[#This Row],[CA O&amp;M s/parc
BN 2023]],Tableau106[],9,FALSE)</f>
        <v>AlY</v>
      </c>
      <c r="J99" s="18">
        <v>29669</v>
      </c>
      <c r="K99" s="120">
        <v>95.774415999999988</v>
      </c>
      <c r="L99" s="13"/>
      <c r="M99" s="19">
        <v>2841531.1483039996</v>
      </c>
    </row>
    <row r="100" spans="1:13">
      <c r="A100" s="301" t="s">
        <v>637</v>
      </c>
      <c r="B100" s="294" t="str">
        <f>VLOOKUP(Tableau25[[#This Row],[CA O&amp;M s/parc
BN 2023]],Tableau106[],3,FALSE)</f>
        <v>A239</v>
      </c>
      <c r="C100" s="294" t="str">
        <f>VLOOKUP(Tableau25[[#This Row],[CA O&amp;M s/parc
BN 2023]],Tableau106[],2,FALSE)</f>
        <v>FR87S01E</v>
      </c>
      <c r="D100" s="294" t="str">
        <f>VLOOKUP(Tableau25[[#This Row],[CA O&amp;M s/parc
BN 2023]],Tableau106[],8,FALSE)</f>
        <v>SOLAIRE</v>
      </c>
      <c r="E100" s="295">
        <f>VLOOKUP(Tableau25[[#This Row],[CA O&amp;M s/parc
BN 2023]],Tableau106[],4,FALSE)</f>
        <v>5</v>
      </c>
      <c r="F100" s="296" t="str">
        <f>VLOOKUP(Tableau25[[#This Row],[CA O&amp;M s/parc
BN 2023]],Tableau106[],5,FALSE)</f>
        <v>MABE</v>
      </c>
      <c r="G100" s="297" t="str">
        <f>VLOOKUP(Tableau25[[#This Row],[CA O&amp;M s/parc
BN 2023]],Tableau106[],7,FALSE)</f>
        <v>GROUPE</v>
      </c>
      <c r="H100" s="297" t="str">
        <f>VLOOKUP(Tableau25[[#This Row],[CA O&amp;M s/parc
BN 2023]],Tableau106[],6,FALSE)</f>
        <v>N</v>
      </c>
      <c r="I100" s="297" t="str">
        <f>VLOOKUP(Tableau25[[#This Row],[CA O&amp;M s/parc
BN 2023]],Tableau106[],9,FALSE)</f>
        <v>ArB</v>
      </c>
      <c r="J100" s="18">
        <v>0</v>
      </c>
      <c r="K100" s="120"/>
      <c r="L100" s="13"/>
      <c r="M100" s="19">
        <v>0</v>
      </c>
    </row>
    <row r="101" spans="1:13">
      <c r="A101" s="301" t="s">
        <v>536</v>
      </c>
      <c r="B101" s="294" t="str">
        <f>VLOOKUP(Tableau25[[#This Row],[CA O&amp;M s/parc
BN 2023]],Tableau106[],3,FALSE)</f>
        <v>A134</v>
      </c>
      <c r="C101" s="294" t="str">
        <f>VLOOKUP(Tableau25[[#This Row],[CA O&amp;M s/parc
BN 2023]],Tableau106[],2,FALSE)</f>
        <v>FR04S99E</v>
      </c>
      <c r="D101" s="294" t="str">
        <f>VLOOKUP(Tableau25[[#This Row],[CA O&amp;M s/parc
BN 2023]],Tableau106[],8,FALSE)</f>
        <v>SOLAIRE</v>
      </c>
      <c r="E101" s="295">
        <f>VLOOKUP(Tableau25[[#This Row],[CA O&amp;M s/parc
BN 2023]],Tableau106[],4,FALSE)</f>
        <v>4.0999999999999996</v>
      </c>
      <c r="F101" s="296" t="str">
        <f>VLOOKUP(Tableau25[[#This Row],[CA O&amp;M s/parc
BN 2023]],Tableau106[],5,FALSE)</f>
        <v>MANO</v>
      </c>
      <c r="G101" s="294" t="str">
        <f>VLOOKUP(Tableau25[[#This Row],[CA O&amp;M s/parc
BN 2023]],Tableau106[],7,FALSE)</f>
        <v>GROUPE</v>
      </c>
      <c r="H101" s="294" t="str">
        <f>VLOOKUP(Tableau25[[#This Row],[CA O&amp;M s/parc
BN 2023]],Tableau106[],6,FALSE)</f>
        <v>S</v>
      </c>
      <c r="I101" s="294" t="str">
        <f>VLOOKUP(Tableau25[[#This Row],[CA O&amp;M s/parc
BN 2023]],Tableau106[],9,FALSE)</f>
        <v>ArB</v>
      </c>
      <c r="J101" s="19">
        <v>5593</v>
      </c>
      <c r="K101" s="120">
        <v>397.97902239999996</v>
      </c>
      <c r="L101" s="13"/>
      <c r="M101" s="19">
        <v>2225896.6722831996</v>
      </c>
    </row>
    <row r="102" spans="1:13">
      <c r="A102" s="301" t="s">
        <v>568</v>
      </c>
      <c r="B102" s="294" t="str">
        <f>VLOOKUP(Tableau25[[#This Row],[CA O&amp;M s/parc
BN 2023]],Tableau106[],3,FALSE)</f>
        <v>A100</v>
      </c>
      <c r="C102" s="294" t="str">
        <f>VLOOKUP(Tableau25[[#This Row],[CA O&amp;M s/parc
BN 2023]],Tableau106[],2,FALSE)</f>
        <v>FR34E05E</v>
      </c>
      <c r="D102" s="294" t="str">
        <f>VLOOKUP(Tableau25[[#This Row],[CA O&amp;M s/parc
BN 2023]],Tableau106[],8,FALSE)</f>
        <v>EOLIEN</v>
      </c>
      <c r="E102" s="295">
        <f>VLOOKUP(Tableau25[[#This Row],[CA O&amp;M s/parc
BN 2023]],Tableau106[],4,FALSE)</f>
        <v>14.5</v>
      </c>
      <c r="F102" s="296" t="str">
        <f>VLOOKUP(Tableau25[[#This Row],[CA O&amp;M s/parc
BN 2023]],Tableau106[],5,FALSE)</f>
        <v>JONC</v>
      </c>
      <c r="G102" s="297" t="str">
        <f>VLOOKUP(Tableau25[[#This Row],[CA O&amp;M s/parc
BN 2023]],Tableau106[],7,FALSE)</f>
        <v>GROUPE</v>
      </c>
      <c r="H102" s="297" t="str">
        <f>VLOOKUP(Tableau25[[#This Row],[CA O&amp;M s/parc
BN 2023]],Tableau106[],6,FALSE)</f>
        <v>S</v>
      </c>
      <c r="I102" s="297" t="str">
        <f>VLOOKUP(Tableau25[[#This Row],[CA O&amp;M s/parc
BN 2023]],Tableau106[],9,FALSE)</f>
        <v>KéC</v>
      </c>
      <c r="J102" s="19">
        <v>27308.025600842044</v>
      </c>
      <c r="K102" s="120">
        <v>90.081239999999994</v>
      </c>
      <c r="L102" s="13"/>
      <c r="M102" s="19">
        <v>2459940.8080755961</v>
      </c>
    </row>
    <row r="103" spans="1:13">
      <c r="A103" s="301" t="s">
        <v>537</v>
      </c>
      <c r="B103" s="294" t="str">
        <f>VLOOKUP(Tableau25[[#This Row],[CA O&amp;M s/parc
BN 2023]],Tableau106[],3,FALSE)</f>
        <v>A389</v>
      </c>
      <c r="C103" s="294" t="str">
        <f>VLOOKUP(Tableau25[[#This Row],[CA O&amp;M s/parc
BN 2023]],Tableau106[],2,FALSE)</f>
        <v>FR89S02E</v>
      </c>
      <c r="D103" s="294" t="str">
        <f>VLOOKUP(Tableau25[[#This Row],[CA O&amp;M s/parc
BN 2023]],Tableau106[],8,FALSE)</f>
        <v>SOLAIRE</v>
      </c>
      <c r="E103" s="295">
        <f>VLOOKUP(Tableau25[[#This Row],[CA O&amp;M s/parc
BN 2023]],Tableau106[],4,FALSE)</f>
        <v>20</v>
      </c>
      <c r="F103" s="296" t="str">
        <f>VLOOKUP(Tableau25[[#This Row],[CA O&amp;M s/parc
BN 2023]],Tableau106[],5,FALSE)</f>
        <v>MA22</v>
      </c>
      <c r="G103" s="297" t="str">
        <f>VLOOKUP(Tableau25[[#This Row],[CA O&amp;M s/parc
BN 2023]],Tableau106[],7,FALSE)</f>
        <v>GROUPE</v>
      </c>
      <c r="H103" s="297" t="str">
        <f>VLOOKUP(Tableau25[[#This Row],[CA O&amp;M s/parc
BN 2023]],Tableau106[],6,FALSE)</f>
        <v>S</v>
      </c>
      <c r="I103" s="297" t="str">
        <f>VLOOKUP(Tableau25[[#This Row],[CA O&amp;M s/parc
BN 2023]],Tableau106[],9,FALSE)</f>
        <v>LoG</v>
      </c>
      <c r="J103" s="19">
        <v>20804.848779792002</v>
      </c>
      <c r="K103" s="120">
        <v>363.53169439999999</v>
      </c>
      <c r="L103" s="13"/>
      <c r="M103" s="19">
        <v>7563221.9286535587</v>
      </c>
    </row>
    <row r="104" spans="1:13">
      <c r="A104" s="301" t="s">
        <v>475</v>
      </c>
      <c r="B104" s="294" t="str">
        <f>VLOOKUP(Tableau25[[#This Row],[CA O&amp;M s/parc
BN 2023]],Tableau106[],3,FALSE)</f>
        <v>A540</v>
      </c>
      <c r="C104" s="294" t="str">
        <f>VLOOKUP(Tableau25[[#This Row],[CA O&amp;M s/parc
BN 2023]],Tableau106[],2,FALSE)</f>
        <v>FR56E04E</v>
      </c>
      <c r="D104" s="294" t="str">
        <f>VLOOKUP(Tableau25[[#This Row],[CA O&amp;M s/parc
BN 2023]],Tableau106[],8,FALSE)</f>
        <v>EOLIEN</v>
      </c>
      <c r="E104" s="295">
        <f>VLOOKUP(Tableau25[[#This Row],[CA O&amp;M s/parc
BN 2023]],Tableau106[],4,FALSE)</f>
        <v>10</v>
      </c>
      <c r="F104" s="296" t="str">
        <f>VLOOKUP(Tableau25[[#This Row],[CA O&amp;M s/parc
BN 2023]],Tableau106[],5,FALSE)</f>
        <v>MAUR</v>
      </c>
      <c r="G104" s="297" t="str">
        <f>VLOOKUP(Tableau25[[#This Row],[CA O&amp;M s/parc
BN 2023]],Tableau106[],7,FALSE)</f>
        <v>EGM</v>
      </c>
      <c r="H104" s="297" t="str">
        <f>VLOOKUP(Tableau25[[#This Row],[CA O&amp;M s/parc
BN 2023]],Tableau106[],6,FALSE)</f>
        <v>N</v>
      </c>
      <c r="I104" s="297" t="str">
        <f>VLOOKUP(Tableau25[[#This Row],[CA O&amp;M s/parc
BN 2023]],Tableau106[],9,FALSE)</f>
        <v>DeN</v>
      </c>
      <c r="J104" s="19">
        <v>13280.0535</v>
      </c>
      <c r="K104" s="120">
        <v>220.4796</v>
      </c>
      <c r="L104" s="13"/>
      <c r="M104" s="19">
        <v>2927980.8836586</v>
      </c>
    </row>
    <row r="105" spans="1:13">
      <c r="A105" s="301" t="s">
        <v>539</v>
      </c>
      <c r="B105" s="294" t="str">
        <f>VLOOKUP(Tableau25[[#This Row],[CA O&amp;M s/parc
BN 2023]],Tableau106[],3,FALSE)</f>
        <v>A295</v>
      </c>
      <c r="C105" s="294" t="str">
        <f>VLOOKUP(Tableau25[[#This Row],[CA O&amp;M s/parc
BN 2023]],Tableau106[],2,FALSE)</f>
        <v>FR43S04E</v>
      </c>
      <c r="D105" s="294" t="str">
        <f>VLOOKUP(Tableau25[[#This Row],[CA O&amp;M s/parc
BN 2023]],Tableau106[],8,FALSE)</f>
        <v>SOLAIRE</v>
      </c>
      <c r="E105" s="295">
        <f>VLOOKUP(Tableau25[[#This Row],[CA O&amp;M s/parc
BN 2023]],Tableau106[],4,FALSE)</f>
        <v>2.8</v>
      </c>
      <c r="F105" s="296" t="str">
        <f>VLOOKUP(Tableau25[[#This Row],[CA O&amp;M s/parc
BN 2023]],Tableau106[],5,FALSE)</f>
        <v>MSTV</v>
      </c>
      <c r="G105" s="297" t="str">
        <f>VLOOKUP(Tableau25[[#This Row],[CA O&amp;M s/parc
BN 2023]],Tableau106[],7,FALSE)</f>
        <v>GROUPE</v>
      </c>
      <c r="H105" s="297" t="str">
        <f>VLOOKUP(Tableau25[[#This Row],[CA O&amp;M s/parc
BN 2023]],Tableau106[],6,FALSE)</f>
        <v>S</v>
      </c>
      <c r="I105" s="297" t="str">
        <f>VLOOKUP(Tableau25[[#This Row],[CA O&amp;M s/parc
BN 2023]],Tableau106[],9,FALSE)</f>
        <v>ArB</v>
      </c>
      <c r="J105" s="19">
        <v>3349.5</v>
      </c>
      <c r="K105" s="120">
        <v>71.652487999999991</v>
      </c>
      <c r="L105" s="13"/>
      <c r="M105" s="19">
        <v>240000.00855599996</v>
      </c>
    </row>
    <row r="106" spans="1:13">
      <c r="A106" s="301" t="s">
        <v>228</v>
      </c>
      <c r="B106" s="294" t="str">
        <f>VLOOKUP(Tableau25[[#This Row],[CA O&amp;M s/parc
BN 2023]],Tableau106[],3,FALSE)</f>
        <v>F159</v>
      </c>
      <c r="C106" s="294" t="str">
        <f>VLOOKUP(Tableau25[[#This Row],[CA O&amp;M s/parc
BN 2023]],Tableau106[],2,FALSE)</f>
        <v>FR02E13E</v>
      </c>
      <c r="D106" s="294" t="str">
        <f>VLOOKUP(Tableau25[[#This Row],[CA O&amp;M s/parc
BN 2023]],Tableau106[],8,FALSE)</f>
        <v>EOLIEN</v>
      </c>
      <c r="E106" s="295">
        <f>VLOOKUP(Tableau25[[#This Row],[CA O&amp;M s/parc
BN 2023]],Tableau106[],4,FALSE)</f>
        <v>12.8</v>
      </c>
      <c r="F106" s="296" t="str">
        <f>VLOOKUP(Tableau25[[#This Row],[CA O&amp;M s/parc
BN 2023]],Tableau106[],5,FALSE)</f>
        <v>MAZU</v>
      </c>
      <c r="G106" s="297" t="str">
        <f>VLOOKUP(Tableau25[[#This Row],[CA O&amp;M s/parc
BN 2023]],Tableau106[],7,FALSE)</f>
        <v>FUTUREN</v>
      </c>
      <c r="H106" s="297" t="str">
        <f>VLOOKUP(Tableau25[[#This Row],[CA O&amp;M s/parc
BN 2023]],Tableau106[],6,FALSE)</f>
        <v>N</v>
      </c>
      <c r="I106" s="297" t="str">
        <f>VLOOKUP(Tableau25[[#This Row],[CA O&amp;M s/parc
BN 2023]],Tableau106[],9,FALSE)</f>
        <v>NiD</v>
      </c>
      <c r="J106" s="19">
        <v>27930.916531563107</v>
      </c>
      <c r="K106" s="120">
        <v>87.917416799999998</v>
      </c>
      <c r="L106" s="13"/>
      <c r="M106" s="19">
        <v>2455614.0303114438</v>
      </c>
    </row>
    <row r="107" spans="1:13">
      <c r="A107" s="301" t="s">
        <v>531</v>
      </c>
      <c r="B107" s="294" t="str">
        <f>VLOOKUP(Tableau25[[#This Row],[CA O&amp;M s/parc
BN 2023]],Tableau106[],3,FALSE)</f>
        <v>A432</v>
      </c>
      <c r="C107" s="294" t="str">
        <f>VLOOKUP(Tableau25[[#This Row],[CA O&amp;M s/parc
BN 2023]],Tableau106[],2,FALSE)</f>
        <v>FR07E97E</v>
      </c>
      <c r="D107" s="294" t="str">
        <f>VLOOKUP(Tableau25[[#This Row],[CA O&amp;M s/parc
BN 2023]],Tableau106[],8,FALSE)</f>
        <v>EOLIEN</v>
      </c>
      <c r="E107" s="295">
        <f>VLOOKUP(Tableau25[[#This Row],[CA O&amp;M s/parc
BN 2023]],Tableau106[],4,FALSE)</f>
        <v>56.4</v>
      </c>
      <c r="F107" s="296" t="str">
        <f>VLOOKUP(Tableau25[[#This Row],[CA O&amp;M s/parc
BN 2023]],Tableau106[],5,FALSE)</f>
        <v>MTAR</v>
      </c>
      <c r="G107" s="297" t="str">
        <f>VLOOKUP(Tableau25[[#This Row],[CA O&amp;M s/parc
BN 2023]],Tableau106[],7,FALSE)</f>
        <v>GROUPE</v>
      </c>
      <c r="H107" s="297" t="str">
        <f>VLOOKUP(Tableau25[[#This Row],[CA O&amp;M s/parc
BN 2023]],Tableau106[],6,FALSE)</f>
        <v>S</v>
      </c>
      <c r="I107" s="297" t="str">
        <f>VLOOKUP(Tableau25[[#This Row],[CA O&amp;M s/parc
BN 2023]],Tableau106[],9,FALSE)</f>
        <v>StE</v>
      </c>
      <c r="J107" s="19">
        <v>123356.24497749424</v>
      </c>
      <c r="K107" s="120">
        <v>92.411591200000004</v>
      </c>
      <c r="L107" s="21"/>
      <c r="M107" s="23">
        <v>11399546.88282725</v>
      </c>
    </row>
    <row r="108" spans="1:13">
      <c r="A108" s="301" t="s">
        <v>543</v>
      </c>
      <c r="B108" s="294" t="str">
        <f>VLOOKUP(Tableau25[[#This Row],[CA O&amp;M s/parc
BN 2023]],Tableau106[],3,FALSE)</f>
        <v>A902</v>
      </c>
      <c r="C108" s="294" t="str">
        <f>VLOOKUP(Tableau25[[#This Row],[CA O&amp;M s/parc
BN 2023]],Tableau106[],2,FALSE)</f>
        <v>FR17S01E</v>
      </c>
      <c r="D108" s="294" t="str">
        <f>VLOOKUP(Tableau25[[#This Row],[CA O&amp;M s/parc
BN 2023]],Tableau106[],8,FALSE)</f>
        <v>SOLAIRE</v>
      </c>
      <c r="E108" s="295">
        <f>VLOOKUP(Tableau25[[#This Row],[CA O&amp;M s/parc
BN 2023]],Tableau106[],4,FALSE)</f>
        <v>5.5</v>
      </c>
      <c r="F108" s="296" t="str">
        <f>VLOOKUP(Tableau25[[#This Row],[CA O&amp;M s/parc
BN 2023]],Tableau106[],5,FALSE)</f>
        <v>MDR1</v>
      </c>
      <c r="G108" s="297" t="str">
        <f>VLOOKUP(Tableau25[[#This Row],[CA O&amp;M s/parc
BN 2023]],Tableau106[],7,FALSE)</f>
        <v>GROUPE</v>
      </c>
      <c r="H108" s="297" t="str">
        <f>VLOOKUP(Tableau25[[#This Row],[CA O&amp;M s/parc
BN 2023]],Tableau106[],6,FALSE)</f>
        <v>N</v>
      </c>
      <c r="I108" s="297" t="str">
        <f>VLOOKUP(Tableau25[[#This Row],[CA O&amp;M s/parc
BN 2023]],Tableau106[],9,FALSE)</f>
        <v>BaA</v>
      </c>
      <c r="J108" s="19">
        <v>6768</v>
      </c>
      <c r="K108" s="120">
        <v>348.12598800000001</v>
      </c>
      <c r="L108" s="21"/>
      <c r="M108" s="23">
        <v>2356116.6867840001</v>
      </c>
    </row>
    <row r="109" spans="1:13">
      <c r="A109" s="301" t="s">
        <v>513</v>
      </c>
      <c r="B109" s="294" t="str">
        <f>VLOOKUP(Tableau25[[#This Row],[CA O&amp;M s/parc
BN 2023]],Tableau106[],3,FALSE)</f>
        <v>A540</v>
      </c>
      <c r="C109" s="294" t="str">
        <f>VLOOKUP(Tableau25[[#This Row],[CA O&amp;M s/parc
BN 2023]],Tableau106[],2,FALSE)</f>
        <v>FR15E03E</v>
      </c>
      <c r="D109" s="294" t="str">
        <f>VLOOKUP(Tableau25[[#This Row],[CA O&amp;M s/parc
BN 2023]],Tableau106[],8,FALSE)</f>
        <v>EOLIEN</v>
      </c>
      <c r="E109" s="295">
        <f>VLOOKUP(Tableau25[[#This Row],[CA O&amp;M s/parc
BN 2023]],Tableau106[],4,FALSE)</f>
        <v>12</v>
      </c>
      <c r="F109" s="296" t="str">
        <f>VLOOKUP(Tableau25[[#This Row],[CA O&amp;M s/parc
BN 2023]],Tableau106[],5,FALSE)</f>
        <v>MTL1</v>
      </c>
      <c r="G109" s="297" t="str">
        <f>VLOOKUP(Tableau25[[#This Row],[CA O&amp;M s/parc
BN 2023]],Tableau106[],7,FALSE)</f>
        <v>EGM</v>
      </c>
      <c r="H109" s="297" t="str">
        <f>VLOOKUP(Tableau25[[#This Row],[CA O&amp;M s/parc
BN 2023]],Tableau106[],6,FALSE)</f>
        <v>S</v>
      </c>
      <c r="I109" s="297" t="str">
        <f>VLOOKUP(Tableau25[[#This Row],[CA O&amp;M s/parc
BN 2023]],Tableau106[],9,FALSE)</f>
        <v>AuE</v>
      </c>
      <c r="J109" s="18">
        <v>23414.287</v>
      </c>
      <c r="K109" s="120">
        <v>220.4796</v>
      </c>
      <c r="L109" s="13"/>
      <c r="M109" s="19">
        <v>5162372.6320452001</v>
      </c>
    </row>
    <row r="110" spans="1:13">
      <c r="A110" s="301" t="s">
        <v>236</v>
      </c>
      <c r="B110" s="294" t="str">
        <f>VLOOKUP(Tableau25[[#This Row],[CA O&amp;M s/parc
BN 2023]],Tableau106[],3,FALSE)</f>
        <v>F140</v>
      </c>
      <c r="C110" s="294" t="str">
        <f>VLOOKUP(Tableau25[[#This Row],[CA O&amp;M s/parc
BN 2023]],Tableau106[],2,FALSE)</f>
        <v>FR57E06E</v>
      </c>
      <c r="D110" s="294" t="str">
        <f>VLOOKUP(Tableau25[[#This Row],[CA O&amp;M s/parc
BN 2023]],Tableau106[],8,FALSE)</f>
        <v>EOLIEN</v>
      </c>
      <c r="E110" s="295">
        <f>VLOOKUP(Tableau25[[#This Row],[CA O&amp;M s/parc
BN 2023]],Tableau106[],4,FALSE)</f>
        <v>15.4</v>
      </c>
      <c r="F110" s="296" t="str">
        <f>VLOOKUP(Tableau25[[#This Row],[CA O&amp;M s/parc
BN 2023]],Tableau106[],5,FALSE)</f>
        <v>MOTT</v>
      </c>
      <c r="G110" s="297" t="str">
        <f>VLOOKUP(Tableau25[[#This Row],[CA O&amp;M s/parc
BN 2023]],Tableau106[],7,FALSE)</f>
        <v>FUTUREN</v>
      </c>
      <c r="H110" s="297" t="str">
        <f>VLOOKUP(Tableau25[[#This Row],[CA O&amp;M s/parc
BN 2023]],Tableau106[],6,FALSE)</f>
        <v>N</v>
      </c>
      <c r="I110" s="297" t="str">
        <f>VLOOKUP(Tableau25[[#This Row],[CA O&amp;M s/parc
BN 2023]],Tableau106[],9,FALSE)</f>
        <v>NiL</v>
      </c>
      <c r="J110" s="18">
        <v>30394</v>
      </c>
      <c r="K110" s="120">
        <v>76.463673999999997</v>
      </c>
      <c r="L110" s="13"/>
      <c r="M110" s="19">
        <v>2324036.9075559997</v>
      </c>
    </row>
    <row r="111" spans="1:13">
      <c r="A111" s="301" t="s">
        <v>238</v>
      </c>
      <c r="B111" s="294" t="str">
        <f>VLOOKUP(Tableau25[[#This Row],[CA O&amp;M s/parc
BN 2023]],Tableau106[],3,FALSE)</f>
        <v>F036</v>
      </c>
      <c r="C111" s="294" t="str">
        <f>VLOOKUP(Tableau25[[#This Row],[CA O&amp;M s/parc
BN 2023]],Tableau106[],2,FALSE)</f>
        <v>FR80E95E</v>
      </c>
      <c r="D111" s="294" t="str">
        <f>VLOOKUP(Tableau25[[#This Row],[CA O&amp;M s/parc
BN 2023]],Tableau106[],8,FALSE)</f>
        <v>EOLIEN</v>
      </c>
      <c r="E111" s="295">
        <f>VLOOKUP(Tableau25[[#This Row],[CA O&amp;M s/parc
BN 2023]],Tableau106[],4,FALSE)</f>
        <v>12</v>
      </c>
      <c r="F111" s="296" t="str">
        <f>VLOOKUP(Tableau25[[#This Row],[CA O&amp;M s/parc
BN 2023]],Tableau106[],5,FALSE)</f>
        <v>MODF</v>
      </c>
      <c r="G111" s="297" t="str">
        <f>VLOOKUP(Tableau25[[#This Row],[CA O&amp;M s/parc
BN 2023]],Tableau106[],7,FALSE)</f>
        <v>FUTUREN</v>
      </c>
      <c r="H111" s="297" t="str">
        <f>VLOOKUP(Tableau25[[#This Row],[CA O&amp;M s/parc
BN 2023]],Tableau106[],6,FALSE)</f>
        <v>N</v>
      </c>
      <c r="I111" s="297" t="str">
        <f>VLOOKUP(Tableau25[[#This Row],[CA O&amp;M s/parc
BN 2023]],Tableau106[],9,FALSE)</f>
        <v>NiD</v>
      </c>
      <c r="J111" s="18">
        <v>14018.743692666529</v>
      </c>
      <c r="K111" s="120">
        <v>219</v>
      </c>
      <c r="L111" s="13"/>
      <c r="M111" s="19">
        <v>3393769.6230702549</v>
      </c>
    </row>
    <row r="112" spans="1:13">
      <c r="A112" s="301" t="s">
        <v>240</v>
      </c>
      <c r="B112" s="294" t="str">
        <f>VLOOKUP(Tableau25[[#This Row],[CA O&amp;M s/parc
BN 2023]],Tableau106[],3,FALSE)</f>
        <v>F208</v>
      </c>
      <c r="C112" s="294" t="str">
        <f>VLOOKUP(Tableau25[[#This Row],[CA O&amp;M s/parc
BN 2023]],Tableau106[],2,FALSE)</f>
        <v>FR17E05E</v>
      </c>
      <c r="D112" s="294" t="str">
        <f>VLOOKUP(Tableau25[[#This Row],[CA O&amp;M s/parc
BN 2023]],Tableau106[],8,FALSE)</f>
        <v>EOLIEN</v>
      </c>
      <c r="E112" s="295">
        <f>VLOOKUP(Tableau25[[#This Row],[CA O&amp;M s/parc
BN 2023]],Tableau106[],4,FALSE)</f>
        <v>21</v>
      </c>
      <c r="F112" s="296" t="str">
        <f>VLOOKUP(Tableau25[[#This Row],[CA O&amp;M s/parc
BN 2023]],Tableau106[],5,FALSE)</f>
        <v>NAC1, NAC2</v>
      </c>
      <c r="G112" s="297" t="str">
        <f>VLOOKUP(Tableau25[[#This Row],[CA O&amp;M s/parc
BN 2023]],Tableau106[],7,FALSE)</f>
        <v>FUTUREN</v>
      </c>
      <c r="H112" s="297" t="str">
        <f>VLOOKUP(Tableau25[[#This Row],[CA O&amp;M s/parc
BN 2023]],Tableau106[],6,FALSE)</f>
        <v>S</v>
      </c>
      <c r="I112" s="297" t="str">
        <f>VLOOKUP(Tableau25[[#This Row],[CA O&amp;M s/parc
BN 2023]],Tableau106[],9,FALSE)</f>
        <v>NoS</v>
      </c>
      <c r="J112" s="19">
        <v>49393</v>
      </c>
      <c r="K112" s="120">
        <v>89.404719999999998</v>
      </c>
      <c r="L112" s="21"/>
      <c r="M112" s="23">
        <v>4415967.3349599997</v>
      </c>
    </row>
    <row r="113" spans="1:13">
      <c r="A113" s="301" t="s">
        <v>548</v>
      </c>
      <c r="B113" s="294" t="str">
        <f>VLOOKUP(Tableau25[[#This Row],[CA O&amp;M s/parc
BN 2023]],Tableau106[],3,FALSE)</f>
        <v>A119</v>
      </c>
      <c r="C113" s="294" t="str">
        <f>VLOOKUP(Tableau25[[#This Row],[CA O&amp;M s/parc
BN 2023]],Tableau106[],2,FALSE)</f>
        <v>FR11S97E</v>
      </c>
      <c r="D113" s="294" t="str">
        <f>VLOOKUP(Tableau25[[#This Row],[CA O&amp;M s/parc
BN 2023]],Tableau106[],8,FALSE)</f>
        <v>SOLAIRE</v>
      </c>
      <c r="E113" s="295">
        <f>VLOOKUP(Tableau25[[#This Row],[CA O&amp;M s/parc
BN 2023]],Tableau106[],4,FALSE)</f>
        <v>7</v>
      </c>
      <c r="F113" s="296" t="str">
        <f>VLOOKUP(Tableau25[[#This Row],[CA O&amp;M s/parc
BN 2023]],Tableau106[],5,FALSE)</f>
        <v>NARB</v>
      </c>
      <c r="G113" s="297" t="str">
        <f>VLOOKUP(Tableau25[[#This Row],[CA O&amp;M s/parc
BN 2023]],Tableau106[],7,FALSE)</f>
        <v>GROUPE</v>
      </c>
      <c r="H113" s="297" t="str">
        <f>VLOOKUP(Tableau25[[#This Row],[CA O&amp;M s/parc
BN 2023]],Tableau106[],6,FALSE)</f>
        <v>S</v>
      </c>
      <c r="I113" s="297" t="str">
        <f>VLOOKUP(Tableau25[[#This Row],[CA O&amp;M s/parc
BN 2023]],Tableau106[],9,FALSE)</f>
        <v>BaA</v>
      </c>
      <c r="J113" s="18">
        <v>8797</v>
      </c>
      <c r="K113" s="120">
        <v>364.13845119999996</v>
      </c>
      <c r="L113" s="13"/>
      <c r="M113" s="19">
        <v>3203325.9552063998</v>
      </c>
    </row>
    <row r="114" spans="1:13">
      <c r="A114" s="301" t="s">
        <v>594</v>
      </c>
      <c r="B114" s="294" t="str">
        <f>VLOOKUP(Tableau25[[#This Row],[CA O&amp;M s/parc
BN 2023]],Tableau106[],3,FALSE)</f>
        <v>A938</v>
      </c>
      <c r="C114" s="294" t="str">
        <f>VLOOKUP(Tableau25[[#This Row],[CA O&amp;M s/parc
BN 2023]],Tableau106[],2,FALSE)</f>
        <v>FR34E81E</v>
      </c>
      <c r="D114" s="294" t="str">
        <f>VLOOKUP(Tableau25[[#This Row],[CA O&amp;M s/parc
BN 2023]],Tableau106[],8,FALSE)</f>
        <v>EOLIEN</v>
      </c>
      <c r="E114" s="295">
        <f>VLOOKUP(Tableau25[[#This Row],[CA O&amp;M s/parc
BN 2023]],Tableau106[],4,FALSE)</f>
        <v>6</v>
      </c>
      <c r="F114" s="296" t="str">
        <f>VLOOKUP(Tableau25[[#This Row],[CA O&amp;M s/parc
BN 2023]],Tableau106[],5,FALSE)</f>
        <v>TRFR</v>
      </c>
      <c r="G114" s="297" t="str">
        <f>VLOOKUP(Tableau25[[#This Row],[CA O&amp;M s/parc
BN 2023]],Tableau106[],7,FALSE)</f>
        <v>FUTUREN</v>
      </c>
      <c r="H114" s="297" t="str">
        <f>VLOOKUP(Tableau25[[#This Row],[CA O&amp;M s/parc
BN 2023]],Tableau106[],6,FALSE)</f>
        <v>S</v>
      </c>
      <c r="I114" s="297" t="str">
        <f>VLOOKUP(Tableau25[[#This Row],[CA O&amp;M s/parc
BN 2023]],Tableau106[],9,FALSE)</f>
        <v>KéD</v>
      </c>
      <c r="J114" s="19">
        <v>16109</v>
      </c>
      <c r="K114" s="120">
        <v>90.263379999999984</v>
      </c>
      <c r="L114" s="13">
        <v>15000</v>
      </c>
      <c r="M114" s="19">
        <v>1454052.7884199996</v>
      </c>
    </row>
    <row r="115" spans="1:13">
      <c r="A115" s="301" t="s">
        <v>601</v>
      </c>
      <c r="B115" s="294" t="str">
        <f>VLOOKUP(Tableau25[[#This Row],[CA O&amp;M s/parc
BN 2023]],Tableau106[],3,FALSE)</f>
        <v>A936</v>
      </c>
      <c r="C115" s="294" t="str">
        <f>VLOOKUP(Tableau25[[#This Row],[CA O&amp;M s/parc
BN 2023]],Tableau106[],2,FALSE)</f>
        <v>FR34E83E</v>
      </c>
      <c r="D115" s="294" t="str">
        <f>VLOOKUP(Tableau25[[#This Row],[CA O&amp;M s/parc
BN 2023]],Tableau106[],8,FALSE)</f>
        <v>EOLIEN</v>
      </c>
      <c r="E115" s="295">
        <f>VLOOKUP(Tableau25[[#This Row],[CA O&amp;M s/parc
BN 2023]],Tableau106[],4,FALSE)</f>
        <v>8</v>
      </c>
      <c r="F115" s="296" t="str">
        <f>VLOOKUP(Tableau25[[#This Row],[CA O&amp;M s/parc
BN 2023]],Tableau106[],5,FALSE)</f>
        <v>LAPI</v>
      </c>
      <c r="G115" s="297" t="str">
        <f>VLOOKUP(Tableau25[[#This Row],[CA O&amp;M s/parc
BN 2023]],Tableau106[],7,FALSE)</f>
        <v>FUTUREN</v>
      </c>
      <c r="H115" s="297" t="str">
        <f>VLOOKUP(Tableau25[[#This Row],[CA O&amp;M s/parc
BN 2023]],Tableau106[],6,FALSE)</f>
        <v>S</v>
      </c>
      <c r="I115" s="297" t="str">
        <f>VLOOKUP(Tableau25[[#This Row],[CA O&amp;M s/parc
BN 2023]],Tableau106[],9,FALSE)</f>
        <v>KéD</v>
      </c>
      <c r="J115" s="18">
        <v>19091.569962947317</v>
      </c>
      <c r="K115" s="120">
        <v>96.788155199999991</v>
      </c>
      <c r="L115" s="13">
        <v>20000</v>
      </c>
      <c r="M115" s="19">
        <v>1847837.836585403</v>
      </c>
    </row>
    <row r="116" spans="1:13">
      <c r="A116" s="301" t="s">
        <v>626</v>
      </c>
      <c r="B116" s="294" t="str">
        <f>VLOOKUP(Tableau25[[#This Row],[CA O&amp;M s/parc
BN 2023]],Tableau106[],3,FALSE)</f>
        <v>A937</v>
      </c>
      <c r="C116" s="294" t="str">
        <f>VLOOKUP(Tableau25[[#This Row],[CA O&amp;M s/parc
BN 2023]],Tableau106[],2,FALSE)</f>
        <v>FR34E82E</v>
      </c>
      <c r="D116" s="294" t="str">
        <f>VLOOKUP(Tableau25[[#This Row],[CA O&amp;M s/parc
BN 2023]],Tableau106[],8,FALSE)</f>
        <v>EOLIEN</v>
      </c>
      <c r="E116" s="295">
        <f>VLOOKUP(Tableau25[[#This Row],[CA O&amp;M s/parc
BN 2023]],Tableau106[],4,FALSE)</f>
        <v>6</v>
      </c>
      <c r="F116" s="296" t="str">
        <f>VLOOKUP(Tableau25[[#This Row],[CA O&amp;M s/parc
BN 2023]],Tableau106[],5,FALSE)</f>
        <v>NIPL</v>
      </c>
      <c r="G116" s="297" t="str">
        <f>VLOOKUP(Tableau25[[#This Row],[CA O&amp;M s/parc
BN 2023]],Tableau106[],7,FALSE)</f>
        <v>FUTUREN</v>
      </c>
      <c r="H116" s="297" t="str">
        <f>VLOOKUP(Tableau25[[#This Row],[CA O&amp;M s/parc
BN 2023]],Tableau106[],6,FALSE)</f>
        <v>S</v>
      </c>
      <c r="I116" s="297" t="str">
        <f>VLOOKUP(Tableau25[[#This Row],[CA O&amp;M s/parc
BN 2023]],Tableau106[],9,FALSE)</f>
        <v>KéD</v>
      </c>
      <c r="J116" s="18">
        <v>15217.440500463103</v>
      </c>
      <c r="K116" s="120">
        <v>80.704672799999997</v>
      </c>
      <c r="L116" s="13">
        <v>15000</v>
      </c>
      <c r="M116" s="19">
        <v>1228118.5564433429</v>
      </c>
    </row>
    <row r="117" spans="1:13">
      <c r="A117" s="301" t="s">
        <v>595</v>
      </c>
      <c r="B117" s="294" t="str">
        <f>VLOOKUP(Tableau25[[#This Row],[CA O&amp;M s/parc
BN 2023]],Tableau106[],3,FALSE)</f>
        <v>A935</v>
      </c>
      <c r="C117" s="294" t="str">
        <f>VLOOKUP(Tableau25[[#This Row],[CA O&amp;M s/parc
BN 2023]],Tableau106[],2,FALSE)</f>
        <v>FR34E84E</v>
      </c>
      <c r="D117" s="294" t="str">
        <f>VLOOKUP(Tableau25[[#This Row],[CA O&amp;M s/parc
BN 2023]],Tableau106[],8,FALSE)</f>
        <v>EOLIEN</v>
      </c>
      <c r="E117" s="295">
        <f>VLOOKUP(Tableau25[[#This Row],[CA O&amp;M s/parc
BN 2023]],Tableau106[],4,FALSE)</f>
        <v>6</v>
      </c>
      <c r="F117" s="296" t="str">
        <f>VLOOKUP(Tableau25[[#This Row],[CA O&amp;M s/parc
BN 2023]],Tableau106[],5,FALSE)</f>
        <v>PEMO</v>
      </c>
      <c r="G117" s="297" t="str">
        <f>VLOOKUP(Tableau25[[#This Row],[CA O&amp;M s/parc
BN 2023]],Tableau106[],7,FALSE)</f>
        <v>FUTUREN</v>
      </c>
      <c r="H117" s="297" t="str">
        <f>VLOOKUP(Tableau25[[#This Row],[CA O&amp;M s/parc
BN 2023]],Tableau106[],6,FALSE)</f>
        <v>S</v>
      </c>
      <c r="I117" s="297" t="str">
        <f>VLOOKUP(Tableau25[[#This Row],[CA O&amp;M s/parc
BN 2023]],Tableau106[],9,FALSE)</f>
        <v>KéD</v>
      </c>
      <c r="J117" s="18">
        <v>15933.221377894666</v>
      </c>
      <c r="K117" s="120">
        <v>82.787313600000004</v>
      </c>
      <c r="L117" s="13">
        <v>15000</v>
      </c>
      <c r="M117" s="19">
        <v>1319068.5948699899</v>
      </c>
    </row>
    <row r="118" spans="1:13">
      <c r="A118" s="301" t="s">
        <v>478</v>
      </c>
      <c r="B118" s="294" t="str">
        <f>VLOOKUP(Tableau25[[#This Row],[CA O&amp;M s/parc
BN 2023]],Tableau106[],3,FALSE)</f>
        <v>A530</v>
      </c>
      <c r="C118" s="294" t="str">
        <f>VLOOKUP(Tableau25[[#This Row],[CA O&amp;M s/parc
BN 2023]],Tableau106[],2,FALSE)</f>
        <v>FR57E02E</v>
      </c>
      <c r="D118" s="294" t="str">
        <f>VLOOKUP(Tableau25[[#This Row],[CA O&amp;M s/parc
BN 2023]],Tableau106[],8,FALSE)</f>
        <v>EOLIEN</v>
      </c>
      <c r="E118" s="295">
        <f>VLOOKUP(Tableau25[[#This Row],[CA O&amp;M s/parc
BN 2023]],Tableau106[],4,FALSE)</f>
        <v>12</v>
      </c>
      <c r="F118" s="296" t="str">
        <f>VLOOKUP(Tableau25[[#This Row],[CA O&amp;M s/parc
BN 2023]],Tableau106[],5,FALSE)</f>
        <v>NIED</v>
      </c>
      <c r="G118" s="297" t="str">
        <f>VLOOKUP(Tableau25[[#This Row],[CA O&amp;M s/parc
BN 2023]],Tableau106[],7,FALSE)</f>
        <v>GROUPE</v>
      </c>
      <c r="H118" s="297" t="str">
        <f>VLOOKUP(Tableau25[[#This Row],[CA O&amp;M s/parc
BN 2023]],Tableau106[],6,FALSE)</f>
        <v>N</v>
      </c>
      <c r="I118" s="297" t="str">
        <f>VLOOKUP(Tableau25[[#This Row],[CA O&amp;M s/parc
BN 2023]],Tableau106[],9,FALSE)</f>
        <v>HuB</v>
      </c>
      <c r="J118" s="19">
        <v>20462.312943157845</v>
      </c>
      <c r="K118" s="120">
        <v>229</v>
      </c>
      <c r="L118" s="21"/>
      <c r="M118" s="23">
        <v>4685869.6639831467</v>
      </c>
    </row>
    <row r="119" spans="1:13">
      <c r="A119" s="301" t="s">
        <v>403</v>
      </c>
      <c r="B119" s="294" t="str">
        <f>VLOOKUP(Tableau25[[#This Row],[CA O&amp;M s/parc
BN 2023]],Tableau106[],3,FALSE)</f>
        <v>A258</v>
      </c>
      <c r="C119" s="294" t="str">
        <f>VLOOKUP(Tableau25[[#This Row],[CA O&amp;M s/parc
BN 2023]],Tableau106[],2,FALSE)</f>
        <v>FR01S04E</v>
      </c>
      <c r="D119" s="294" t="str">
        <f>VLOOKUP(Tableau25[[#This Row],[CA O&amp;M s/parc
BN 2023]],Tableau106[],8,FALSE)</f>
        <v>SOLAIRE</v>
      </c>
      <c r="E119" s="295">
        <f>VLOOKUP(Tableau25[[#This Row],[CA O&amp;M s/parc
BN 2023]],Tableau106[],4,FALSE)</f>
        <v>13.4</v>
      </c>
      <c r="F119" s="296" t="str">
        <f>VLOOKUP(Tableau25[[#This Row],[CA O&amp;M s/parc
BN 2023]],Tableau106[],5,FALSE)</f>
        <v>NIEV</v>
      </c>
      <c r="G119" s="297" t="str">
        <f>VLOOKUP(Tableau25[[#This Row],[CA O&amp;M s/parc
BN 2023]],Tableau106[],7,FALSE)</f>
        <v>GROUPE</v>
      </c>
      <c r="H119" s="297" t="str">
        <f>VLOOKUP(Tableau25[[#This Row],[CA O&amp;M s/parc
BN 2023]],Tableau106[],6,FALSE)</f>
        <v>S</v>
      </c>
      <c r="I119" s="297" t="str">
        <f>VLOOKUP(Tableau25[[#This Row],[CA O&amp;M s/parc
BN 2023]],Tableau106[],9,FALSE)</f>
        <v>ZaA</v>
      </c>
      <c r="J119" s="19">
        <v>14949</v>
      </c>
      <c r="K119" s="120">
        <v>66.581099999999992</v>
      </c>
      <c r="L119" s="21"/>
      <c r="M119" s="23">
        <v>995320.86389999988</v>
      </c>
    </row>
    <row r="120" spans="1:13">
      <c r="A120" s="301" t="s">
        <v>551</v>
      </c>
      <c r="B120" s="294" t="str">
        <f>VLOOKUP(Tableau25[[#This Row],[CA O&amp;M s/parc
BN 2023]],Tableau106[],3,FALSE)</f>
        <v>A313</v>
      </c>
      <c r="C120" s="294" t="str">
        <f>VLOOKUP(Tableau25[[#This Row],[CA O&amp;M s/parc
BN 2023]],Tableau106[],2,FALSE)</f>
        <v>FR89S16E</v>
      </c>
      <c r="D120" s="294" t="str">
        <f>VLOOKUP(Tableau25[[#This Row],[CA O&amp;M s/parc
BN 2023]],Tableau106[],8,FALSE)</f>
        <v>SOLAIRE</v>
      </c>
      <c r="E120" s="295">
        <f>VLOOKUP(Tableau25[[#This Row],[CA O&amp;M s/parc
BN 2023]],Tableau106[],4,FALSE)</f>
        <v>3.8</v>
      </c>
      <c r="F120" s="296" t="str">
        <f>VLOOKUP(Tableau25[[#This Row],[CA O&amp;M s/parc
BN 2023]],Tableau106[],5,FALSE)</f>
        <v>NITR</v>
      </c>
      <c r="G120" s="297" t="str">
        <f>VLOOKUP(Tableau25[[#This Row],[CA O&amp;M s/parc
BN 2023]],Tableau106[],7,FALSE)</f>
        <v>GROUPE</v>
      </c>
      <c r="H120" s="297" t="str">
        <f>VLOOKUP(Tableau25[[#This Row],[CA O&amp;M s/parc
BN 2023]],Tableau106[],6,FALSE)</f>
        <v>N</v>
      </c>
      <c r="I120" s="297" t="str">
        <f>VLOOKUP(Tableau25[[#This Row],[CA O&amp;M s/parc
BN 2023]],Tableau106[],9,FALSE)</f>
        <v>LoG</v>
      </c>
      <c r="J120" s="18">
        <v>3656</v>
      </c>
      <c r="K120" s="120">
        <v>66.509672000000009</v>
      </c>
      <c r="L120" s="13"/>
      <c r="M120" s="19">
        <v>243159.36083200003</v>
      </c>
    </row>
    <row r="121" spans="1:13">
      <c r="A121" s="301" t="s">
        <v>529</v>
      </c>
      <c r="B121" s="294" t="str">
        <f>VLOOKUP(Tableau25[[#This Row],[CA O&amp;M s/parc
BN 2023]],Tableau106[],3,FALSE)</f>
        <v>A540</v>
      </c>
      <c r="C121" s="294" t="str">
        <f>VLOOKUP(Tableau25[[#This Row],[CA O&amp;M s/parc
BN 2023]],Tableau106[],2,FALSE)</f>
        <v>FR80E01E</v>
      </c>
      <c r="D121" s="294" t="str">
        <f>VLOOKUP(Tableau25[[#This Row],[CA O&amp;M s/parc
BN 2023]],Tableau106[],8,FALSE)</f>
        <v>EOLIEN</v>
      </c>
      <c r="E121" s="295">
        <f>VLOOKUP(Tableau25[[#This Row],[CA O&amp;M s/parc
BN 2023]],Tableau106[],4,FALSE)</f>
        <v>8</v>
      </c>
      <c r="F121" s="296" t="str">
        <f>VLOOKUP(Tableau25[[#This Row],[CA O&amp;M s/parc
BN 2023]],Tableau106[],5,FALSE)</f>
        <v>NURL</v>
      </c>
      <c r="G121" s="297" t="str">
        <f>VLOOKUP(Tableau25[[#This Row],[CA O&amp;M s/parc
BN 2023]],Tableau106[],7,FALSE)</f>
        <v>EGM</v>
      </c>
      <c r="H121" s="297" t="str">
        <f>VLOOKUP(Tableau25[[#This Row],[CA O&amp;M s/parc
BN 2023]],Tableau106[],6,FALSE)</f>
        <v>N</v>
      </c>
      <c r="I121" s="297" t="str">
        <f>VLOOKUP(Tableau25[[#This Row],[CA O&amp;M s/parc
BN 2023]],Tableau106[],9,FALSE)</f>
        <v>NoS</v>
      </c>
      <c r="J121" s="18">
        <v>19712</v>
      </c>
      <c r="K121" s="120">
        <v>100.9773752</v>
      </c>
      <c r="L121" s="13"/>
      <c r="M121" s="19">
        <v>1990466.0199424</v>
      </c>
    </row>
    <row r="122" spans="1:13">
      <c r="A122" s="301" t="s">
        <v>555</v>
      </c>
      <c r="B122" s="294" t="str">
        <f>VLOOKUP(Tableau25[[#This Row],[CA O&amp;M s/parc
BN 2023]],Tableau106[],3,FALSE)</f>
        <v>A374</v>
      </c>
      <c r="C122" s="294" t="str">
        <f>VLOOKUP(Tableau25[[#This Row],[CA O&amp;M s/parc
BN 2023]],Tableau106[],2,FALSE)</f>
        <v>FR68S02E</v>
      </c>
      <c r="D122" s="294" t="str">
        <f>VLOOKUP(Tableau25[[#This Row],[CA O&amp;M s/parc
BN 2023]],Tableau106[],8,FALSE)</f>
        <v>SOLAIRE</v>
      </c>
      <c r="E122" s="295">
        <f>VLOOKUP(Tableau25[[#This Row],[CA O&amp;M s/parc
BN 2023]],Tableau106[],4,FALSE)</f>
        <v>15.5</v>
      </c>
      <c r="F122" s="296" t="str">
        <f>VLOOKUP(Tableau25[[#This Row],[CA O&amp;M s/parc
BN 2023]],Tableau106[],5,FALSE)</f>
        <v>OTTM</v>
      </c>
      <c r="G122" s="297" t="str">
        <f>VLOOKUP(Tableau25[[#This Row],[CA O&amp;M s/parc
BN 2023]],Tableau106[],7,FALSE)</f>
        <v>GROUPE</v>
      </c>
      <c r="H122" s="297" t="str">
        <f>VLOOKUP(Tableau25[[#This Row],[CA O&amp;M s/parc
BN 2023]],Tableau106[],6,FALSE)</f>
        <v>N</v>
      </c>
      <c r="I122" s="297" t="str">
        <f>VLOOKUP(Tableau25[[#This Row],[CA O&amp;M s/parc
BN 2023]],Tableau106[],9,FALSE)</f>
        <v>ZaA</v>
      </c>
      <c r="J122" s="18">
        <v>15782</v>
      </c>
      <c r="K122" s="120"/>
      <c r="L122" s="13"/>
      <c r="M122" s="19">
        <v>0</v>
      </c>
    </row>
    <row r="123" spans="1:13">
      <c r="A123" s="301" t="s">
        <v>438</v>
      </c>
      <c r="B123" s="294" t="str">
        <f>VLOOKUP(Tableau25[[#This Row],[CA O&amp;M s/parc
BN 2023]],Tableau106[],3,FALSE)</f>
        <v>A044</v>
      </c>
      <c r="C123" s="294" t="str">
        <f>VLOOKUP(Tableau25[[#This Row],[CA O&amp;M s/parc
BN 2023]],Tableau106[],2,FALSE)</f>
        <v>FR34E99E</v>
      </c>
      <c r="D123" s="294" t="str">
        <f>VLOOKUP(Tableau25[[#This Row],[CA O&amp;M s/parc
BN 2023]],Tableau106[],8,FALSE)</f>
        <v>EOLIEN</v>
      </c>
      <c r="E123" s="295">
        <f>VLOOKUP(Tableau25[[#This Row],[CA O&amp;M s/parc
BN 2023]],Tableau106[],4,FALSE)</f>
        <v>8.1</v>
      </c>
      <c r="F123" s="296" t="str">
        <f>VLOOKUP(Tableau25[[#This Row],[CA O&amp;M s/parc
BN 2023]],Tableau106[],5,FALSE)</f>
        <v>OUPI</v>
      </c>
      <c r="G123" s="297" t="str">
        <f>VLOOKUP(Tableau25[[#This Row],[CA O&amp;M s/parc
BN 2023]],Tableau106[],7,FALSE)</f>
        <v>GROUPE</v>
      </c>
      <c r="H123" s="297" t="str">
        <f>VLOOKUP(Tableau25[[#This Row],[CA O&amp;M s/parc
BN 2023]],Tableau106[],6,FALSE)</f>
        <v>S</v>
      </c>
      <c r="I123" s="297" t="str">
        <f>VLOOKUP(Tableau25[[#This Row],[CA O&amp;M s/parc
BN 2023]],Tableau106[],9,FALSE)</f>
        <v>SaH</v>
      </c>
      <c r="J123" s="19">
        <v>6000</v>
      </c>
      <c r="K123" s="120">
        <v>297</v>
      </c>
      <c r="L123" s="21"/>
      <c r="M123" s="23">
        <v>1782000</v>
      </c>
    </row>
    <row r="124" spans="1:13">
      <c r="A124" s="301" t="s">
        <v>492</v>
      </c>
      <c r="B124" s="294" t="str">
        <f>VLOOKUP(Tableau25[[#This Row],[CA O&amp;M s/parc
BN 2023]],Tableau106[],3,FALSE)</f>
        <v>A540</v>
      </c>
      <c r="C124" s="294" t="str">
        <f>VLOOKUP(Tableau25[[#This Row],[CA O&amp;M s/parc
BN 2023]],Tableau106[],2,FALSE)</f>
        <v>FR79E01E</v>
      </c>
      <c r="D124" s="294" t="str">
        <f>VLOOKUP(Tableau25[[#This Row],[CA O&amp;M s/parc
BN 2023]],Tableau106[],8,FALSE)</f>
        <v>EOLIEN</v>
      </c>
      <c r="E124" s="295">
        <f>VLOOKUP(Tableau25[[#This Row],[CA O&amp;M s/parc
BN 2023]],Tableau106[],4,FALSE)</f>
        <v>12</v>
      </c>
      <c r="F124" s="296" t="str">
        <f>VLOOKUP(Tableau25[[#This Row],[CA O&amp;M s/parc
BN 2023]],Tableau106[],5,FALSE)</f>
        <v>PAMP</v>
      </c>
      <c r="G124" s="297" t="str">
        <f>VLOOKUP(Tableau25[[#This Row],[CA O&amp;M s/parc
BN 2023]],Tableau106[],7,FALSE)</f>
        <v>EGM</v>
      </c>
      <c r="H124" s="297" t="str">
        <f>VLOOKUP(Tableau25[[#This Row],[CA O&amp;M s/parc
BN 2023]],Tableau106[],6,FALSE)</f>
        <v>N</v>
      </c>
      <c r="I124" s="297" t="str">
        <f>VLOOKUP(Tableau25[[#This Row],[CA O&amp;M s/parc
BN 2023]],Tableau106[],9,FALSE)</f>
        <v>DeN</v>
      </c>
      <c r="J124" s="19">
        <v>22055.7</v>
      </c>
      <c r="K124" s="120">
        <v>97.389737600000004</v>
      </c>
      <c r="L124" s="21"/>
      <c r="M124" s="23">
        <v>2147998.8355843201</v>
      </c>
    </row>
    <row r="125" spans="1:13">
      <c r="A125" s="301" t="s">
        <v>534</v>
      </c>
      <c r="B125" s="294" t="str">
        <f>VLOOKUP(Tableau25[[#This Row],[CA O&amp;M s/parc
BN 2023]],Tableau106[],3,FALSE)</f>
        <v>A418</v>
      </c>
      <c r="C125" s="294" t="str">
        <f>VLOOKUP(Tableau25[[#This Row],[CA O&amp;M s/parc
BN 2023]],Tableau106[],2,FALSE)</f>
        <v>FR51E08E</v>
      </c>
      <c r="D125" s="294" t="str">
        <f>VLOOKUP(Tableau25[[#This Row],[CA O&amp;M s/parc
BN 2023]],Tableau106[],8,FALSE)</f>
        <v>EOLIEN</v>
      </c>
      <c r="E125" s="295">
        <f>VLOOKUP(Tableau25[[#This Row],[CA O&amp;M s/parc
BN 2023]],Tableau106[],4,FALSE)</f>
        <v>21.6</v>
      </c>
      <c r="F125" s="296" t="str">
        <f>VLOOKUP(Tableau25[[#This Row],[CA O&amp;M s/parc
BN 2023]],Tableau106[],5,FALSE)</f>
        <v>PAAN</v>
      </c>
      <c r="G125" s="297" t="str">
        <f>VLOOKUP(Tableau25[[#This Row],[CA O&amp;M s/parc
BN 2023]],Tableau106[],7,FALSE)</f>
        <v>GROUPE</v>
      </c>
      <c r="H125" s="297" t="str">
        <f>VLOOKUP(Tableau25[[#This Row],[CA O&amp;M s/parc
BN 2023]],Tableau106[],6,FALSE)</f>
        <v>N</v>
      </c>
      <c r="I125" s="297" t="str">
        <f>VLOOKUP(Tableau25[[#This Row],[CA O&amp;M s/parc
BN 2023]],Tableau106[],9,FALSE)</f>
        <v>AlY</v>
      </c>
      <c r="J125" s="19">
        <v>48356</v>
      </c>
      <c r="K125" s="120">
        <v>88.088108000000005</v>
      </c>
      <c r="L125" s="13"/>
      <c r="M125" s="19">
        <v>4259588.5504480004</v>
      </c>
    </row>
    <row r="126" spans="1:13">
      <c r="A126" s="299" t="s">
        <v>559</v>
      </c>
      <c r="B126" s="294" t="str">
        <f>VLOOKUP(Tableau25[[#This Row],[CA O&amp;M s/parc
BN 2023]],Tableau106[],3,FALSE)</f>
        <v>A960</v>
      </c>
      <c r="C126" s="294" t="str">
        <f>VLOOKUP(Tableau25[[#This Row],[CA O&amp;M s/parc
BN 2023]],Tableau106[],2,FALSE)</f>
        <v>FRD1E01E</v>
      </c>
      <c r="D126" s="300" t="str">
        <f>VLOOKUP(Tableau25[[#This Row],[CA O&amp;M s/parc
BN 2023]],Tableau106[],8,FALSE)</f>
        <v>EOLIEN DOM</v>
      </c>
      <c r="E126" s="295">
        <f>VLOOKUP(Tableau25[[#This Row],[CA O&amp;M s/parc
BN 2023]],Tableau106[],4,FALSE)</f>
        <v>9</v>
      </c>
      <c r="F126" s="297" t="str">
        <f>VLOOKUP(Tableau25[[#This Row],[CA O&amp;M s/parc
BN 2023]],Tableau106[],5,FALSE)</f>
        <v>PCR1</v>
      </c>
      <c r="G126" s="301" t="str">
        <f>VLOOKUP(Tableau25[[#This Row],[CA O&amp;M s/parc
BN 2023]],Tableau106[],7,FALSE)</f>
        <v>GROUPE</v>
      </c>
      <c r="H126" s="301" t="str">
        <f>VLOOKUP(Tableau25[[#This Row],[CA O&amp;M s/parc
BN 2023]],Tableau106[],6,FALSE)</f>
        <v>DOM</v>
      </c>
      <c r="I126" s="301" t="str">
        <f>VLOOKUP(Tableau25[[#This Row],[CA O&amp;M s/parc
BN 2023]],Tableau106[],9,FALSE)</f>
        <v>DoJ</v>
      </c>
      <c r="J126" s="110">
        <v>14554.268499999998</v>
      </c>
      <c r="K126" s="120">
        <v>230.08965599999999</v>
      </c>
      <c r="L126" s="21"/>
      <c r="M126" s="23">
        <v>3348786.6324966354</v>
      </c>
    </row>
    <row r="127" spans="1:13">
      <c r="A127" s="299" t="s">
        <v>562</v>
      </c>
      <c r="B127" s="294" t="str">
        <f>VLOOKUP(Tableau25[[#This Row],[CA O&amp;M s/parc
BN 2023]],Tableau106[],3,FALSE)</f>
        <v>A166</v>
      </c>
      <c r="C127" s="294" t="str">
        <f>VLOOKUP(Tableau25[[#This Row],[CA O&amp;M s/parc
BN 2023]],Tableau106[],2,FALSE)</f>
        <v>FR97S86E</v>
      </c>
      <c r="D127" s="300" t="str">
        <f>VLOOKUP(Tableau25[[#This Row],[CA O&amp;M s/parc
BN 2023]],Tableau106[],8,FALSE)</f>
        <v>SOLAIRE DOM</v>
      </c>
      <c r="E127" s="295">
        <f>VLOOKUP(Tableau25[[#This Row],[CA O&amp;M s/parc
BN 2023]],Tableau106[],4,FALSE)</f>
        <v>3.456</v>
      </c>
      <c r="F127" s="297" t="str">
        <f>VLOOKUP(Tableau25[[#This Row],[CA O&amp;M s/parc
BN 2023]],Tableau106[],5,FALSE)</f>
        <v>PIER</v>
      </c>
      <c r="G127" s="301" t="str">
        <f>VLOOKUP(Tableau25[[#This Row],[CA O&amp;M s/parc
BN 2023]],Tableau106[],7,FALSE)</f>
        <v>GROUPE</v>
      </c>
      <c r="H127" s="301" t="str">
        <f>VLOOKUP(Tableau25[[#This Row],[CA O&amp;M s/parc
BN 2023]],Tableau106[],6,FALSE)</f>
        <v>DOM</v>
      </c>
      <c r="I127" s="301" t="str">
        <f>VLOOKUP(Tableau25[[#This Row],[CA O&amp;M s/parc
BN 2023]],Tableau106[],9,FALSE)</f>
        <v>BéK</v>
      </c>
      <c r="J127" s="110">
        <v>5284</v>
      </c>
      <c r="K127" s="120">
        <v>514.63709040000003</v>
      </c>
      <c r="L127" s="21"/>
      <c r="M127" s="23">
        <v>2719342.3856736002</v>
      </c>
    </row>
    <row r="128" spans="1:13">
      <c r="A128" s="299" t="s">
        <v>512</v>
      </c>
      <c r="B128" s="294" t="str">
        <f>VLOOKUP(Tableau25[[#This Row],[CA O&amp;M s/parc
BN 2023]],Tableau106[],3,FALSE)</f>
        <v>A551</v>
      </c>
      <c r="C128" s="294" t="str">
        <f>VLOOKUP(Tableau25[[#This Row],[CA O&amp;M s/parc
BN 2023]],Tableau106[],2,FALSE)</f>
        <v>FR59E02E</v>
      </c>
      <c r="D128" s="300" t="str">
        <f>VLOOKUP(Tableau25[[#This Row],[CA O&amp;M s/parc
BN 2023]],Tableau106[],8,FALSE)</f>
        <v>EOLIEN</v>
      </c>
      <c r="E128" s="295">
        <f>VLOOKUP(Tableau25[[#This Row],[CA O&amp;M s/parc
BN 2023]],Tableau106[],4,FALSE)</f>
        <v>12</v>
      </c>
      <c r="F128" s="297" t="str">
        <f>VLOOKUP(Tableau25[[#This Row],[CA O&amp;M s/parc
BN 2023]],Tableau106[],5,FALSE)</f>
        <v>PLES</v>
      </c>
      <c r="G128" s="301" t="str">
        <f>VLOOKUP(Tableau25[[#This Row],[CA O&amp;M s/parc
BN 2023]],Tableau106[],7,FALSE)</f>
        <v>ENDF</v>
      </c>
      <c r="H128" s="301" t="str">
        <f>VLOOKUP(Tableau25[[#This Row],[CA O&amp;M s/parc
BN 2023]],Tableau106[],6,FALSE)</f>
        <v>N</v>
      </c>
      <c r="I128" s="301" t="str">
        <f>VLOOKUP(Tableau25[[#This Row],[CA O&amp;M s/parc
BN 2023]],Tableau106[],9,FALSE)</f>
        <v>AnN</v>
      </c>
      <c r="J128" s="110">
        <v>27040.81871267363</v>
      </c>
      <c r="K128" s="120">
        <v>93.99985199999999</v>
      </c>
      <c r="L128" s="21"/>
      <c r="M128" s="23">
        <v>2541832.9569501514</v>
      </c>
    </row>
    <row r="129" spans="1:13">
      <c r="A129" s="299" t="s">
        <v>556</v>
      </c>
      <c r="B129" s="294" t="str">
        <f>VLOOKUP(Tableau25[[#This Row],[CA O&amp;M s/parc
BN 2023]],Tableau106[],3,FALSE)</f>
        <v>A160</v>
      </c>
      <c r="C129" s="294" t="str">
        <f>VLOOKUP(Tableau25[[#This Row],[CA O&amp;M s/parc
BN 2023]],Tableau106[],2,FALSE)</f>
        <v>FR11E85E</v>
      </c>
      <c r="D129" s="300" t="str">
        <f>VLOOKUP(Tableau25[[#This Row],[CA O&amp;M s/parc
BN 2023]],Tableau106[],8,FALSE)</f>
        <v>EOLIEN</v>
      </c>
      <c r="E129" s="295">
        <f>VLOOKUP(Tableau25[[#This Row],[CA O&amp;M s/parc
BN 2023]],Tableau106[],4,FALSE)</f>
        <v>11.5</v>
      </c>
      <c r="F129" s="297" t="str">
        <f>VLOOKUP(Tableau25[[#This Row],[CA O&amp;M s/parc
BN 2023]],Tableau106[],5,FALSE)</f>
        <v>LUC2</v>
      </c>
      <c r="G129" s="301" t="str">
        <f>VLOOKUP(Tableau25[[#This Row],[CA O&amp;M s/parc
BN 2023]],Tableau106[],7,FALSE)</f>
        <v>FUTUREN</v>
      </c>
      <c r="H129" s="301" t="str">
        <f>VLOOKUP(Tableau25[[#This Row],[CA O&amp;M s/parc
BN 2023]],Tableau106[],6,FALSE)</f>
        <v>S</v>
      </c>
      <c r="I129" s="301" t="str">
        <f>VLOOKUP(Tableau25[[#This Row],[CA O&amp;M s/parc
BN 2023]],Tableau106[],9,FALSE)</f>
        <v>StE</v>
      </c>
      <c r="J129" s="110">
        <v>27757</v>
      </c>
      <c r="K129" s="120">
        <v>94.481742400000002</v>
      </c>
      <c r="L129" s="21"/>
      <c r="M129" s="23">
        <v>2622529.7237968002</v>
      </c>
    </row>
    <row r="130" spans="1:13">
      <c r="A130" s="299" t="s">
        <v>560</v>
      </c>
      <c r="B130" s="294" t="str">
        <f>VLOOKUP(Tableau25[[#This Row],[CA O&amp;M s/parc
BN 2023]],Tableau106[],3,FALSE)</f>
        <v>A370</v>
      </c>
      <c r="C130" s="294" t="str">
        <f>VLOOKUP(Tableau25[[#This Row],[CA O&amp;M s/parc
BN 2023]],Tableau106[],2,FALSE)</f>
        <v>FR11E94E</v>
      </c>
      <c r="D130" s="300" t="str">
        <f>VLOOKUP(Tableau25[[#This Row],[CA O&amp;M s/parc
BN 2023]],Tableau106[],8,FALSE)</f>
        <v>EOLIEN</v>
      </c>
      <c r="E130" s="295">
        <f>VLOOKUP(Tableau25[[#This Row],[CA O&amp;M s/parc
BN 2023]],Tableau106[],4,FALSE)</f>
        <v>9.1999999999999993</v>
      </c>
      <c r="F130" s="297" t="str">
        <f>VLOOKUP(Tableau25[[#This Row],[CA O&amp;M s/parc
BN 2023]],Tableau106[],5,FALSE)</f>
        <v>PLGR</v>
      </c>
      <c r="G130" s="301" t="str">
        <f>VLOOKUP(Tableau25[[#This Row],[CA O&amp;M s/parc
BN 2023]],Tableau106[],7,FALSE)</f>
        <v>GROUPE</v>
      </c>
      <c r="H130" s="301" t="str">
        <f>VLOOKUP(Tableau25[[#This Row],[CA O&amp;M s/parc
BN 2023]],Tableau106[],6,FALSE)</f>
        <v>S</v>
      </c>
      <c r="I130" s="301" t="str">
        <f>VLOOKUP(Tableau25[[#This Row],[CA O&amp;M s/parc
BN 2023]],Tableau106[],9,FALSE)</f>
        <v>ThC</v>
      </c>
      <c r="J130" s="110">
        <v>26372.756499599986</v>
      </c>
      <c r="K130" s="120">
        <v>75.166575999999992</v>
      </c>
      <c r="L130" s="21"/>
      <c r="M130" s="23">
        <v>1982349.805756676</v>
      </c>
    </row>
    <row r="131" spans="1:13">
      <c r="A131" s="299" t="s">
        <v>456</v>
      </c>
      <c r="B131" s="294" t="str">
        <f>VLOOKUP(Tableau25[[#This Row],[CA O&amp;M s/parc
BN 2023]],Tableau106[],3,FALSE)</f>
        <v>F150</v>
      </c>
      <c r="C131" s="294" t="str">
        <f>VLOOKUP(Tableau25[[#This Row],[CA O&amp;M s/parc
BN 2023]],Tableau106[],2,FALSE)</f>
        <v>FR22E04E</v>
      </c>
      <c r="D131" s="300" t="str">
        <f>VLOOKUP(Tableau25[[#This Row],[CA O&amp;M s/parc
BN 2023]],Tableau106[],8,FALSE)</f>
        <v>EOLIEN</v>
      </c>
      <c r="E131" s="295">
        <f>VLOOKUP(Tableau25[[#This Row],[CA O&amp;M s/parc
BN 2023]],Tableau106[],4,FALSE)</f>
        <v>6.9</v>
      </c>
      <c r="F131" s="297" t="str">
        <f>VLOOKUP(Tableau25[[#This Row],[CA O&amp;M s/parc
BN 2023]],Tableau106[],5,FALSE)</f>
        <v>PLAT</v>
      </c>
      <c r="G131" s="301" t="str">
        <f>VLOOKUP(Tableau25[[#This Row],[CA O&amp;M s/parc
BN 2023]],Tableau106[],7,FALSE)</f>
        <v>FUTUREN</v>
      </c>
      <c r="H131" s="301" t="str">
        <f>VLOOKUP(Tableau25[[#This Row],[CA O&amp;M s/parc
BN 2023]],Tableau106[],6,FALSE)</f>
        <v>N</v>
      </c>
      <c r="I131" s="301" t="str">
        <f>VLOOKUP(Tableau25[[#This Row],[CA O&amp;M s/parc
BN 2023]],Tableau106[],9,FALSE)</f>
        <v>AlY</v>
      </c>
      <c r="J131" s="110">
        <v>10596.132308705235</v>
      </c>
      <c r="K131" s="120">
        <v>242.08800000000002</v>
      </c>
      <c r="L131" s="21"/>
      <c r="M131" s="23">
        <v>2565196.4783498333</v>
      </c>
    </row>
    <row r="132" spans="1:13">
      <c r="A132" s="299" t="s">
        <v>521</v>
      </c>
      <c r="B132" s="294" t="str">
        <f>VLOOKUP(Tableau25[[#This Row],[CA O&amp;M s/parc
BN 2023]],Tableau106[],3,FALSE)</f>
        <v>A552</v>
      </c>
      <c r="C132" s="294" t="str">
        <f>VLOOKUP(Tableau25[[#This Row],[CA O&amp;M s/parc
BN 2023]],Tableau106[],2,FALSE)</f>
        <v>FR02E07E</v>
      </c>
      <c r="D132" s="300" t="str">
        <f>VLOOKUP(Tableau25[[#This Row],[CA O&amp;M s/parc
BN 2023]],Tableau106[],8,FALSE)</f>
        <v>EOLIEN</v>
      </c>
      <c r="E132" s="295">
        <f>VLOOKUP(Tableau25[[#This Row],[CA O&amp;M s/parc
BN 2023]],Tableau106[],4,FALSE)</f>
        <v>21</v>
      </c>
      <c r="F132" s="297" t="str">
        <f>VLOOKUP(Tableau25[[#This Row],[CA O&amp;M s/parc
BN 2023]],Tableau106[],5,FALSE)</f>
        <v>PLAN</v>
      </c>
      <c r="G132" s="301" t="str">
        <f>VLOOKUP(Tableau25[[#This Row],[CA O&amp;M s/parc
BN 2023]],Tableau106[],7,FALSE)</f>
        <v>ENDF</v>
      </c>
      <c r="H132" s="301" t="str">
        <f>VLOOKUP(Tableau25[[#This Row],[CA O&amp;M s/parc
BN 2023]],Tableau106[],6,FALSE)</f>
        <v>N</v>
      </c>
      <c r="I132" s="301" t="str">
        <f>VLOOKUP(Tableau25[[#This Row],[CA O&amp;M s/parc
BN 2023]],Tableau106[],9,FALSE)</f>
        <v>BoK</v>
      </c>
      <c r="J132" s="110">
        <v>51981.449004578884</v>
      </c>
      <c r="K132" s="120">
        <v>94.037320799999989</v>
      </c>
      <c r="L132" s="21"/>
      <c r="M132" s="23">
        <v>4888196.1956924247</v>
      </c>
    </row>
    <row r="133" spans="1:13">
      <c r="A133" s="299" t="s">
        <v>566</v>
      </c>
      <c r="B133" s="294" t="str">
        <f>VLOOKUP(Tableau25[[#This Row],[CA O&amp;M s/parc
BN 2023]],Tableau106[],3,FALSE)</f>
        <v>A545</v>
      </c>
      <c r="C133" s="294" t="str">
        <f>VLOOKUP(Tableau25[[#This Row],[CA O&amp;M s/parc
BN 2023]],Tableau106[],2,FALSE)</f>
        <v>FR56E05E</v>
      </c>
      <c r="D133" s="300" t="str">
        <f>VLOOKUP(Tableau25[[#This Row],[CA O&amp;M s/parc
BN 2023]],Tableau106[],8,FALSE)</f>
        <v>EOLIEN</v>
      </c>
      <c r="E133" s="295">
        <f>VLOOKUP(Tableau25[[#This Row],[CA O&amp;M s/parc
BN 2023]],Tableau106[],4,FALSE)</f>
        <v>10</v>
      </c>
      <c r="F133" s="297" t="str">
        <f>VLOOKUP(Tableau25[[#This Row],[CA O&amp;M s/parc
BN 2023]],Tableau106[],5,FALSE)</f>
        <v>PLEU</v>
      </c>
      <c r="G133" s="301" t="str">
        <f>VLOOKUP(Tableau25[[#This Row],[CA O&amp;M s/parc
BN 2023]],Tableau106[],7,FALSE)</f>
        <v>EGM</v>
      </c>
      <c r="H133" s="301" t="str">
        <f>VLOOKUP(Tableau25[[#This Row],[CA O&amp;M s/parc
BN 2023]],Tableau106[],6,FALSE)</f>
        <v>N</v>
      </c>
      <c r="I133" s="301" t="str">
        <f>VLOOKUP(Tableau25[[#This Row],[CA O&amp;M s/parc
BN 2023]],Tableau106[],9,FALSE)</f>
        <v>MaA</v>
      </c>
      <c r="J133" s="110">
        <v>16746.345000000001</v>
      </c>
      <c r="K133" s="120">
        <v>102.52400399999999</v>
      </c>
      <c r="L133" s="21"/>
      <c r="M133" s="23">
        <v>1716902.34176538</v>
      </c>
    </row>
    <row r="134" spans="1:13">
      <c r="A134" s="299" t="s">
        <v>527</v>
      </c>
      <c r="B134" s="294" t="str">
        <f>VLOOKUP(Tableau25[[#This Row],[CA O&amp;M s/parc
BN 2023]],Tableau106[],3,FALSE)</f>
        <v>A150</v>
      </c>
      <c r="C134" s="294" t="str">
        <f>VLOOKUP(Tableau25[[#This Row],[CA O&amp;M s/parc
BN 2023]],Tableau106[],2,FALSE)</f>
        <v>FR51E01E</v>
      </c>
      <c r="D134" s="300" t="str">
        <f>VLOOKUP(Tableau25[[#This Row],[CA O&amp;M s/parc
BN 2023]],Tableau106[],8,FALSE)</f>
        <v>EOLIEN</v>
      </c>
      <c r="E134" s="295">
        <f>VLOOKUP(Tableau25[[#This Row],[CA O&amp;M s/parc
BN 2023]],Tableau106[],4,FALSE)</f>
        <v>12.3</v>
      </c>
      <c r="F134" s="297" t="str">
        <f>VLOOKUP(Tableau25[[#This Row],[CA O&amp;M s/parc
BN 2023]],Tableau106[],5,FALSE)</f>
        <v>PDC1, PDC2</v>
      </c>
      <c r="G134" s="301" t="str">
        <f>VLOOKUP(Tableau25[[#This Row],[CA O&amp;M s/parc
BN 2023]],Tableau106[],7,FALSE)</f>
        <v>FUTUREN</v>
      </c>
      <c r="H134" s="301" t="str">
        <f>VLOOKUP(Tableau25[[#This Row],[CA O&amp;M s/parc
BN 2023]],Tableau106[],6,FALSE)</f>
        <v>N</v>
      </c>
      <c r="I134" s="301" t="str">
        <f>VLOOKUP(Tableau25[[#This Row],[CA O&amp;M s/parc
BN 2023]],Tableau106[],9,FALSE)</f>
        <v>HuB</v>
      </c>
      <c r="J134" s="110">
        <v>23065.694770499929</v>
      </c>
      <c r="K134" s="120">
        <v>95.753599999999992</v>
      </c>
      <c r="L134" s="21"/>
      <c r="M134" s="23">
        <v>2208623.3107765419</v>
      </c>
    </row>
    <row r="135" spans="1:13">
      <c r="A135" s="299" t="s">
        <v>588</v>
      </c>
      <c r="B135" s="294" t="str">
        <f>VLOOKUP(Tableau25[[#This Row],[CA O&amp;M s/parc
BN 2023]],Tableau106[],3,FALSE)</f>
        <v>A533</v>
      </c>
      <c r="C135" s="294" t="str">
        <f>VLOOKUP(Tableau25[[#This Row],[CA O&amp;M s/parc
BN 2023]],Tableau106[],2,FALSE)</f>
        <v>FR57E03E</v>
      </c>
      <c r="D135" s="300" t="str">
        <f>VLOOKUP(Tableau25[[#This Row],[CA O&amp;M s/parc
BN 2023]],Tableau106[],8,FALSE)</f>
        <v>EOLIEN</v>
      </c>
      <c r="E135" s="295">
        <f>VLOOKUP(Tableau25[[#This Row],[CA O&amp;M s/parc
BN 2023]],Tableau106[],4,FALSE)</f>
        <v>8</v>
      </c>
      <c r="F135" s="297" t="str">
        <f>VLOOKUP(Tableau25[[#This Row],[CA O&amp;M s/parc
BN 2023]],Tableau106[],5,FALSE)</f>
        <v>PDFE</v>
      </c>
      <c r="G135" s="301" t="str">
        <f>VLOOKUP(Tableau25[[#This Row],[CA O&amp;M s/parc
BN 2023]],Tableau106[],7,FALSE)</f>
        <v>GROUPE</v>
      </c>
      <c r="H135" s="301" t="str">
        <f>VLOOKUP(Tableau25[[#This Row],[CA O&amp;M s/parc
BN 2023]],Tableau106[],6,FALSE)</f>
        <v>N</v>
      </c>
      <c r="I135" s="301" t="str">
        <f>VLOOKUP(Tableau25[[#This Row],[CA O&amp;M s/parc
BN 2023]],Tableau106[],9,FALSE)</f>
        <v>AyB</v>
      </c>
      <c r="J135" s="110">
        <v>17238.14752319999</v>
      </c>
      <c r="K135" s="120">
        <v>101.63203839999998</v>
      </c>
      <c r="L135" s="21"/>
      <c r="M135" s="23">
        <v>1751948.0710227261</v>
      </c>
    </row>
    <row r="136" spans="1:13">
      <c r="A136" s="299" t="s">
        <v>574</v>
      </c>
      <c r="B136" s="294" t="str">
        <f>VLOOKUP(Tableau25[[#This Row],[CA O&amp;M s/parc
BN 2023]],Tableau106[],3,FALSE)</f>
        <v>A041</v>
      </c>
      <c r="C136" s="294" t="str">
        <f>VLOOKUP(Tableau25[[#This Row],[CA O&amp;M s/parc
BN 2023]],Tableau106[],2,FALSE)</f>
        <v>FR97S92E</v>
      </c>
      <c r="D136" s="300" t="str">
        <f>VLOOKUP(Tableau25[[#This Row],[CA O&amp;M s/parc
BN 2023]],Tableau106[],8,FALSE)</f>
        <v>SOLAIRE DOM</v>
      </c>
      <c r="E136" s="295">
        <f>VLOOKUP(Tableau25[[#This Row],[CA O&amp;M s/parc
BN 2023]],Tableau106[],4,FALSE)</f>
        <v>4.5</v>
      </c>
      <c r="F136" s="297" t="str">
        <f>VLOOKUP(Tableau25[[#This Row],[CA O&amp;M s/parc
BN 2023]],Tableau106[],5,FALSE)</f>
        <v>POTI</v>
      </c>
      <c r="G136" s="301" t="str">
        <f>VLOOKUP(Tableau25[[#This Row],[CA O&amp;M s/parc
BN 2023]],Tableau106[],7,FALSE)</f>
        <v>GROUPE</v>
      </c>
      <c r="H136" s="301" t="str">
        <f>VLOOKUP(Tableau25[[#This Row],[CA O&amp;M s/parc
BN 2023]],Tableau106[],6,FALSE)</f>
        <v>DOM</v>
      </c>
      <c r="I136" s="301" t="str">
        <f>VLOOKUP(Tableau25[[#This Row],[CA O&amp;M s/parc
BN 2023]],Tableau106[],9,FALSE)</f>
        <v>DoJ</v>
      </c>
      <c r="J136" s="110">
        <v>5495</v>
      </c>
      <c r="K136" s="120">
        <v>494.86397199999993</v>
      </c>
      <c r="L136" s="21"/>
      <c r="M136" s="23">
        <v>2719277.5261399997</v>
      </c>
    </row>
    <row r="137" spans="1:13">
      <c r="A137" s="299" t="s">
        <v>286</v>
      </c>
      <c r="B137" s="294" t="str">
        <f>VLOOKUP(Tableau25[[#This Row],[CA O&amp;M s/parc
BN 2023]],Tableau106[],3,FALSE)</f>
        <v>A539</v>
      </c>
      <c r="C137" s="294" t="str">
        <f>VLOOKUP(Tableau25[[#This Row],[CA O&amp;M s/parc
BN 2023]],Tableau106[],2,FALSE)</f>
        <v>FR11E87E</v>
      </c>
      <c r="D137" s="300" t="str">
        <f>VLOOKUP(Tableau25[[#This Row],[CA O&amp;M s/parc
BN 2023]],Tableau106[],8,FALSE)</f>
        <v>EOLIEN</v>
      </c>
      <c r="E137" s="295">
        <f>VLOOKUP(Tableau25[[#This Row],[CA O&amp;M s/parc
BN 2023]],Tableau106[],4,FALSE)</f>
        <v>5.0999999999999996</v>
      </c>
      <c r="F137" s="297" t="str">
        <f>VLOOKUP(Tableau25[[#This Row],[CA O&amp;M s/parc
BN 2023]],Tableau106[],5,FALSE)</f>
        <v>POUZ</v>
      </c>
      <c r="G137" s="301" t="str">
        <f>VLOOKUP(Tableau25[[#This Row],[CA O&amp;M s/parc
BN 2023]],Tableau106[],7,FALSE)</f>
        <v>GROUPE</v>
      </c>
      <c r="H137" s="301" t="str">
        <f>VLOOKUP(Tableau25[[#This Row],[CA O&amp;M s/parc
BN 2023]],Tableau106[],6,FALSE)</f>
        <v>S</v>
      </c>
      <c r="I137" s="301" t="str">
        <f>VLOOKUP(Tableau25[[#This Row],[CA O&amp;M s/parc
BN 2023]],Tableau106[],9,FALSE)</f>
        <v>SaH</v>
      </c>
      <c r="J137" s="110">
        <v>14570.498773894673</v>
      </c>
      <c r="K137" s="120">
        <v>94.878287200000003</v>
      </c>
      <c r="L137" s="21"/>
      <c r="M137" s="23">
        <v>1382423.9673168266</v>
      </c>
    </row>
    <row r="138" spans="1:13">
      <c r="A138" s="299" t="s">
        <v>577</v>
      </c>
      <c r="B138" s="294" t="str">
        <f>VLOOKUP(Tableau25[[#This Row],[CA O&amp;M s/parc
BN 2023]],Tableau106[],3,FALSE)</f>
        <v>A045</v>
      </c>
      <c r="C138" s="294" t="str">
        <f>VLOOKUP(Tableau25[[#This Row],[CA O&amp;M s/parc
BN 2023]],Tableau106[],2,FALSE)</f>
        <v>FR97S74E</v>
      </c>
      <c r="D138" s="300" t="str">
        <f>VLOOKUP(Tableau25[[#This Row],[CA O&amp;M s/parc
BN 2023]],Tableau106[],8,FALSE)</f>
        <v>SOLAIRE DOM</v>
      </c>
      <c r="E138" s="295">
        <f>VLOOKUP(Tableau25[[#This Row],[CA O&amp;M s/parc
BN 2023]],Tableau106[],4,FALSE)</f>
        <v>0.68200000000000005</v>
      </c>
      <c r="F138" s="297" t="str">
        <f>VLOOKUP(Tableau25[[#This Row],[CA O&amp;M s/parc
BN 2023]],Tableau106[],5,FALSE)</f>
        <v>PROV</v>
      </c>
      <c r="G138" s="301" t="str">
        <f>VLOOKUP(Tableau25[[#This Row],[CA O&amp;M s/parc
BN 2023]],Tableau106[],7,FALSE)</f>
        <v>GROUPE</v>
      </c>
      <c r="H138" s="301" t="str">
        <f>VLOOKUP(Tableau25[[#This Row],[CA O&amp;M s/parc
BN 2023]],Tableau106[],6,FALSE)</f>
        <v>DOM</v>
      </c>
      <c r="I138" s="301" t="str">
        <f>VLOOKUP(Tableau25[[#This Row],[CA O&amp;M s/parc
BN 2023]],Tableau106[],9,FALSE)</f>
        <v>DoJ</v>
      </c>
      <c r="J138" s="110">
        <v>793</v>
      </c>
      <c r="K138" s="120">
        <v>495.13770239999997</v>
      </c>
      <c r="L138" s="21"/>
      <c r="M138" s="23">
        <v>392644.1980032</v>
      </c>
    </row>
    <row r="139" spans="1:13">
      <c r="A139" s="299" t="s">
        <v>621</v>
      </c>
      <c r="B139" s="294" t="str">
        <f>VLOOKUP(Tableau25[[#This Row],[CA O&amp;M s/parc
BN 2023]],Tableau106[],3,FALSE)</f>
        <v>A540</v>
      </c>
      <c r="C139" s="294" t="str">
        <f>VLOOKUP(Tableau25[[#This Row],[CA O&amp;M s/parc
BN 2023]],Tableau106[],2,FALSE)</f>
        <v>FR55E05E</v>
      </c>
      <c r="D139" s="300" t="str">
        <f>VLOOKUP(Tableau25[[#This Row],[CA O&amp;M s/parc
BN 2023]],Tableau106[],8,FALSE)</f>
        <v>EOLIEN</v>
      </c>
      <c r="E139" s="295">
        <f>VLOOKUP(Tableau25[[#This Row],[CA O&amp;M s/parc
BN 2023]],Tableau106[],4,FALSE)</f>
        <v>12</v>
      </c>
      <c r="F139" s="297" t="str">
        <f>VLOOKUP(Tableau25[[#This Row],[CA O&amp;M s/parc
BN 2023]],Tableau106[],5,FALSE)</f>
        <v>RAM1</v>
      </c>
      <c r="G139" s="301" t="str">
        <f>VLOOKUP(Tableau25[[#This Row],[CA O&amp;M s/parc
BN 2023]],Tableau106[],7,FALSE)</f>
        <v>EGM</v>
      </c>
      <c r="H139" s="301" t="str">
        <f>VLOOKUP(Tableau25[[#This Row],[CA O&amp;M s/parc
BN 2023]],Tableau106[],6,FALSE)</f>
        <v>N</v>
      </c>
      <c r="I139" s="301" t="str">
        <f>VLOOKUP(Tableau25[[#This Row],[CA O&amp;M s/parc
BN 2023]],Tableau106[],9,FALSE)</f>
        <v>BaB</v>
      </c>
      <c r="J139" s="110">
        <v>20982.878000000001</v>
      </c>
      <c r="K139" s="120">
        <v>220.4796</v>
      </c>
      <c r="L139" s="21"/>
      <c r="M139" s="23">
        <v>4626296.5482887998</v>
      </c>
    </row>
    <row r="140" spans="1:13">
      <c r="A140" s="299" t="s">
        <v>624</v>
      </c>
      <c r="B140" s="294" t="str">
        <f>VLOOKUP(Tableau25[[#This Row],[CA O&amp;M s/parc
BN 2023]],Tableau106[],3,FALSE)</f>
        <v>A540</v>
      </c>
      <c r="C140" s="294" t="str">
        <f>VLOOKUP(Tableau25[[#This Row],[CA O&amp;M s/parc
BN 2023]],Tableau106[],2,FALSE)</f>
        <v>FR55E06E</v>
      </c>
      <c r="D140" s="300" t="str">
        <f>VLOOKUP(Tableau25[[#This Row],[CA O&amp;M s/parc
BN 2023]],Tableau106[],8,FALSE)</f>
        <v>EOLIEN</v>
      </c>
      <c r="E140" s="295">
        <f>VLOOKUP(Tableau25[[#This Row],[CA O&amp;M s/parc
BN 2023]],Tableau106[],4,FALSE)</f>
        <v>26</v>
      </c>
      <c r="F140" s="297" t="str">
        <f>VLOOKUP(Tableau25[[#This Row],[CA O&amp;M s/parc
BN 2023]],Tableau106[],5,FALSE)</f>
        <v>RAM2</v>
      </c>
      <c r="G140" s="301" t="str">
        <f>VLOOKUP(Tableau25[[#This Row],[CA O&amp;M s/parc
BN 2023]],Tableau106[],7,FALSE)</f>
        <v>EGM</v>
      </c>
      <c r="H140" s="301" t="str">
        <f>VLOOKUP(Tableau25[[#This Row],[CA O&amp;M s/parc
BN 2023]],Tableau106[],6,FALSE)</f>
        <v>N</v>
      </c>
      <c r="I140" s="301" t="str">
        <f>VLOOKUP(Tableau25[[#This Row],[CA O&amp;M s/parc
BN 2023]],Tableau106[],9,FALSE)</f>
        <v>BaB</v>
      </c>
      <c r="J140" s="110">
        <v>47346.623999999996</v>
      </c>
      <c r="K140" s="120">
        <v>103.72196479999999</v>
      </c>
      <c r="L140" s="21"/>
      <c r="M140" s="23">
        <v>4910884.8679268342</v>
      </c>
    </row>
    <row r="141" spans="1:13">
      <c r="A141" s="299" t="s">
        <v>511</v>
      </c>
      <c r="B141" s="294" t="str">
        <f>VLOOKUP(Tableau25[[#This Row],[CA O&amp;M s/parc
BN 2023]],Tableau106[],3,FALSE)</f>
        <v>A540</v>
      </c>
      <c r="C141" s="294" t="str">
        <f>VLOOKUP(Tableau25[[#This Row],[CA O&amp;M s/parc
BN 2023]],Tableau106[],2,FALSE)</f>
        <v>FR02E04E</v>
      </c>
      <c r="D141" s="300" t="str">
        <f>VLOOKUP(Tableau25[[#This Row],[CA O&amp;M s/parc
BN 2023]],Tableau106[],8,FALSE)</f>
        <v>EOLIEN</v>
      </c>
      <c r="E141" s="295">
        <f>VLOOKUP(Tableau25[[#This Row],[CA O&amp;M s/parc
BN 2023]],Tableau106[],4,FALSE)</f>
        <v>10</v>
      </c>
      <c r="F141" s="297" t="str">
        <f>VLOOKUP(Tableau25[[#This Row],[CA O&amp;M s/parc
BN 2023]],Tableau106[],5,FALSE)</f>
        <v>RIBE</v>
      </c>
      <c r="G141" s="301" t="str">
        <f>VLOOKUP(Tableau25[[#This Row],[CA O&amp;M s/parc
BN 2023]],Tableau106[],7,FALSE)</f>
        <v>EGM</v>
      </c>
      <c r="H141" s="301" t="str">
        <f>VLOOKUP(Tableau25[[#This Row],[CA O&amp;M s/parc
BN 2023]],Tableau106[],6,FALSE)</f>
        <v>N</v>
      </c>
      <c r="I141" s="301" t="str">
        <f>VLOOKUP(Tableau25[[#This Row],[CA O&amp;M s/parc
BN 2023]],Tableau106[],9,FALSE)</f>
        <v>NoS</v>
      </c>
      <c r="J141" s="110">
        <v>20799.791999999998</v>
      </c>
      <c r="K141" s="120">
        <v>220.4796</v>
      </c>
      <c r="L141" s="21"/>
      <c r="M141" s="23">
        <v>4585929.8202431994</v>
      </c>
    </row>
    <row r="142" spans="1:13">
      <c r="A142" s="299" t="s">
        <v>617</v>
      </c>
      <c r="B142" s="294" t="str">
        <f>VLOOKUP(Tableau25[[#This Row],[CA O&amp;M s/parc
BN 2023]],Tableau106[],3,FALSE)</f>
        <v>A892</v>
      </c>
      <c r="C142" s="294" t="str">
        <f>VLOOKUP(Tableau25[[#This Row],[CA O&amp;M s/parc
BN 2023]],Tableau106[],2,FALSE)</f>
        <v>FR34E98E</v>
      </c>
      <c r="D142" s="300" t="str">
        <f>VLOOKUP(Tableau25[[#This Row],[CA O&amp;M s/parc
BN 2023]],Tableau106[],8,FALSE)</f>
        <v>EOLIEN</v>
      </c>
      <c r="E142" s="295">
        <f>VLOOKUP(Tableau25[[#This Row],[CA O&amp;M s/parc
BN 2023]],Tableau106[],4,FALSE)</f>
        <v>3.6</v>
      </c>
      <c r="F142" s="297" t="str">
        <f>VLOOKUP(Tableau25[[#This Row],[CA O&amp;M s/parc
BN 2023]],Tableau106[],5,FALSE)</f>
        <v>RIOL</v>
      </c>
      <c r="G142" s="301" t="str">
        <f>VLOOKUP(Tableau25[[#This Row],[CA O&amp;M s/parc
BN 2023]],Tableau106[],7,FALSE)</f>
        <v>GROUPE</v>
      </c>
      <c r="H142" s="301" t="str">
        <f>VLOOKUP(Tableau25[[#This Row],[CA O&amp;M s/parc
BN 2023]],Tableau106[],6,FALSE)</f>
        <v>S</v>
      </c>
      <c r="I142" s="301" t="str">
        <f>VLOOKUP(Tableau25[[#This Row],[CA O&amp;M s/parc
BN 2023]],Tableau106[],9,FALSE)</f>
        <v>SaH</v>
      </c>
      <c r="J142" s="110">
        <v>7189.8874208210455</v>
      </c>
      <c r="K142" s="120">
        <v>242.08800000000002</v>
      </c>
      <c r="L142" s="21"/>
      <c r="M142" s="23">
        <v>1740585.4659317255</v>
      </c>
    </row>
    <row r="143" spans="1:13">
      <c r="A143" s="299" t="s">
        <v>638</v>
      </c>
      <c r="B143" s="294" t="str">
        <f>VLOOKUP(Tableau25[[#This Row],[CA O&amp;M s/parc
BN 2023]],Tableau106[],3,FALSE)</f>
        <v>A251</v>
      </c>
      <c r="C143" s="294" t="str">
        <f>VLOOKUP(Tableau25[[#This Row],[CA O&amp;M s/parc
BN 2023]],Tableau106[],2,FALSE)</f>
        <v>FRD4S01E</v>
      </c>
      <c r="D143" s="300" t="str">
        <f>VLOOKUP(Tableau25[[#This Row],[CA O&amp;M s/parc
BN 2023]],Tableau106[],8,FALSE)</f>
        <v>SOLAIRE DOM</v>
      </c>
      <c r="E143" s="295">
        <f>VLOOKUP(Tableau25[[#This Row],[CA O&amp;M s/parc
BN 2023]],Tableau106[],4,FALSE)</f>
        <v>4.49</v>
      </c>
      <c r="F143" s="297" t="str">
        <f>VLOOKUP(Tableau25[[#This Row],[CA O&amp;M s/parc
BN 2023]],Tableau106[],5,FALSE)</f>
        <v>RDGA</v>
      </c>
      <c r="G143" s="301" t="str">
        <f>VLOOKUP(Tableau25[[#This Row],[CA O&amp;M s/parc
BN 2023]],Tableau106[],7,FALSE)</f>
        <v>GROUPE</v>
      </c>
      <c r="H143" s="301" t="str">
        <f>VLOOKUP(Tableau25[[#This Row],[CA O&amp;M s/parc
BN 2023]],Tableau106[],6,FALSE)</f>
        <v>DOM</v>
      </c>
      <c r="I143" s="301" t="str">
        <f>VLOOKUP(Tableau25[[#This Row],[CA O&amp;M s/parc
BN 2023]],Tableau106[],9,FALSE)</f>
        <v>BeK</v>
      </c>
      <c r="J143" s="110">
        <v>0</v>
      </c>
      <c r="K143" s="120"/>
      <c r="L143" s="21"/>
      <c r="M143" s="23">
        <v>0</v>
      </c>
    </row>
    <row r="144" spans="1:13">
      <c r="A144" s="299" t="s">
        <v>639</v>
      </c>
      <c r="B144" s="294" t="str">
        <f>VLOOKUP(Tableau25[[#This Row],[CA O&amp;M s/parc
BN 2023]],Tableau106[],3,FALSE)</f>
        <v>A955</v>
      </c>
      <c r="C144" s="294" t="str">
        <f>VLOOKUP(Tableau25[[#This Row],[CA O&amp;M s/parc
BN 2023]],Tableau106[],2,FALSE)</f>
        <v>FR05S03E</v>
      </c>
      <c r="D144" s="300" t="str">
        <f>VLOOKUP(Tableau25[[#This Row],[CA O&amp;M s/parc
BN 2023]],Tableau106[],8,FALSE)</f>
        <v>SOLAIRE</v>
      </c>
      <c r="E144" s="295">
        <f>VLOOKUP(Tableau25[[#This Row],[CA O&amp;M s/parc
BN 2023]],Tableau106[],4,FALSE)</f>
        <v>5</v>
      </c>
      <c r="F144" s="297" t="str">
        <f>VLOOKUP(Tableau25[[#This Row],[CA O&amp;M s/parc
BN 2023]],Tableau106[],5,FALSE)</f>
        <v>ROCH</v>
      </c>
      <c r="G144" s="301" t="str">
        <f>VLOOKUP(Tableau25[[#This Row],[CA O&amp;M s/parc
BN 2023]],Tableau106[],7,FALSE)</f>
        <v>GROUPE</v>
      </c>
      <c r="H144" s="301" t="str">
        <f>VLOOKUP(Tableau25[[#This Row],[CA O&amp;M s/parc
BN 2023]],Tableau106[],6,FALSE)</f>
        <v>S</v>
      </c>
      <c r="I144" s="301" t="str">
        <f>VLOOKUP(Tableau25[[#This Row],[CA O&amp;M s/parc
BN 2023]],Tableau106[],9,FALSE)</f>
        <v>BaA</v>
      </c>
      <c r="J144" s="110">
        <v>0</v>
      </c>
      <c r="K144" s="120"/>
      <c r="L144" s="21"/>
      <c r="M144" s="23">
        <v>0</v>
      </c>
    </row>
    <row r="145" spans="1:13">
      <c r="A145" s="299" t="s">
        <v>482</v>
      </c>
      <c r="B145" s="294" t="str">
        <f>VLOOKUP(Tableau25[[#This Row],[CA O&amp;M s/parc
BN 2023]],Tableau106[],3,FALSE)</f>
        <v>A418</v>
      </c>
      <c r="C145" s="294" t="str">
        <f>VLOOKUP(Tableau25[[#This Row],[CA O&amp;M s/parc
BN 2023]],Tableau106[],2,FALSE)</f>
        <v>FR87E03E</v>
      </c>
      <c r="D145" s="300" t="str">
        <f>VLOOKUP(Tableau25[[#This Row],[CA O&amp;M s/parc
BN 2023]],Tableau106[],8,FALSE)</f>
        <v>EOLIEN</v>
      </c>
      <c r="E145" s="295">
        <f>VLOOKUP(Tableau25[[#This Row],[CA O&amp;M s/parc
BN 2023]],Tableau106[],4,FALSE)</f>
        <v>15</v>
      </c>
      <c r="F145" s="297" t="str">
        <f>VLOOKUP(Tableau25[[#This Row],[CA O&amp;M s/parc
BN 2023]],Tableau106[],5,FALSE)</f>
        <v>ROUS</v>
      </c>
      <c r="G145" s="301" t="str">
        <f>VLOOKUP(Tableau25[[#This Row],[CA O&amp;M s/parc
BN 2023]],Tableau106[],7,FALSE)</f>
        <v>GROUPE</v>
      </c>
      <c r="H145" s="301" t="str">
        <f>VLOOKUP(Tableau25[[#This Row],[CA O&amp;M s/parc
BN 2023]],Tableau106[],6,FALSE)</f>
        <v>S</v>
      </c>
      <c r="I145" s="301" t="str">
        <f>VLOOKUP(Tableau25[[#This Row],[CA O&amp;M s/parc
BN 2023]],Tableau106[],9,FALSE)</f>
        <v>KéC</v>
      </c>
      <c r="J145" s="110">
        <v>29190</v>
      </c>
      <c r="K145" s="120">
        <v>77.483053599999991</v>
      </c>
      <c r="L145" s="21"/>
      <c r="M145" s="23">
        <v>2261730.3345839996</v>
      </c>
    </row>
    <row r="146" spans="1:13">
      <c r="A146" s="299" t="s">
        <v>578</v>
      </c>
      <c r="B146" s="294" t="str">
        <f>VLOOKUP(Tableau25[[#This Row],[CA O&amp;M s/parc
BN 2023]],Tableau106[],3,FALSE)</f>
        <v>A544</v>
      </c>
      <c r="C146" s="294" t="str">
        <f>VLOOKUP(Tableau25[[#This Row],[CA O&amp;M s/parc
BN 2023]],Tableau106[],2,FALSE)</f>
        <v>FR55E07E</v>
      </c>
      <c r="D146" s="300" t="str">
        <f>VLOOKUP(Tableau25[[#This Row],[CA O&amp;M s/parc
BN 2023]],Tableau106[],8,FALSE)</f>
        <v>EOLIEN</v>
      </c>
      <c r="E146" s="295">
        <f>VLOOKUP(Tableau25[[#This Row],[CA O&amp;M s/parc
BN 2023]],Tableau106[],4,FALSE)</f>
        <v>12</v>
      </c>
      <c r="F146" s="297" t="str">
        <f>VLOOKUP(Tableau25[[#This Row],[CA O&amp;M s/parc
BN 2023]],Tableau106[],5,FALSE)</f>
        <v>STAU</v>
      </c>
      <c r="G146" s="301" t="str">
        <f>VLOOKUP(Tableau25[[#This Row],[CA O&amp;M s/parc
BN 2023]],Tableau106[],7,FALSE)</f>
        <v>EGM</v>
      </c>
      <c r="H146" s="301" t="str">
        <f>VLOOKUP(Tableau25[[#This Row],[CA O&amp;M s/parc
BN 2023]],Tableau106[],6,FALSE)</f>
        <v>N</v>
      </c>
      <c r="I146" s="301" t="str">
        <f>VLOOKUP(Tableau25[[#This Row],[CA O&amp;M s/parc
BN 2023]],Tableau106[],9,FALSE)</f>
        <v>NoS</v>
      </c>
      <c r="J146" s="110">
        <v>19385</v>
      </c>
      <c r="K146" s="120">
        <v>229</v>
      </c>
      <c r="L146" s="21"/>
      <c r="M146" s="23">
        <v>4439165</v>
      </c>
    </row>
    <row r="147" spans="1:13">
      <c r="A147" s="299" t="s">
        <v>604</v>
      </c>
      <c r="B147" s="294" t="str">
        <f>VLOOKUP(Tableau25[[#This Row],[CA O&amp;M s/parc
BN 2023]],Tableau106[],3,FALSE)</f>
        <v>A066</v>
      </c>
      <c r="C147" s="294" t="str">
        <f>VLOOKUP(Tableau25[[#This Row],[CA O&amp;M s/parc
BN 2023]],Tableau106[],2,FALSE)</f>
        <v>FR97S99E</v>
      </c>
      <c r="D147" s="300" t="str">
        <f>VLOOKUP(Tableau25[[#This Row],[CA O&amp;M s/parc
BN 2023]],Tableau106[],8,FALSE)</f>
        <v>SOLAIRE DOM</v>
      </c>
      <c r="E147" s="295">
        <f>VLOOKUP(Tableau25[[#This Row],[CA O&amp;M s/parc
BN 2023]],Tableau106[],4,FALSE)</f>
        <v>3.6</v>
      </c>
      <c r="F147" s="297" t="str">
        <f>VLOOKUP(Tableau25[[#This Row],[CA O&amp;M s/parc
BN 2023]],Tableau106[],5,FALSE)</f>
        <v>SFR1</v>
      </c>
      <c r="G147" s="301" t="str">
        <f>VLOOKUP(Tableau25[[#This Row],[CA O&amp;M s/parc
BN 2023]],Tableau106[],7,FALSE)</f>
        <v>GROUPE</v>
      </c>
      <c r="H147" s="301" t="str">
        <f>VLOOKUP(Tableau25[[#This Row],[CA O&amp;M s/parc
BN 2023]],Tableau106[],6,FALSE)</f>
        <v>DOM</v>
      </c>
      <c r="I147" s="301" t="str">
        <f>VLOOKUP(Tableau25[[#This Row],[CA O&amp;M s/parc
BN 2023]],Tableau106[],9,FALSE)</f>
        <v>DoJ</v>
      </c>
      <c r="J147" s="110">
        <v>5072</v>
      </c>
      <c r="K147" s="120">
        <v>418.37759040000003</v>
      </c>
      <c r="L147" s="21"/>
      <c r="M147" s="23">
        <v>2122011.1385088</v>
      </c>
    </row>
    <row r="148" spans="1:13">
      <c r="A148" s="299" t="s">
        <v>612</v>
      </c>
      <c r="B148" s="294" t="str">
        <f>VLOOKUP(Tableau25[[#This Row],[CA O&amp;M s/parc
BN 2023]],Tableau106[],3,FALSE)</f>
        <v>A540</v>
      </c>
      <c r="C148" s="294" t="str">
        <f>VLOOKUP(Tableau25[[#This Row],[CA O&amp;M s/parc
BN 2023]],Tableau106[],2,FALSE)</f>
        <v>FR56E07E</v>
      </c>
      <c r="D148" s="300" t="str">
        <f>VLOOKUP(Tableau25[[#This Row],[CA O&amp;M s/parc
BN 2023]],Tableau106[],8,FALSE)</f>
        <v>EOLIEN</v>
      </c>
      <c r="E148" s="295">
        <f>VLOOKUP(Tableau25[[#This Row],[CA O&amp;M s/parc
BN 2023]],Tableau106[],4,FALSE)</f>
        <v>8</v>
      </c>
      <c r="F148" s="297" t="str">
        <f>VLOOKUP(Tableau25[[#This Row],[CA O&amp;M s/parc
BN 2023]],Tableau106[],5,FALSE)</f>
        <v>STME</v>
      </c>
      <c r="G148" s="301" t="str">
        <f>VLOOKUP(Tableau25[[#This Row],[CA O&amp;M s/parc
BN 2023]],Tableau106[],7,FALSE)</f>
        <v>EGM</v>
      </c>
      <c r="H148" s="301" t="str">
        <f>VLOOKUP(Tableau25[[#This Row],[CA O&amp;M s/parc
BN 2023]],Tableau106[],6,FALSE)</f>
        <v>N</v>
      </c>
      <c r="I148" s="301" t="str">
        <f>VLOOKUP(Tableau25[[#This Row],[CA O&amp;M s/parc
BN 2023]],Tableau106[],9,FALSE)</f>
        <v>DeN</v>
      </c>
      <c r="J148" s="110">
        <v>10748.066999999999</v>
      </c>
      <c r="K148" s="120">
        <v>242.08800000000002</v>
      </c>
      <c r="L148" s="21"/>
      <c r="M148" s="23">
        <v>2601978.0438959999</v>
      </c>
    </row>
    <row r="149" spans="1:13">
      <c r="A149" s="299" t="s">
        <v>640</v>
      </c>
      <c r="B149" s="294" t="str">
        <f>VLOOKUP(Tableau25[[#This Row],[CA O&amp;M s/parc
BN 2023]],Tableau106[],3,FALSE)</f>
        <v>A027</v>
      </c>
      <c r="C149" s="294" t="str">
        <f>VLOOKUP(Tableau25[[#This Row],[CA O&amp;M s/parc
BN 2023]],Tableau106[],2,FALSE)</f>
        <v>FRD4E01E</v>
      </c>
      <c r="D149" s="300" t="str">
        <f>VLOOKUP(Tableau25[[#This Row],[CA O&amp;M s/parc
BN 2023]],Tableau106[],8,FALSE)</f>
        <v>EOLIEN DOM</v>
      </c>
      <c r="E149" s="295">
        <f>VLOOKUP(Tableau25[[#This Row],[CA O&amp;M s/parc
BN 2023]],Tableau106[],4,FALSE)</f>
        <v>6.3250000000000002</v>
      </c>
      <c r="F149" s="297" t="str">
        <f>VLOOKUP(Tableau25[[#This Row],[CA O&amp;M s/parc
BN 2023]],Tableau106[],5,FALSE)</f>
        <v>STRO</v>
      </c>
      <c r="G149" s="301" t="str">
        <f>VLOOKUP(Tableau25[[#This Row],[CA O&amp;M s/parc
BN 2023]],Tableau106[],7,FALSE)</f>
        <v>GROUPE</v>
      </c>
      <c r="H149" s="301" t="str">
        <f>VLOOKUP(Tableau25[[#This Row],[CA O&amp;M s/parc
BN 2023]],Tableau106[],6,FALSE)</f>
        <v>DOM</v>
      </c>
      <c r="I149" s="301" t="str">
        <f>VLOOKUP(Tableau25[[#This Row],[CA O&amp;M s/parc
BN 2023]],Tableau106[],9,FALSE)</f>
        <v>BéK</v>
      </c>
      <c r="J149" s="110">
        <v>3937.1516666666671</v>
      </c>
      <c r="K149" s="120">
        <v>144.32825151516047</v>
      </c>
      <c r="L149" s="21"/>
      <c r="M149" s="23">
        <v>568242.21600000001</v>
      </c>
    </row>
    <row r="150" spans="1:13">
      <c r="A150" s="299" t="s">
        <v>589</v>
      </c>
      <c r="B150" s="294" t="str">
        <f>VLOOKUP(Tableau25[[#This Row],[CA O&amp;M s/parc
BN 2023]],Tableau106[],3,FALSE)</f>
        <v>A135</v>
      </c>
      <c r="C150" s="294" t="str">
        <f>VLOOKUP(Tableau25[[#This Row],[CA O&amp;M s/parc
BN 2023]],Tableau106[],2,FALSE)</f>
        <v>FR04S98E</v>
      </c>
      <c r="D150" s="300" t="str">
        <f>VLOOKUP(Tableau25[[#This Row],[CA O&amp;M s/parc
BN 2023]],Tableau106[],8,FALSE)</f>
        <v>SOLAIRE</v>
      </c>
      <c r="E150" s="295">
        <f>VLOOKUP(Tableau25[[#This Row],[CA O&amp;M s/parc
BN 2023]],Tableau106[],4,FALSE)</f>
        <v>5.2350000000000003</v>
      </c>
      <c r="F150" s="297" t="str">
        <f>VLOOKUP(Tableau25[[#This Row],[CA O&amp;M s/parc
BN 2023]],Tableau106[],5,FALSE)</f>
        <v>STUL</v>
      </c>
      <c r="G150" s="301" t="str">
        <f>VLOOKUP(Tableau25[[#This Row],[CA O&amp;M s/parc
BN 2023]],Tableau106[],7,FALSE)</f>
        <v>GROUPE</v>
      </c>
      <c r="H150" s="301" t="str">
        <f>VLOOKUP(Tableau25[[#This Row],[CA O&amp;M s/parc
BN 2023]],Tableau106[],6,FALSE)</f>
        <v>S</v>
      </c>
      <c r="I150" s="301" t="str">
        <f>VLOOKUP(Tableau25[[#This Row],[CA O&amp;M s/parc
BN 2023]],Tableau106[],9,FALSE)</f>
        <v>ArB</v>
      </c>
      <c r="J150" s="110">
        <v>7020</v>
      </c>
      <c r="K150" s="120">
        <v>385.15844799999996</v>
      </c>
      <c r="L150" s="21"/>
      <c r="M150" s="23">
        <v>2703812.3049599999</v>
      </c>
    </row>
    <row r="151" spans="1:13">
      <c r="A151" s="299" t="s">
        <v>607</v>
      </c>
      <c r="B151" s="294" t="str">
        <f>VLOOKUP(Tableau25[[#This Row],[CA O&amp;M s/parc
BN 2023]],Tableau106[],3,FALSE)</f>
        <v>A353</v>
      </c>
      <c r="C151" s="294" t="str">
        <f>VLOOKUP(Tableau25[[#This Row],[CA O&amp;M s/parc
BN 2023]],Tableau106[],2,FALSE)</f>
        <v>FR34S01E</v>
      </c>
      <c r="D151" s="300" t="str">
        <f>VLOOKUP(Tableau25[[#This Row],[CA O&amp;M s/parc
BN 2023]],Tableau106[],8,FALSE)</f>
        <v>SOLAIRE</v>
      </c>
      <c r="E151" s="295">
        <f>VLOOKUP(Tableau25[[#This Row],[CA O&amp;M s/parc
BN 2023]],Tableau106[],4,FALSE)</f>
        <v>10.664</v>
      </c>
      <c r="F151" s="297" t="str">
        <f>VLOOKUP(Tableau25[[#This Row],[CA O&amp;M s/parc
BN 2023]],Tableau106[],5,FALSE)</f>
        <v>SPAR</v>
      </c>
      <c r="G151" s="301" t="str">
        <f>VLOOKUP(Tableau25[[#This Row],[CA O&amp;M s/parc
BN 2023]],Tableau106[],7,FALSE)</f>
        <v>GROUPE</v>
      </c>
      <c r="H151" s="301" t="str">
        <f>VLOOKUP(Tableau25[[#This Row],[CA O&amp;M s/parc
BN 2023]],Tableau106[],6,FALSE)</f>
        <v>S</v>
      </c>
      <c r="I151" s="301" t="str">
        <f>VLOOKUP(Tableau25[[#This Row],[CA O&amp;M s/parc
BN 2023]],Tableau106[],9,FALSE)</f>
        <v>BaA</v>
      </c>
      <c r="J151" s="110">
        <v>15012</v>
      </c>
      <c r="K151" s="120">
        <v>59.065512800000008</v>
      </c>
      <c r="L151" s="21"/>
      <c r="M151" s="23">
        <v>886691.47815360012</v>
      </c>
    </row>
    <row r="152" spans="1:13">
      <c r="A152" s="299" t="s">
        <v>317</v>
      </c>
      <c r="B152" s="294" t="str">
        <f>VLOOKUP(Tableau25[[#This Row],[CA O&amp;M s/parc
BN 2023]],Tableau106[],3,FALSE)</f>
        <v>F040</v>
      </c>
      <c r="C152" s="294" t="str">
        <f>VLOOKUP(Tableau25[[#This Row],[CA O&amp;M s/parc
BN 2023]],Tableau106[],2,FALSE)</f>
        <v>FR14E04E</v>
      </c>
      <c r="D152" s="300" t="str">
        <f>VLOOKUP(Tableau25[[#This Row],[CA O&amp;M s/parc
BN 2023]],Tableau106[],8,FALSE)</f>
        <v>EOLIEN</v>
      </c>
      <c r="E152" s="295">
        <f>VLOOKUP(Tableau25[[#This Row],[CA O&amp;M s/parc
BN 2023]],Tableau106[],4,FALSE)</f>
        <v>8</v>
      </c>
      <c r="F152" s="297" t="str">
        <f>VLOOKUP(Tableau25[[#This Row],[CA O&amp;M s/parc
BN 2023]],Tableau106[],5,FALSE)</f>
        <v>SALL</v>
      </c>
      <c r="G152" s="301" t="str">
        <f>VLOOKUP(Tableau25[[#This Row],[CA O&amp;M s/parc
BN 2023]],Tableau106[],7,FALSE)</f>
        <v>FUTUREN</v>
      </c>
      <c r="H152" s="301" t="str">
        <f>VLOOKUP(Tableau25[[#This Row],[CA O&amp;M s/parc
BN 2023]],Tableau106[],6,FALSE)</f>
        <v>N</v>
      </c>
      <c r="I152" s="301" t="str">
        <f>VLOOKUP(Tableau25[[#This Row],[CA O&amp;M s/parc
BN 2023]],Tableau106[],9,FALSE)</f>
        <v>MéS</v>
      </c>
      <c r="J152" s="110">
        <v>13760.687879578913</v>
      </c>
      <c r="K152" s="120">
        <v>242.08800000000002</v>
      </c>
      <c r="L152" s="21"/>
      <c r="M152" s="23">
        <v>3331297.4073915002</v>
      </c>
    </row>
    <row r="153" spans="1:13">
      <c r="A153" s="299" t="s">
        <v>641</v>
      </c>
      <c r="B153" s="294" t="str">
        <f>VLOOKUP(Tableau25[[#This Row],[CA O&amp;M s/parc
BN 2023]],Tableau106[],3,FALSE)</f>
        <v>A269</v>
      </c>
      <c r="C153" s="294" t="str">
        <f>VLOOKUP(Tableau25[[#This Row],[CA O&amp;M s/parc
BN 2023]],Tableau106[],2,FALSE)</f>
        <v>FR13S17E</v>
      </c>
      <c r="D153" s="300" t="str">
        <f>VLOOKUP(Tableau25[[#This Row],[CA O&amp;M s/parc
BN 2023]],Tableau106[],8,FALSE)</f>
        <v>SOLAIRE</v>
      </c>
      <c r="E153" s="295">
        <f>VLOOKUP(Tableau25[[#This Row],[CA O&amp;M s/parc
BN 2023]],Tableau106[],4,FALSE)</f>
        <v>3.4</v>
      </c>
      <c r="F153" s="297" t="str">
        <f>VLOOKUP(Tableau25[[#This Row],[CA O&amp;M s/parc
BN 2023]],Tableau106[],5,FALSE)</f>
        <v>SALP</v>
      </c>
      <c r="G153" s="301" t="str">
        <f>VLOOKUP(Tableau25[[#This Row],[CA O&amp;M s/parc
BN 2023]],Tableau106[],7,FALSE)</f>
        <v>GROUPE</v>
      </c>
      <c r="H153" s="301" t="str">
        <f>VLOOKUP(Tableau25[[#This Row],[CA O&amp;M s/parc
BN 2023]],Tableau106[],6,FALSE)</f>
        <v>S</v>
      </c>
      <c r="I153" s="301" t="str">
        <f>VLOOKUP(Tableau25[[#This Row],[CA O&amp;M s/parc
BN 2023]],Tableau106[],9,FALSE)</f>
        <v>BaA</v>
      </c>
      <c r="J153" s="110">
        <v>4299</v>
      </c>
      <c r="K153" s="120">
        <v>63.08</v>
      </c>
      <c r="L153" s="21"/>
      <c r="M153" s="23">
        <v>271180.92</v>
      </c>
    </row>
    <row r="154" spans="1:13">
      <c r="A154" s="299" t="s">
        <v>591</v>
      </c>
      <c r="B154" s="294" t="str">
        <f>VLOOKUP(Tableau25[[#This Row],[CA O&amp;M s/parc
BN 2023]],Tableau106[],3,FALSE)</f>
        <v>A272</v>
      </c>
      <c r="C154" s="294" t="str">
        <f>VLOOKUP(Tableau25[[#This Row],[CA O&amp;M s/parc
BN 2023]],Tableau106[],2,FALSE)</f>
        <v>FR43S03E</v>
      </c>
      <c r="D154" s="300" t="str">
        <f>VLOOKUP(Tableau25[[#This Row],[CA O&amp;M s/parc
BN 2023]],Tableau106[],8,FALSE)</f>
        <v>SOLAIRE</v>
      </c>
      <c r="E154" s="295">
        <f>VLOOKUP(Tableau25[[#This Row],[CA O&amp;M s/parc
BN 2023]],Tableau106[],4,FALSE)</f>
        <v>4.2</v>
      </c>
      <c r="F154" s="297" t="str">
        <f>VLOOKUP(Tableau25[[#This Row],[CA O&amp;M s/parc
BN 2023]],Tableau106[],5,FALSE)</f>
        <v>SALZ</v>
      </c>
      <c r="G154" s="301" t="str">
        <f>VLOOKUP(Tableau25[[#This Row],[CA O&amp;M s/parc
BN 2023]],Tableau106[],7,FALSE)</f>
        <v>GROUPE</v>
      </c>
      <c r="H154" s="301" t="str">
        <f>VLOOKUP(Tableau25[[#This Row],[CA O&amp;M s/parc
BN 2023]],Tableau106[],6,FALSE)</f>
        <v>S</v>
      </c>
      <c r="I154" s="301" t="str">
        <f>VLOOKUP(Tableau25[[#This Row],[CA O&amp;M s/parc
BN 2023]],Tableau106[],9,FALSE)</f>
        <v>ArB</v>
      </c>
      <c r="J154" s="110">
        <v>4656</v>
      </c>
      <c r="K154" s="120">
        <v>64.285200000000003</v>
      </c>
      <c r="L154" s="21"/>
      <c r="M154" s="23">
        <v>299311.89120000001</v>
      </c>
    </row>
    <row r="155" spans="1:13">
      <c r="A155" s="299" t="s">
        <v>592</v>
      </c>
      <c r="B155" s="294" t="str">
        <f>VLOOKUP(Tableau25[[#This Row],[CA O&amp;M s/parc
BN 2023]],Tableau106[],3,FALSE)</f>
        <v>A257</v>
      </c>
      <c r="C155" s="294" t="str">
        <f>VLOOKUP(Tableau25[[#This Row],[CA O&amp;M s/parc
BN 2023]],Tableau106[],2,FALSE)</f>
        <v>FR01S03E</v>
      </c>
      <c r="D155" s="300" t="str">
        <f>VLOOKUP(Tableau25[[#This Row],[CA O&amp;M s/parc
BN 2023]],Tableau106[],8,FALSE)</f>
        <v>SOLAIRE</v>
      </c>
      <c r="E155" s="295">
        <f>VLOOKUP(Tableau25[[#This Row],[CA O&amp;M s/parc
BN 2023]],Tableau106[],4,FALSE)</f>
        <v>3.6</v>
      </c>
      <c r="F155" s="297" t="str">
        <f>VLOOKUP(Tableau25[[#This Row],[CA O&amp;M s/parc
BN 2023]],Tableau106[],5,FALSE)</f>
        <v>SAMO</v>
      </c>
      <c r="G155" s="301" t="str">
        <f>VLOOKUP(Tableau25[[#This Row],[CA O&amp;M s/parc
BN 2023]],Tableau106[],7,FALSE)</f>
        <v>GROUPE</v>
      </c>
      <c r="H155" s="301" t="str">
        <f>VLOOKUP(Tableau25[[#This Row],[CA O&amp;M s/parc
BN 2023]],Tableau106[],6,FALSE)</f>
        <v>S</v>
      </c>
      <c r="I155" s="301" t="str">
        <f>VLOOKUP(Tableau25[[#This Row],[CA O&amp;M s/parc
BN 2023]],Tableau106[],9,FALSE)</f>
        <v>ArB</v>
      </c>
      <c r="J155" s="110">
        <v>3581</v>
      </c>
      <c r="K155" s="120">
        <v>71.530039999999985</v>
      </c>
      <c r="L155" s="21"/>
      <c r="M155" s="23">
        <v>256149.07323999994</v>
      </c>
    </row>
    <row r="156" spans="1:13">
      <c r="A156" s="299" t="s">
        <v>593</v>
      </c>
      <c r="B156" s="294" t="str">
        <f>VLOOKUP(Tableau25[[#This Row],[CA O&amp;M s/parc
BN 2023]],Tableau106[],3,FALSE)</f>
        <v>A258</v>
      </c>
      <c r="C156" s="294" t="str">
        <f>VLOOKUP(Tableau25[[#This Row],[CA O&amp;M s/parc
BN 2023]],Tableau106[],2,FALSE)</f>
        <v>FR49S01E</v>
      </c>
      <c r="D156" s="300" t="str">
        <f>VLOOKUP(Tableau25[[#This Row],[CA O&amp;M s/parc
BN 2023]],Tableau106[],8,FALSE)</f>
        <v>SOLAIRE</v>
      </c>
      <c r="E156" s="295">
        <f>VLOOKUP(Tableau25[[#This Row],[CA O&amp;M s/parc
BN 2023]],Tableau106[],4,FALSE)</f>
        <v>10.3</v>
      </c>
      <c r="F156" s="297" t="str">
        <f>VLOOKUP(Tableau25[[#This Row],[CA O&amp;M s/parc
BN 2023]],Tableau106[],5,FALSE)</f>
        <v>SAUM</v>
      </c>
      <c r="G156" s="301" t="str">
        <f>VLOOKUP(Tableau25[[#This Row],[CA O&amp;M s/parc
BN 2023]],Tableau106[],7,FALSE)</f>
        <v>GROUPE</v>
      </c>
      <c r="H156" s="301" t="str">
        <f>VLOOKUP(Tableau25[[#This Row],[CA O&amp;M s/parc
BN 2023]],Tableau106[],6,FALSE)</f>
        <v>N</v>
      </c>
      <c r="I156" s="301" t="str">
        <f>VLOOKUP(Tableau25[[#This Row],[CA O&amp;M s/parc
BN 2023]],Tableau106[],9,FALSE)</f>
        <v>ZaA</v>
      </c>
      <c r="J156" s="110">
        <v>11236.679999999998</v>
      </c>
      <c r="K156" s="120">
        <v>56.234243999999997</v>
      </c>
      <c r="L156" s="21"/>
      <c r="M156" s="23">
        <v>631886.20486991992</v>
      </c>
    </row>
    <row r="157" spans="1:13">
      <c r="A157" s="299" t="s">
        <v>517</v>
      </c>
      <c r="B157" s="294" t="str">
        <f>VLOOKUP(Tableau25[[#This Row],[CA O&amp;M s/parc
BN 2023]],Tableau106[],3,FALSE)</f>
        <v>A125</v>
      </c>
      <c r="C157" s="294" t="str">
        <f>VLOOKUP(Tableau25[[#This Row],[CA O&amp;M s/parc
BN 2023]],Tableau106[],2,FALSE)</f>
        <v>FR81E99E</v>
      </c>
      <c r="D157" s="300" t="str">
        <f>VLOOKUP(Tableau25[[#This Row],[CA O&amp;M s/parc
BN 2023]],Tableau106[],8,FALSE)</f>
        <v>EOLIEN</v>
      </c>
      <c r="E157" s="295">
        <f>VLOOKUP(Tableau25[[#This Row],[CA O&amp;M s/parc
BN 2023]],Tableau106[],4,FALSE)</f>
        <v>12</v>
      </c>
      <c r="F157" s="297" t="str">
        <f>VLOOKUP(Tableau25[[#This Row],[CA O&amp;M s/parc
BN 2023]],Tableau106[],5,FALSE)</f>
        <v>SAUV</v>
      </c>
      <c r="G157" s="301" t="str">
        <f>VLOOKUP(Tableau25[[#This Row],[CA O&amp;M s/parc
BN 2023]],Tableau106[],7,FALSE)</f>
        <v>GROUPE</v>
      </c>
      <c r="H157" s="301" t="str">
        <f>VLOOKUP(Tableau25[[#This Row],[CA O&amp;M s/parc
BN 2023]],Tableau106[],6,FALSE)</f>
        <v>S</v>
      </c>
      <c r="I157" s="301" t="str">
        <f>VLOOKUP(Tableau25[[#This Row],[CA O&amp;M s/parc
BN 2023]],Tableau106[],9,FALSE)</f>
        <v>ThC</v>
      </c>
      <c r="J157" s="110">
        <v>44436.2497</v>
      </c>
      <c r="K157" s="120">
        <v>53.5</v>
      </c>
      <c r="L157" s="21"/>
      <c r="M157" s="23">
        <v>2377339.3589499998</v>
      </c>
    </row>
    <row r="158" spans="1:13">
      <c r="A158" s="299" t="s">
        <v>462</v>
      </c>
      <c r="B158" s="294" t="str">
        <f>VLOOKUP(Tableau25[[#This Row],[CA O&amp;M s/parc
BN 2023]],Tableau106[],3,FALSE)</f>
        <v>A080</v>
      </c>
      <c r="C158" s="294" t="str">
        <f>VLOOKUP(Tableau25[[#This Row],[CA O&amp;M s/parc
BN 2023]],Tableau106[],2,FALSE)</f>
        <v>FR12E98E</v>
      </c>
      <c r="D158" s="300" t="str">
        <f>VLOOKUP(Tableau25[[#This Row],[CA O&amp;M s/parc
BN 2023]],Tableau106[],8,FALSE)</f>
        <v>EOLIEN</v>
      </c>
      <c r="E158" s="295">
        <f>VLOOKUP(Tableau25[[#This Row],[CA O&amp;M s/parc
BN 2023]],Tableau106[],4,FALSE)</f>
        <v>60</v>
      </c>
      <c r="F158" s="297" t="str">
        <f>VLOOKUP(Tableau25[[#This Row],[CA O&amp;M s/parc
BN 2023]],Tableau106[],5,FALSE)</f>
        <v>SACU</v>
      </c>
      <c r="G158" s="301" t="str">
        <f>VLOOKUP(Tableau25[[#This Row],[CA O&amp;M s/parc
BN 2023]],Tableau106[],7,FALSE)</f>
        <v>GROUPE</v>
      </c>
      <c r="H158" s="301" t="str">
        <f>VLOOKUP(Tableau25[[#This Row],[CA O&amp;M s/parc
BN 2023]],Tableau106[],6,FALSE)</f>
        <v>N</v>
      </c>
      <c r="I158" s="301" t="str">
        <f>VLOOKUP(Tableau25[[#This Row],[CA O&amp;M s/parc
BN 2023]],Tableau106[],9,FALSE)</f>
        <v>AuE</v>
      </c>
      <c r="J158" s="110">
        <v>119819.46079184176</v>
      </c>
      <c r="K158" s="120">
        <v>242.08800000000002</v>
      </c>
      <c r="L158" s="21"/>
      <c r="M158" s="23">
        <v>29006853.624175392</v>
      </c>
    </row>
    <row r="159" spans="1:13">
      <c r="A159" s="299" t="s">
        <v>460</v>
      </c>
      <c r="B159" s="294" t="str">
        <f>VLOOKUP(Tableau25[[#This Row],[CA O&amp;M s/parc
BN 2023]],Tableau106[],3,FALSE)</f>
        <v>A081</v>
      </c>
      <c r="C159" s="294" t="str">
        <f>VLOOKUP(Tableau25[[#This Row],[CA O&amp;M s/parc
BN 2023]],Tableau106[],2,FALSE)</f>
        <v>FR12E97E</v>
      </c>
      <c r="D159" s="300" t="str">
        <f>VLOOKUP(Tableau25[[#This Row],[CA O&amp;M s/parc
BN 2023]],Tableau106[],8,FALSE)</f>
        <v>EOLIEN</v>
      </c>
      <c r="E159" s="295">
        <f>VLOOKUP(Tableau25[[#This Row],[CA O&amp;M s/parc
BN 2023]],Tableau106[],4,FALSE)</f>
        <v>9</v>
      </c>
      <c r="F159" s="297" t="str">
        <f>VLOOKUP(Tableau25[[#This Row],[CA O&amp;M s/parc
BN 2023]],Tableau106[],5,FALSE)</f>
        <v>SAPN</v>
      </c>
      <c r="G159" s="301" t="str">
        <f>VLOOKUP(Tableau25[[#This Row],[CA O&amp;M s/parc
BN 2023]],Tableau106[],7,FALSE)</f>
        <v>GROUPE</v>
      </c>
      <c r="H159" s="301" t="str">
        <f>VLOOKUP(Tableau25[[#This Row],[CA O&amp;M s/parc
BN 2023]],Tableau106[],6,FALSE)</f>
        <v>N</v>
      </c>
      <c r="I159" s="301" t="str">
        <f>VLOOKUP(Tableau25[[#This Row],[CA O&amp;M s/parc
BN 2023]],Tableau106[],9,FALSE)</f>
        <v>AuE</v>
      </c>
      <c r="J159" s="110">
        <v>17381</v>
      </c>
      <c r="K159" s="120">
        <v>242.08800000000002</v>
      </c>
      <c r="L159" s="21"/>
      <c r="M159" s="23">
        <v>4207731.5279999999</v>
      </c>
    </row>
    <row r="160" spans="1:13">
      <c r="A160" s="299" t="s">
        <v>339</v>
      </c>
      <c r="B160" s="294" t="str">
        <f>VLOOKUP(Tableau25[[#This Row],[CA O&amp;M s/parc
BN 2023]],Tableau106[],3,FALSE)</f>
        <v>F033</v>
      </c>
      <c r="C160" s="294" t="str">
        <f>VLOOKUP(Tableau25[[#This Row],[CA O&amp;M s/parc
BN 2023]],Tableau106[],2,FALSE)</f>
        <v>FR56E10E</v>
      </c>
      <c r="D160" s="300" t="str">
        <f>VLOOKUP(Tableau25[[#This Row],[CA O&amp;M s/parc
BN 2023]],Tableau106[],8,FALSE)</f>
        <v>EOLIEN</v>
      </c>
      <c r="E160" s="295">
        <f>VLOOKUP(Tableau25[[#This Row],[CA O&amp;M s/parc
BN 2023]],Tableau106[],4,FALSE)</f>
        <v>9</v>
      </c>
      <c r="F160" s="297" t="str">
        <f>VLOOKUP(Tableau25[[#This Row],[CA O&amp;M s/parc
BN 2023]],Tableau106[],5,FALSE)</f>
        <v>SAMI</v>
      </c>
      <c r="G160" s="301" t="str">
        <f>VLOOKUP(Tableau25[[#This Row],[CA O&amp;M s/parc
BN 2023]],Tableau106[],7,FALSE)</f>
        <v>FUTUREN</v>
      </c>
      <c r="H160" s="301" t="str">
        <f>VLOOKUP(Tableau25[[#This Row],[CA O&amp;M s/parc
BN 2023]],Tableau106[],6,FALSE)</f>
        <v>N</v>
      </c>
      <c r="I160" s="301" t="str">
        <f>VLOOKUP(Tableau25[[#This Row],[CA O&amp;M s/parc
BN 2023]],Tableau106[],9,FALSE)</f>
        <v>AnN</v>
      </c>
      <c r="J160" s="110">
        <v>15628.860433515749</v>
      </c>
      <c r="K160" s="120">
        <v>219</v>
      </c>
      <c r="L160" s="21"/>
      <c r="M160" s="23">
        <v>3422720.4349399488</v>
      </c>
    </row>
    <row r="161" spans="1:13">
      <c r="A161" s="299" t="s">
        <v>342</v>
      </c>
      <c r="B161" s="294" t="str">
        <f>VLOOKUP(Tableau25[[#This Row],[CA O&amp;M s/parc
BN 2023]],Tableau106[],3,FALSE)</f>
        <v>A540</v>
      </c>
      <c r="C161" s="294" t="str">
        <f>VLOOKUP(Tableau25[[#This Row],[CA O&amp;M s/parc
BN 2023]],Tableau106[],2,FALSE)</f>
        <v>FR02E05E</v>
      </c>
      <c r="D161" s="300" t="str">
        <f>VLOOKUP(Tableau25[[#This Row],[CA O&amp;M s/parc
BN 2023]],Tableau106[],8,FALSE)</f>
        <v>EOLIEN</v>
      </c>
      <c r="E161" s="295">
        <f>VLOOKUP(Tableau25[[#This Row],[CA O&amp;M s/parc
BN 2023]],Tableau106[],4,FALSE)</f>
        <v>8</v>
      </c>
      <c r="F161" s="297" t="str">
        <f>VLOOKUP(Tableau25[[#This Row],[CA O&amp;M s/parc
BN 2023]],Tableau106[],5,FALSE)</f>
        <v>SERY</v>
      </c>
      <c r="G161" s="301" t="str">
        <f>VLOOKUP(Tableau25[[#This Row],[CA O&amp;M s/parc
BN 2023]],Tableau106[],7,FALSE)</f>
        <v>EGM</v>
      </c>
      <c r="H161" s="301" t="str">
        <f>VLOOKUP(Tableau25[[#This Row],[CA O&amp;M s/parc
BN 2023]],Tableau106[],6,FALSE)</f>
        <v>N</v>
      </c>
      <c r="I161" s="301" t="str">
        <f>VLOOKUP(Tableau25[[#This Row],[CA O&amp;M s/parc
BN 2023]],Tableau106[],9,FALSE)</f>
        <v>NoS</v>
      </c>
      <c r="J161" s="110">
        <v>17090.523000000001</v>
      </c>
      <c r="K161" s="120">
        <v>220.4796</v>
      </c>
      <c r="L161" s="21"/>
      <c r="M161" s="23">
        <v>3768111.6748308004</v>
      </c>
    </row>
    <row r="162" spans="1:13">
      <c r="A162" s="299" t="s">
        <v>535</v>
      </c>
      <c r="B162" s="294" t="str">
        <f>VLOOKUP(Tableau25[[#This Row],[CA O&amp;M s/parc
BN 2023]],Tableau106[],3,FALSE)</f>
        <v>A553</v>
      </c>
      <c r="C162" s="294" t="str">
        <f>VLOOKUP(Tableau25[[#This Row],[CA O&amp;M s/parc
BN 2023]],Tableau106[],2,FALSE)</f>
        <v>FR62E02E</v>
      </c>
      <c r="D162" s="300" t="str">
        <f>VLOOKUP(Tableau25[[#This Row],[CA O&amp;M s/parc
BN 2023]],Tableau106[],8,FALSE)</f>
        <v>EOLIEN</v>
      </c>
      <c r="E162" s="295">
        <f>VLOOKUP(Tableau25[[#This Row],[CA O&amp;M s/parc
BN 2023]],Tableau106[],4,FALSE)</f>
        <v>15</v>
      </c>
      <c r="F162" s="297" t="str">
        <f>VLOOKUP(Tableau25[[#This Row],[CA O&amp;M s/parc
BN 2023]],Tableau106[],5,FALSE)</f>
        <v>SBAP</v>
      </c>
      <c r="G162" s="301" t="str">
        <f>VLOOKUP(Tableau25[[#This Row],[CA O&amp;M s/parc
BN 2023]],Tableau106[],7,FALSE)</f>
        <v>ENDF</v>
      </c>
      <c r="H162" s="301" t="str">
        <f>VLOOKUP(Tableau25[[#This Row],[CA O&amp;M s/parc
BN 2023]],Tableau106[],6,FALSE)</f>
        <v>N</v>
      </c>
      <c r="I162" s="301" t="str">
        <f>VLOOKUP(Tableau25[[#This Row],[CA O&amp;M s/parc
BN 2023]],Tableau106[],9,FALSE)</f>
        <v>NiD</v>
      </c>
      <c r="J162" s="110">
        <v>40627.815002526258</v>
      </c>
      <c r="K162" s="120">
        <v>93.9936072</v>
      </c>
      <c r="L162" s="21"/>
      <c r="M162" s="23">
        <v>3818754.8847417203</v>
      </c>
    </row>
    <row r="163" spans="1:13">
      <c r="A163" s="299" t="s">
        <v>600</v>
      </c>
      <c r="B163" s="294" t="str">
        <f>VLOOKUP(Tableau25[[#This Row],[CA O&amp;M s/parc
BN 2023]],Tableau106[],3,FALSE)</f>
        <v>A065</v>
      </c>
      <c r="C163" s="294" t="str">
        <f>VLOOKUP(Tableau25[[#This Row],[CA O&amp;M s/parc
BN 2023]],Tableau106[],2,FALSE)</f>
        <v>FR97S90E</v>
      </c>
      <c r="D163" s="300" t="str">
        <f>VLOOKUP(Tableau25[[#This Row],[CA O&amp;M s/parc
BN 2023]],Tableau106[],8,FALSE)</f>
        <v>SOLAIRE DOM</v>
      </c>
      <c r="E163" s="295">
        <f>VLOOKUP(Tableau25[[#This Row],[CA O&amp;M s/parc
BN 2023]],Tableau106[],4,FALSE)</f>
        <v>1.2569999999999999</v>
      </c>
      <c r="F163" s="297" t="str">
        <f>VLOOKUP(Tableau25[[#This Row],[CA O&amp;M s/parc
BN 2023]],Tableau106[],5,FALSE)</f>
        <v>SIOU</v>
      </c>
      <c r="G163" s="301" t="str">
        <f>VLOOKUP(Tableau25[[#This Row],[CA O&amp;M s/parc
BN 2023]],Tableau106[],7,FALSE)</f>
        <v>GROUPE</v>
      </c>
      <c r="H163" s="301" t="str">
        <f>VLOOKUP(Tableau25[[#This Row],[CA O&amp;M s/parc
BN 2023]],Tableau106[],6,FALSE)</f>
        <v>DOM</v>
      </c>
      <c r="I163" s="301" t="str">
        <f>VLOOKUP(Tableau25[[#This Row],[CA O&amp;M s/parc
BN 2023]],Tableau106[],9,FALSE)</f>
        <v>DoJ</v>
      </c>
      <c r="J163" s="110">
        <v>1624</v>
      </c>
      <c r="K163" s="120">
        <v>475.46499999999997</v>
      </c>
      <c r="L163" s="21"/>
      <c r="M163" s="23">
        <v>772155.15999999992</v>
      </c>
    </row>
    <row r="164" spans="1:13">
      <c r="A164" s="299" t="s">
        <v>349</v>
      </c>
      <c r="B164" s="294" t="str">
        <f>VLOOKUP(Tableau25[[#This Row],[CA O&amp;M s/parc
BN 2023]],Tableau106[],3,FALSE)</f>
        <v>F099</v>
      </c>
      <c r="C164" s="294" t="str">
        <f>VLOOKUP(Tableau25[[#This Row],[CA O&amp;M s/parc
BN 2023]],Tableau106[],2,FALSE)</f>
        <v>FR12E93E</v>
      </c>
      <c r="D164" s="300" t="str">
        <f>VLOOKUP(Tableau25[[#This Row],[CA O&amp;M s/parc
BN 2023]],Tableau106[],8,FALSE)</f>
        <v>EOLIEN</v>
      </c>
      <c r="E164" s="295">
        <f>VLOOKUP(Tableau25[[#This Row],[CA O&amp;M s/parc
BN 2023]],Tableau106[],4,FALSE)</f>
        <v>13.8</v>
      </c>
      <c r="F164" s="297" t="str">
        <f>VLOOKUP(Tableau25[[#This Row],[CA O&amp;M s/parc
BN 2023]],Tableau106[],5,FALSE)</f>
        <v>FAYD</v>
      </c>
      <c r="G164" s="301" t="str">
        <f>VLOOKUP(Tableau25[[#This Row],[CA O&amp;M s/parc
BN 2023]],Tableau106[],7,FALSE)</f>
        <v>FUTUREN</v>
      </c>
      <c r="H164" s="301" t="str">
        <f>VLOOKUP(Tableau25[[#This Row],[CA O&amp;M s/parc
BN 2023]],Tableau106[],6,FALSE)</f>
        <v>S</v>
      </c>
      <c r="I164" s="301" t="str">
        <f>VLOOKUP(Tableau25[[#This Row],[CA O&amp;M s/parc
BN 2023]],Tableau106[],9,FALSE)</f>
        <v>OdP</v>
      </c>
      <c r="J164" s="110">
        <v>23819.267539199947</v>
      </c>
      <c r="K164" s="120">
        <v>88.196233200000009</v>
      </c>
      <c r="L164" s="21"/>
      <c r="M164" s="23">
        <v>2100769.674540469</v>
      </c>
    </row>
    <row r="165" spans="1:13">
      <c r="A165" s="299" t="s">
        <v>603</v>
      </c>
      <c r="B165" s="294" t="str">
        <f>VLOOKUP(Tableau25[[#This Row],[CA O&amp;M s/parc
BN 2023]],Tableau106[],3,FALSE)</f>
        <v>A295</v>
      </c>
      <c r="C165" s="294" t="str">
        <f>VLOOKUP(Tableau25[[#This Row],[CA O&amp;M s/parc
BN 2023]],Tableau106[],2,FALSE)</f>
        <v>FR18S01E</v>
      </c>
      <c r="D165" s="300" t="str">
        <f>VLOOKUP(Tableau25[[#This Row],[CA O&amp;M s/parc
BN 2023]],Tableau106[],8,FALSE)</f>
        <v>SOLAIRE</v>
      </c>
      <c r="E165" s="295">
        <f>VLOOKUP(Tableau25[[#This Row],[CA O&amp;M s/parc
BN 2023]],Tableau106[],4,FALSE)</f>
        <v>5</v>
      </c>
      <c r="F165" s="297" t="str">
        <f>VLOOKUP(Tableau25[[#This Row],[CA O&amp;M s/parc
BN 2023]],Tableau106[],5,FALSE)</f>
        <v>SAMM</v>
      </c>
      <c r="G165" s="301" t="str">
        <f>VLOOKUP(Tableau25[[#This Row],[CA O&amp;M s/parc
BN 2023]],Tableau106[],7,FALSE)</f>
        <v>GROUPE</v>
      </c>
      <c r="H165" s="301" t="str">
        <f>VLOOKUP(Tableau25[[#This Row],[CA O&amp;M s/parc
BN 2023]],Tableau106[],6,FALSE)</f>
        <v>N</v>
      </c>
      <c r="I165" s="301" t="str">
        <f>VLOOKUP(Tableau25[[#This Row],[CA O&amp;M s/parc
BN 2023]],Tableau106[],9,FALSE)</f>
        <v>ArB</v>
      </c>
      <c r="J165" s="110">
        <v>5380</v>
      </c>
      <c r="K165" s="120">
        <v>68.795367999999996</v>
      </c>
      <c r="L165" s="21"/>
      <c r="M165" s="23">
        <v>370119.07983999996</v>
      </c>
    </row>
    <row r="166" spans="1:13">
      <c r="A166" s="299" t="s">
        <v>605</v>
      </c>
      <c r="B166" s="294" t="str">
        <f>VLOOKUP(Tableau25[[#This Row],[CA O&amp;M s/parc
BN 2023]],Tableau106[],3,FALSE)</f>
        <v>A257</v>
      </c>
      <c r="C166" s="294" t="str">
        <f>VLOOKUP(Tableau25[[#This Row],[CA O&amp;M s/parc
BN 2023]],Tableau106[],2,FALSE)</f>
        <v>FR01S07E</v>
      </c>
      <c r="D166" s="300" t="str">
        <f>VLOOKUP(Tableau25[[#This Row],[CA O&amp;M s/parc
BN 2023]],Tableau106[],8,FALSE)</f>
        <v>SOLAIRE</v>
      </c>
      <c r="E166" s="295">
        <f>VLOOKUP(Tableau25[[#This Row],[CA O&amp;M s/parc
BN 2023]],Tableau106[],4,FALSE)</f>
        <v>2.7</v>
      </c>
      <c r="F166" s="297" t="str">
        <f>VLOOKUP(Tableau25[[#This Row],[CA O&amp;M s/parc
BN 2023]],Tableau106[],5,FALSE)</f>
        <v>SJLV</v>
      </c>
      <c r="G166" s="301" t="str">
        <f>VLOOKUP(Tableau25[[#This Row],[CA O&amp;M s/parc
BN 2023]],Tableau106[],7,FALSE)</f>
        <v>GROUPE</v>
      </c>
      <c r="H166" s="301" t="str">
        <f>VLOOKUP(Tableau25[[#This Row],[CA O&amp;M s/parc
BN 2023]],Tableau106[],6,FALSE)</f>
        <v>S</v>
      </c>
      <c r="I166" s="301" t="str">
        <f>VLOOKUP(Tableau25[[#This Row],[CA O&amp;M s/parc
BN 2023]],Tableau106[],9,FALSE)</f>
        <v>ArB</v>
      </c>
      <c r="J166" s="110">
        <v>2926</v>
      </c>
      <c r="K166" s="120">
        <v>74.285119999999992</v>
      </c>
      <c r="L166" s="21"/>
      <c r="M166" s="23">
        <v>217358.26111999998</v>
      </c>
    </row>
    <row r="167" spans="1:13">
      <c r="A167" s="299" t="s">
        <v>528</v>
      </c>
      <c r="B167" s="294" t="str">
        <f>VLOOKUP(Tableau25[[#This Row],[CA O&amp;M s/parc
BN 2023]],Tableau106[],3,FALSE)</f>
        <v>A894</v>
      </c>
      <c r="C167" s="294" t="str">
        <f>VLOOKUP(Tableau25[[#This Row],[CA O&amp;M s/parc
BN 2023]],Tableau106[],2,FALSE)</f>
        <v>FR14E99E</v>
      </c>
      <c r="D167" s="300" t="str">
        <f>VLOOKUP(Tableau25[[#This Row],[CA O&amp;M s/parc
BN 2023]],Tableau106[],8,FALSE)</f>
        <v>EOLIEN</v>
      </c>
      <c r="E167" s="295">
        <f>VLOOKUP(Tableau25[[#This Row],[CA O&amp;M s/parc
BN 2023]],Tableau106[],4,FALSE)</f>
        <v>6</v>
      </c>
      <c r="F167" s="297" t="str">
        <f>VLOOKUP(Tableau25[[#This Row],[CA O&amp;M s/parc
BN 2023]],Tableau106[],5,FALSE)</f>
        <v>STMB</v>
      </c>
      <c r="G167" s="301" t="str">
        <f>VLOOKUP(Tableau25[[#This Row],[CA O&amp;M s/parc
BN 2023]],Tableau106[],7,FALSE)</f>
        <v>GROUPE</v>
      </c>
      <c r="H167" s="301" t="str">
        <f>VLOOKUP(Tableau25[[#This Row],[CA O&amp;M s/parc
BN 2023]],Tableau106[],6,FALSE)</f>
        <v>N</v>
      </c>
      <c r="I167" s="301" t="str">
        <f>VLOOKUP(Tableau25[[#This Row],[CA O&amp;M s/parc
BN 2023]],Tableau106[],9,FALSE)</f>
        <v>AnN</v>
      </c>
      <c r="J167" s="110">
        <v>11509.274441605245</v>
      </c>
      <c r="K167" s="120">
        <v>45</v>
      </c>
      <c r="L167" s="21"/>
      <c r="M167" s="23">
        <v>517917.34987223602</v>
      </c>
    </row>
    <row r="168" spans="1:13">
      <c r="A168" s="299" t="s">
        <v>131</v>
      </c>
      <c r="B168" s="294" t="str">
        <f>VLOOKUP(Tableau25[[#This Row],[CA O&amp;M s/parc
BN 2023]],Tableau106[],3,FALSE)</f>
        <v>A257</v>
      </c>
      <c r="C168" s="294" t="str">
        <f>VLOOKUP(Tableau25[[#This Row],[CA O&amp;M s/parc
BN 2023]],Tableau106[],2,FALSE)</f>
        <v>FR11S07E</v>
      </c>
      <c r="D168" s="300" t="str">
        <f>VLOOKUP(Tableau25[[#This Row],[CA O&amp;M s/parc
BN 2023]],Tableau106[],8,FALSE)</f>
        <v>SOLAIRE</v>
      </c>
      <c r="E168" s="295">
        <f>VLOOKUP(Tableau25[[#This Row],[CA O&amp;M s/parc
BN 2023]],Tableau106[],4,FALSE)</f>
        <v>5</v>
      </c>
      <c r="F168" s="297" t="str">
        <f>VLOOKUP(Tableau25[[#This Row],[CA O&amp;M s/parc
BN 2023]],Tableau106[],5,FALSE)</f>
        <v>FEND</v>
      </c>
      <c r="G168" s="301" t="str">
        <f>VLOOKUP(Tableau25[[#This Row],[CA O&amp;M s/parc
BN 2023]],Tableau106[],7,FALSE)</f>
        <v>GROUPE</v>
      </c>
      <c r="H168" s="301" t="str">
        <f>VLOOKUP(Tableau25[[#This Row],[CA O&amp;M s/parc
BN 2023]],Tableau106[],6,FALSE)</f>
        <v>S</v>
      </c>
      <c r="I168" s="301" t="str">
        <f>VLOOKUP(Tableau25[[#This Row],[CA O&amp;M s/parc
BN 2023]],Tableau106[],9,FALSE)</f>
        <v>BaA</v>
      </c>
      <c r="J168" s="110">
        <v>6061</v>
      </c>
      <c r="K168" s="120">
        <v>59.461769199999999</v>
      </c>
      <c r="L168" s="21"/>
      <c r="M168" s="23">
        <v>360397.78312119999</v>
      </c>
    </row>
    <row r="169" spans="1:13">
      <c r="A169" s="299" t="s">
        <v>608</v>
      </c>
      <c r="B169" s="294" t="str">
        <f>VLOOKUP(Tableau25[[#This Row],[CA O&amp;M s/parc
BN 2023]],Tableau106[],3,FALSE)</f>
        <v>A257</v>
      </c>
      <c r="C169" s="294" t="str">
        <f>VLOOKUP(Tableau25[[#This Row],[CA O&amp;M s/parc
BN 2023]],Tableau106[],2,FALSE)</f>
        <v>FR69S05E</v>
      </c>
      <c r="D169" s="300" t="str">
        <f>VLOOKUP(Tableau25[[#This Row],[CA O&amp;M s/parc
BN 2023]],Tableau106[],8,FALSE)</f>
        <v>SOLAIRE</v>
      </c>
      <c r="E169" s="295">
        <f>VLOOKUP(Tableau25[[#This Row],[CA O&amp;M s/parc
BN 2023]],Tableau106[],4,FALSE)</f>
        <v>5</v>
      </c>
      <c r="F169" s="297" t="str">
        <f>VLOOKUP(Tableau25[[#This Row],[CA O&amp;M s/parc
BN 2023]],Tableau106[],5,FALSE)</f>
        <v>SREG</v>
      </c>
      <c r="G169" s="301" t="str">
        <f>VLOOKUP(Tableau25[[#This Row],[CA O&amp;M s/parc
BN 2023]],Tableau106[],7,FALSE)</f>
        <v>GROUPE</v>
      </c>
      <c r="H169" s="301" t="str">
        <f>VLOOKUP(Tableau25[[#This Row],[CA O&amp;M s/parc
BN 2023]],Tableau106[],6,FALSE)</f>
        <v>S</v>
      </c>
      <c r="I169" s="301" t="str">
        <f>VLOOKUP(Tableau25[[#This Row],[CA O&amp;M s/parc
BN 2023]],Tableau106[],9,FALSE)</f>
        <v>ArB</v>
      </c>
      <c r="J169" s="110">
        <v>5645</v>
      </c>
      <c r="K169" s="120">
        <v>74.234099999999998</v>
      </c>
      <c r="L169" s="21"/>
      <c r="M169" s="23">
        <v>419051.49449999997</v>
      </c>
    </row>
    <row r="170" spans="1:13">
      <c r="A170" s="299" t="s">
        <v>625</v>
      </c>
      <c r="B170" s="294" t="str">
        <f>VLOOKUP(Tableau25[[#This Row],[CA O&amp;M s/parc
BN 2023]],Tableau106[],3,FALSE)</f>
        <v>A892</v>
      </c>
      <c r="C170" s="294" t="str">
        <f>VLOOKUP(Tableau25[[#This Row],[CA O&amp;M s/parc
BN 2023]],Tableau106[],2,FALSE)</f>
        <v>FR02E99E</v>
      </c>
      <c r="D170" s="300" t="str">
        <f>VLOOKUP(Tableau25[[#This Row],[CA O&amp;M s/parc
BN 2023]],Tableau106[],8,FALSE)</f>
        <v>EOLIEN</v>
      </c>
      <c r="E170" s="295">
        <f>VLOOKUP(Tableau25[[#This Row],[CA O&amp;M s/parc
BN 2023]],Tableau106[],4,FALSE)</f>
        <v>10.119999999999999</v>
      </c>
      <c r="F170" s="297" t="str">
        <f>VLOOKUP(Tableau25[[#This Row],[CA O&amp;M s/parc
BN 2023]],Tableau106[],5,FALSE)</f>
        <v>STSI</v>
      </c>
      <c r="G170" s="301" t="str">
        <f>VLOOKUP(Tableau25[[#This Row],[CA O&amp;M s/parc
BN 2023]],Tableau106[],7,FALSE)</f>
        <v>GROUPE</v>
      </c>
      <c r="H170" s="301" t="str">
        <f>VLOOKUP(Tableau25[[#This Row],[CA O&amp;M s/parc
BN 2023]],Tableau106[],6,FALSE)</f>
        <v>N</v>
      </c>
      <c r="I170" s="301" t="str">
        <f>VLOOKUP(Tableau25[[#This Row],[CA O&amp;M s/parc
BN 2023]],Tableau106[],9,FALSE)</f>
        <v>AyB</v>
      </c>
      <c r="J170" s="110">
        <v>0</v>
      </c>
      <c r="K170" s="120"/>
      <c r="L170" s="21"/>
      <c r="M170" s="23">
        <v>0</v>
      </c>
    </row>
    <row r="171" spans="1:13">
      <c r="A171" s="299" t="s">
        <v>642</v>
      </c>
      <c r="B171" s="294" t="str">
        <f>VLOOKUP(Tableau25[[#This Row],[CA O&amp;M s/parc
BN 2023]],Tableau106[],3,FALSE)</f>
        <v>A235</v>
      </c>
      <c r="C171" s="294" t="str">
        <f>VLOOKUP(Tableau25[[#This Row],[CA O&amp;M s/parc
BN 2023]],Tableau106[],2,FALSE)</f>
        <v>FR87S02E</v>
      </c>
      <c r="D171" s="300" t="str">
        <f>VLOOKUP(Tableau25[[#This Row],[CA O&amp;M s/parc
BN 2023]],Tableau106[],8,FALSE)</f>
        <v>SOLAIRE</v>
      </c>
      <c r="E171" s="295">
        <f>VLOOKUP(Tableau25[[#This Row],[CA O&amp;M s/parc
BN 2023]],Tableau106[],4,FALSE)</f>
        <v>3.6</v>
      </c>
      <c r="F171" s="297" t="str">
        <f>VLOOKUP(Tableau25[[#This Row],[CA O&amp;M s/parc
BN 2023]],Tableau106[],5,FALSE)</f>
        <v>SOLE</v>
      </c>
      <c r="G171" s="301" t="str">
        <f>VLOOKUP(Tableau25[[#This Row],[CA O&amp;M s/parc
BN 2023]],Tableau106[],7,FALSE)</f>
        <v>GROUPE</v>
      </c>
      <c r="H171" s="301" t="str">
        <f>VLOOKUP(Tableau25[[#This Row],[CA O&amp;M s/parc
BN 2023]],Tableau106[],6,FALSE)</f>
        <v>N</v>
      </c>
      <c r="I171" s="301" t="str">
        <f>VLOOKUP(Tableau25[[#This Row],[CA O&amp;M s/parc
BN 2023]],Tableau106[],9,FALSE)</f>
        <v>ArB</v>
      </c>
      <c r="J171" s="110">
        <v>4026</v>
      </c>
      <c r="K171" s="120">
        <v>58.53</v>
      </c>
      <c r="L171" s="21"/>
      <c r="M171" s="23">
        <v>235641.78</v>
      </c>
    </row>
    <row r="172" spans="1:13">
      <c r="A172" s="299" t="s">
        <v>610</v>
      </c>
      <c r="B172" s="294" t="str">
        <f>VLOOKUP(Tableau25[[#This Row],[CA O&amp;M s/parc
BN 2023]],Tableau106[],3,FALSE)</f>
        <v>A295</v>
      </c>
      <c r="C172" s="294" t="str">
        <f>VLOOKUP(Tableau25[[#This Row],[CA O&amp;M s/parc
BN 2023]],Tableau106[],2,FALSE)</f>
        <v>FR01S05E</v>
      </c>
      <c r="D172" s="300" t="str">
        <f>VLOOKUP(Tableau25[[#This Row],[CA O&amp;M s/parc
BN 2023]],Tableau106[],8,FALSE)</f>
        <v>SOLAIRE</v>
      </c>
      <c r="E172" s="295">
        <f>VLOOKUP(Tableau25[[#This Row],[CA O&amp;M s/parc
BN 2023]],Tableau106[],4,FALSE)</f>
        <v>2.7</v>
      </c>
      <c r="F172" s="297" t="str">
        <f>VLOOKUP(Tableau25[[#This Row],[CA O&amp;M s/parc
BN 2023]],Tableau106[],5,FALSE)</f>
        <v>STJU</v>
      </c>
      <c r="G172" s="301" t="str">
        <f>VLOOKUP(Tableau25[[#This Row],[CA O&amp;M s/parc
BN 2023]],Tableau106[],7,FALSE)</f>
        <v>GROUPE</v>
      </c>
      <c r="H172" s="301" t="str">
        <f>VLOOKUP(Tableau25[[#This Row],[CA O&amp;M s/parc
BN 2023]],Tableau106[],6,FALSE)</f>
        <v>S</v>
      </c>
      <c r="I172" s="301" t="str">
        <f>VLOOKUP(Tableau25[[#This Row],[CA O&amp;M s/parc
BN 2023]],Tableau106[],9,FALSE)</f>
        <v>ArB</v>
      </c>
      <c r="J172" s="110">
        <v>3136</v>
      </c>
      <c r="K172" s="120">
        <v>70.938207999999989</v>
      </c>
      <c r="L172" s="21"/>
      <c r="M172" s="23">
        <v>222462.22028799995</v>
      </c>
    </row>
    <row r="173" spans="1:13">
      <c r="A173" s="299" t="s">
        <v>611</v>
      </c>
      <c r="B173" s="294" t="str">
        <f>VLOOKUP(Tableau25[[#This Row],[CA O&amp;M s/parc
BN 2023]],Tableau106[],3,FALSE)</f>
        <v>A307</v>
      </c>
      <c r="C173" s="294" t="str">
        <f>VLOOKUP(Tableau25[[#This Row],[CA O&amp;M s/parc
BN 2023]],Tableau106[],2,FALSE)</f>
        <v>FR04S07E</v>
      </c>
      <c r="D173" s="300" t="str">
        <f>VLOOKUP(Tableau25[[#This Row],[CA O&amp;M s/parc
BN 2023]],Tableau106[],8,FALSE)</f>
        <v>SOLAIRE</v>
      </c>
      <c r="E173" s="295">
        <f>VLOOKUP(Tableau25[[#This Row],[CA O&amp;M s/parc
BN 2023]],Tableau106[],4,FALSE)</f>
        <v>2.8</v>
      </c>
      <c r="F173" s="297" t="str">
        <f>VLOOKUP(Tableau25[[#This Row],[CA O&amp;M s/parc
BN 2023]],Tableau106[],5,FALSE)</f>
        <v>STLM</v>
      </c>
      <c r="G173" s="301" t="str">
        <f>VLOOKUP(Tableau25[[#This Row],[CA O&amp;M s/parc
BN 2023]],Tableau106[],7,FALSE)</f>
        <v>GROUPE</v>
      </c>
      <c r="H173" s="301" t="str">
        <f>VLOOKUP(Tableau25[[#This Row],[CA O&amp;M s/parc
BN 2023]],Tableau106[],6,FALSE)</f>
        <v>S</v>
      </c>
      <c r="I173" s="301" t="str">
        <f>VLOOKUP(Tableau25[[#This Row],[CA O&amp;M s/parc
BN 2023]],Tableau106[],9,FALSE)</f>
        <v>BaA</v>
      </c>
      <c r="J173" s="110">
        <v>3800</v>
      </c>
      <c r="K173" s="120">
        <v>64.13</v>
      </c>
      <c r="L173" s="21"/>
      <c r="M173" s="23">
        <v>243693.99999999997</v>
      </c>
    </row>
    <row r="174" spans="1:13">
      <c r="A174" s="299" t="s">
        <v>557</v>
      </c>
      <c r="B174" s="294" t="str">
        <f>VLOOKUP(Tableau25[[#This Row],[CA O&amp;M s/parc
BN 2023]],Tableau106[],3,FALSE)</f>
        <v>A541</v>
      </c>
      <c r="C174" s="294" t="str">
        <f>VLOOKUP(Tableau25[[#This Row],[CA O&amp;M s/parc
BN 2023]],Tableau106[],2,FALSE)</f>
        <v>FR55E08E</v>
      </c>
      <c r="D174" s="300" t="str">
        <f>VLOOKUP(Tableau25[[#This Row],[CA O&amp;M s/parc
BN 2023]],Tableau106[],8,FALSE)</f>
        <v>EOLIEN</v>
      </c>
      <c r="E174" s="295">
        <f>VLOOKUP(Tableau25[[#This Row],[CA O&amp;M s/parc
BN 2023]],Tableau106[],4,FALSE)</f>
        <v>11.5</v>
      </c>
      <c r="F174" s="297" t="str">
        <f>VLOOKUP(Tableau25[[#This Row],[CA O&amp;M s/parc
BN 2023]],Tableau106[],5,FALSE)</f>
        <v>STEN</v>
      </c>
      <c r="G174" s="301" t="str">
        <f>VLOOKUP(Tableau25[[#This Row],[CA O&amp;M s/parc
BN 2023]],Tableau106[],7,FALSE)</f>
        <v>EGM</v>
      </c>
      <c r="H174" s="301" t="str">
        <f>VLOOKUP(Tableau25[[#This Row],[CA O&amp;M s/parc
BN 2023]],Tableau106[],6,FALSE)</f>
        <v>N</v>
      </c>
      <c r="I174" s="301" t="str">
        <f>VLOOKUP(Tableau25[[#This Row],[CA O&amp;M s/parc
BN 2023]],Tableau106[],9,FALSE)</f>
        <v>MaA</v>
      </c>
      <c r="J174" s="110">
        <v>15835</v>
      </c>
      <c r="K174" s="120">
        <v>220.4796</v>
      </c>
      <c r="L174" s="21"/>
      <c r="M174" s="23">
        <v>3491294.466</v>
      </c>
    </row>
    <row r="175" spans="1:13">
      <c r="A175" s="299" t="s">
        <v>613</v>
      </c>
      <c r="B175" s="294" t="str">
        <f>VLOOKUP(Tableau25[[#This Row],[CA O&amp;M s/parc
BN 2023]],Tableau106[],3,FALSE)</f>
        <v>A313</v>
      </c>
      <c r="C175" s="294" t="str">
        <f>VLOOKUP(Tableau25[[#This Row],[CA O&amp;M s/parc
BN 2023]],Tableau106[],2,FALSE)</f>
        <v>FR89S03E</v>
      </c>
      <c r="D175" s="300" t="str">
        <f>VLOOKUP(Tableau25[[#This Row],[CA O&amp;M s/parc
BN 2023]],Tableau106[],8,FALSE)</f>
        <v>SOLAIRE</v>
      </c>
      <c r="E175" s="295">
        <f>VLOOKUP(Tableau25[[#This Row],[CA O&amp;M s/parc
BN 2023]],Tableau106[],4,FALSE)</f>
        <v>10.1</v>
      </c>
      <c r="F175" s="297" t="str">
        <f>VLOOKUP(Tableau25[[#This Row],[CA O&amp;M s/parc
BN 2023]],Tableau106[],5,FALSE)</f>
        <v>SUBL</v>
      </c>
      <c r="G175" s="301" t="str">
        <f>VLOOKUP(Tableau25[[#This Row],[CA O&amp;M s/parc
BN 2023]],Tableau106[],7,FALSE)</f>
        <v>GROUPE</v>
      </c>
      <c r="H175" s="301" t="str">
        <f>VLOOKUP(Tableau25[[#This Row],[CA O&amp;M s/parc
BN 2023]],Tableau106[],6,FALSE)</f>
        <v>N</v>
      </c>
      <c r="I175" s="301" t="str">
        <f>VLOOKUP(Tableau25[[#This Row],[CA O&amp;M s/parc
BN 2023]],Tableau106[],9,FALSE)</f>
        <v>LoG</v>
      </c>
      <c r="J175" s="110">
        <v>10617.12</v>
      </c>
      <c r="K175" s="120">
        <v>66.274979999999999</v>
      </c>
      <c r="L175" s="21"/>
      <c r="M175" s="23">
        <v>703649.41565760004</v>
      </c>
    </row>
    <row r="176" spans="1:13">
      <c r="A176" s="299" t="s">
        <v>495</v>
      </c>
      <c r="B176" s="294" t="str">
        <f>VLOOKUP(Tableau25[[#This Row],[CA O&amp;M s/parc
BN 2023]],Tableau106[],3,FALSE)</f>
        <v>A366</v>
      </c>
      <c r="C176" s="294" t="str">
        <f>VLOOKUP(Tableau25[[#This Row],[CA O&amp;M s/parc
BN 2023]],Tableau106[],2,FALSE)</f>
        <v>FR48E96E</v>
      </c>
      <c r="D176" s="300" t="str">
        <f>VLOOKUP(Tableau25[[#This Row],[CA O&amp;M s/parc
BN 2023]],Tableau106[],8,FALSE)</f>
        <v>EOLIEN</v>
      </c>
      <c r="E176" s="295">
        <f>VLOOKUP(Tableau25[[#This Row],[CA O&amp;M s/parc
BN 2023]],Tableau106[],4,FALSE)</f>
        <v>27.18</v>
      </c>
      <c r="F176" s="297" t="str">
        <f>VLOOKUP(Tableau25[[#This Row],[CA O&amp;M s/parc
BN 2023]],Tableau106[],5,FALSE)</f>
        <v>TAIL</v>
      </c>
      <c r="G176" s="301" t="str">
        <f>VLOOKUP(Tableau25[[#This Row],[CA O&amp;M s/parc
BN 2023]],Tableau106[],7,FALSE)</f>
        <v>GROUPE</v>
      </c>
      <c r="H176" s="301" t="str">
        <f>VLOOKUP(Tableau25[[#This Row],[CA O&amp;M s/parc
BN 2023]],Tableau106[],6,FALSE)</f>
        <v>S</v>
      </c>
      <c r="I176" s="301" t="str">
        <f>VLOOKUP(Tableau25[[#This Row],[CA O&amp;M s/parc
BN 2023]],Tableau106[],9,FALSE)</f>
        <v>StE</v>
      </c>
      <c r="J176" s="110">
        <v>56178.1345</v>
      </c>
      <c r="K176" s="120">
        <v>89.472371999999993</v>
      </c>
      <c r="L176" s="21"/>
      <c r="M176" s="23">
        <v>5026390.9482500339</v>
      </c>
    </row>
    <row r="177" spans="1:14">
      <c r="A177" s="299" t="s">
        <v>436</v>
      </c>
      <c r="B177" s="294" t="str">
        <f>VLOOKUP(Tableau25[[#This Row],[CA O&amp;M s/parc
BN 2023]],Tableau106[],3,FALSE)</f>
        <v>A280</v>
      </c>
      <c r="C177" s="294" t="str">
        <f>VLOOKUP(Tableau25[[#This Row],[CA O&amp;M s/parc
BN 2023]],Tableau106[],2,FALSE)</f>
        <v>FR89E08E</v>
      </c>
      <c r="D177" s="300" t="str">
        <f>VLOOKUP(Tableau25[[#This Row],[CA O&amp;M s/parc
BN 2023]],Tableau106[],8,FALSE)</f>
        <v>EOLIEN</v>
      </c>
      <c r="E177" s="295">
        <f>VLOOKUP(Tableau25[[#This Row],[CA O&amp;M s/parc
BN 2023]],Tableau106[],4,FALSE)</f>
        <v>14.4</v>
      </c>
      <c r="F177" s="297" t="str">
        <f>VLOOKUP(Tableau25[[#This Row],[CA O&amp;M s/parc
BN 2023]],Tableau106[],5,FALSE)</f>
        <v>TLGR</v>
      </c>
      <c r="G177" s="301" t="str">
        <f>VLOOKUP(Tableau25[[#This Row],[CA O&amp;M s/parc
BN 2023]],Tableau106[],7,FALSE)</f>
        <v>GROUPE</v>
      </c>
      <c r="H177" s="301" t="str">
        <f>VLOOKUP(Tableau25[[#This Row],[CA O&amp;M s/parc
BN 2023]],Tableau106[],6,FALSE)</f>
        <v>N</v>
      </c>
      <c r="I177" s="301" t="str">
        <f>VLOOKUP(Tableau25[[#This Row],[CA O&amp;M s/parc
BN 2023]],Tableau106[],9,FALSE)</f>
        <v>LoH</v>
      </c>
      <c r="J177" s="110">
        <v>30017</v>
      </c>
      <c r="K177" s="120">
        <v>68.968835999999996</v>
      </c>
      <c r="L177" s="21"/>
      <c r="M177" s="23">
        <v>2070237.5502119998</v>
      </c>
    </row>
    <row r="178" spans="1:14">
      <c r="A178" s="299" t="s">
        <v>614</v>
      </c>
      <c r="B178" s="294" t="str">
        <f>VLOOKUP(Tableau25[[#This Row],[CA O&amp;M s/parc
BN 2023]],Tableau106[],3,FALSE)</f>
        <v>A168</v>
      </c>
      <c r="C178" s="294" t="str">
        <f>VLOOKUP(Tableau25[[#This Row],[CA O&amp;M s/parc
BN 2023]],Tableau106[],2,FALSE)</f>
        <v>FR97S89E</v>
      </c>
      <c r="D178" s="300" t="str">
        <f>VLOOKUP(Tableau25[[#This Row],[CA O&amp;M s/parc
BN 2023]],Tableau106[],8,FALSE)</f>
        <v>SOLAIRE DOM</v>
      </c>
      <c r="E178" s="295">
        <f>VLOOKUP(Tableau25[[#This Row],[CA O&amp;M s/parc
BN 2023]],Tableau106[],4,FALSE)</f>
        <v>4.9980000000000002</v>
      </c>
      <c r="F178" s="297" t="str">
        <f>VLOOKUP(Tableau25[[#This Row],[CA O&amp;M s/parc
BN 2023]],Tableau106[],5,FALSE)</f>
        <v>TOUC</v>
      </c>
      <c r="G178" s="301" t="str">
        <f>VLOOKUP(Tableau25[[#This Row],[CA O&amp;M s/parc
BN 2023]],Tableau106[],7,FALSE)</f>
        <v>GROUPE</v>
      </c>
      <c r="H178" s="301" t="str">
        <f>VLOOKUP(Tableau25[[#This Row],[CA O&amp;M s/parc
BN 2023]],Tableau106[],6,FALSE)</f>
        <v>DOM</v>
      </c>
      <c r="I178" s="301" t="str">
        <f>VLOOKUP(Tableau25[[#This Row],[CA O&amp;M s/parc
BN 2023]],Tableau106[],9,FALSE)</f>
        <v>DoJ</v>
      </c>
      <c r="J178" s="110">
        <v>3764</v>
      </c>
      <c r="K178" s="120">
        <v>48.788622400000001</v>
      </c>
      <c r="L178" s="21"/>
      <c r="M178" s="23">
        <v>183640.3747136</v>
      </c>
    </row>
    <row r="179" spans="1:14">
      <c r="A179" s="299" t="s">
        <v>367</v>
      </c>
      <c r="B179" s="294" t="str">
        <f>VLOOKUP(Tableau25[[#This Row],[CA O&amp;M s/parc
BN 2023]],Tableau106[],3,FALSE)</f>
        <v>A167</v>
      </c>
      <c r="C179" s="294" t="str">
        <f>VLOOKUP(Tableau25[[#This Row],[CA O&amp;M s/parc
BN 2023]],Tableau106[],2,FALSE)</f>
        <v>FR973S01E</v>
      </c>
      <c r="D179" s="300" t="str">
        <f>VLOOKUP(Tableau25[[#This Row],[CA O&amp;M s/parc
BN 2023]],Tableau106[],8,FALSE)</f>
        <v>SOLAIRE DOM</v>
      </c>
      <c r="E179" s="295">
        <f>VLOOKUP(Tableau25[[#This Row],[CA O&amp;M s/parc
BN 2023]],Tableau106[],4,FALSE)</f>
        <v>5</v>
      </c>
      <c r="F179" s="297" t="str">
        <f>VLOOKUP(Tableau25[[#This Row],[CA O&amp;M s/parc
BN 2023]],Tableau106[],5,FALSE)</f>
        <v>TOC2</v>
      </c>
      <c r="G179" s="301" t="str">
        <f>VLOOKUP(Tableau25[[#This Row],[CA O&amp;M s/parc
BN 2023]],Tableau106[],7,FALSE)</f>
        <v>GROUPE</v>
      </c>
      <c r="H179" s="301" t="str">
        <f>VLOOKUP(Tableau25[[#This Row],[CA O&amp;M s/parc
BN 2023]],Tableau106[],6,FALSE)</f>
        <v>DOM</v>
      </c>
      <c r="I179" s="301" t="str">
        <f>VLOOKUP(Tableau25[[#This Row],[CA O&amp;M s/parc
BN 2023]],Tableau106[],9,FALSE)</f>
        <v>DoJ</v>
      </c>
      <c r="J179" s="110">
        <v>7090</v>
      </c>
      <c r="K179" s="120">
        <v>93.96274720000001</v>
      </c>
      <c r="L179" s="21"/>
      <c r="M179" s="23">
        <v>666195.87764800002</v>
      </c>
    </row>
    <row r="180" spans="1:14">
      <c r="A180" s="299" t="s">
        <v>615</v>
      </c>
      <c r="B180" s="294" t="str">
        <f>VLOOKUP(Tableau25[[#This Row],[CA O&amp;M s/parc
BN 2023]],Tableau106[],3,FALSE)</f>
        <v>A391</v>
      </c>
      <c r="C180" s="294" t="str">
        <f>VLOOKUP(Tableau25[[#This Row],[CA O&amp;M s/parc
BN 2023]],Tableau106[],2,FALSE)</f>
        <v>FR54S01E</v>
      </c>
      <c r="D180" s="300" t="str">
        <f>VLOOKUP(Tableau25[[#This Row],[CA O&amp;M s/parc
BN 2023]],Tableau106[],8,FALSE)</f>
        <v>SOLAIRE</v>
      </c>
      <c r="E180" s="295">
        <f>VLOOKUP(Tableau25[[#This Row],[CA O&amp;M s/parc
BN 2023]],Tableau106[],4,FALSE)</f>
        <v>54.93</v>
      </c>
      <c r="F180" s="297" t="str">
        <f>VLOOKUP(Tableau25[[#This Row],[CA O&amp;M s/parc
BN 2023]],Tableau106[],5,FALSE)</f>
        <v>TOUL</v>
      </c>
      <c r="G180" s="301" t="str">
        <f>VLOOKUP(Tableau25[[#This Row],[CA O&amp;M s/parc
BN 2023]],Tableau106[],7,FALSE)</f>
        <v>GROUPE</v>
      </c>
      <c r="H180" s="301" t="str">
        <f>VLOOKUP(Tableau25[[#This Row],[CA O&amp;M s/parc
BN 2023]],Tableau106[],6,FALSE)</f>
        <v>S</v>
      </c>
      <c r="I180" s="301" t="str">
        <f>VLOOKUP(Tableau25[[#This Row],[CA O&amp;M s/parc
BN 2023]],Tableau106[],9,FALSE)</f>
        <v>LoG</v>
      </c>
      <c r="J180" s="110">
        <v>56270.865735679996</v>
      </c>
      <c r="K180" s="120">
        <v>383.00599120000004</v>
      </c>
      <c r="L180" s="21"/>
      <c r="M180" s="23">
        <v>21552078.706776235</v>
      </c>
    </row>
    <row r="181" spans="1:14">
      <c r="A181" s="299" t="s">
        <v>451</v>
      </c>
      <c r="B181" s="294" t="str">
        <f>VLOOKUP(Tableau25[[#This Row],[CA O&amp;M s/parc
BN 2023]],Tableau106[],3,FALSE)</f>
        <v>A541</v>
      </c>
      <c r="C181" s="294" t="str">
        <f>VLOOKUP(Tableau25[[#This Row],[CA O&amp;M s/parc
BN 2023]],Tableau106[],2,FALSE)</f>
        <v>FR79E02E</v>
      </c>
      <c r="D181" s="300" t="str">
        <f>VLOOKUP(Tableau25[[#This Row],[CA O&amp;M s/parc
BN 2023]],Tableau106[],8,FALSE)</f>
        <v>EOLIEN</v>
      </c>
      <c r="E181" s="295">
        <f>VLOOKUP(Tableau25[[#This Row],[CA O&amp;M s/parc
BN 2023]],Tableau106[],4,FALSE)</f>
        <v>10</v>
      </c>
      <c r="F181" s="297" t="str">
        <f>VLOOKUP(Tableau25[[#This Row],[CA O&amp;M s/parc
BN 2023]],Tableau106[],5,FALSE)</f>
        <v>TRAY</v>
      </c>
      <c r="G181" s="301" t="str">
        <f>VLOOKUP(Tableau25[[#This Row],[CA O&amp;M s/parc
BN 2023]],Tableau106[],7,FALSE)</f>
        <v>EGM</v>
      </c>
      <c r="H181" s="301" t="str">
        <f>VLOOKUP(Tableau25[[#This Row],[CA O&amp;M s/parc
BN 2023]],Tableau106[],6,FALSE)</f>
        <v>N</v>
      </c>
      <c r="I181" s="301" t="str">
        <f>VLOOKUP(Tableau25[[#This Row],[CA O&amp;M s/parc
BN 2023]],Tableau106[],9,FALSE)</f>
        <v>BoK</v>
      </c>
      <c r="J181" s="110">
        <v>12183.248</v>
      </c>
      <c r="K181" s="120">
        <v>101.08978159999999</v>
      </c>
      <c r="L181" s="21"/>
      <c r="M181" s="23">
        <v>1231601.8794986366</v>
      </c>
    </row>
    <row r="182" spans="1:14">
      <c r="A182" s="299" t="s">
        <v>619</v>
      </c>
      <c r="B182" s="294" t="str">
        <f>VLOOKUP(Tableau25[[#This Row],[CA O&amp;M s/parc
BN 2023]],Tableau106[],3,FALSE)</f>
        <v>A046</v>
      </c>
      <c r="C182" s="294" t="str">
        <f>VLOOKUP(Tableau25[[#This Row],[CA O&amp;M s/parc
BN 2023]],Tableau106[],2,FALSE)</f>
        <v>FR97S75E</v>
      </c>
      <c r="D182" s="300" t="str">
        <f>VLOOKUP(Tableau25[[#This Row],[CA O&amp;M s/parc
BN 2023]],Tableau106[],8,FALSE)</f>
        <v>SOLAIRE DOM</v>
      </c>
      <c r="E182" s="295">
        <f>VLOOKUP(Tableau25[[#This Row],[CA O&amp;M s/parc
BN 2023]],Tableau106[],4,FALSE)</f>
        <v>0.68200000000000005</v>
      </c>
      <c r="F182" s="297" t="str">
        <f>VLOOKUP(Tableau25[[#This Row],[CA O&amp;M s/parc
BN 2023]],Tableau106[],5,FALSE)</f>
        <v>TROI</v>
      </c>
      <c r="G182" s="301" t="str">
        <f>VLOOKUP(Tableau25[[#This Row],[CA O&amp;M s/parc
BN 2023]],Tableau106[],7,FALSE)</f>
        <v>GROUPE</v>
      </c>
      <c r="H182" s="301" t="str">
        <f>VLOOKUP(Tableau25[[#This Row],[CA O&amp;M s/parc
BN 2023]],Tableau106[],6,FALSE)</f>
        <v>DOM</v>
      </c>
      <c r="I182" s="301" t="str">
        <f>VLOOKUP(Tableau25[[#This Row],[CA O&amp;M s/parc
BN 2023]],Tableau106[],9,FALSE)</f>
        <v>DoJ</v>
      </c>
      <c r="J182" s="110">
        <v>784</v>
      </c>
      <c r="K182" s="120">
        <v>495.13770239999997</v>
      </c>
      <c r="L182" s="21"/>
      <c r="M182" s="23">
        <v>388187.95868159999</v>
      </c>
    </row>
    <row r="183" spans="1:14">
      <c r="A183" s="299" t="s">
        <v>447</v>
      </c>
      <c r="B183" s="294" t="str">
        <f>VLOOKUP(Tableau25[[#This Row],[CA O&amp;M s/parc
BN 2023]],Tableau106[],3,FALSE)</f>
        <v>A898</v>
      </c>
      <c r="C183" s="294" t="str">
        <f>VLOOKUP(Tableau25[[#This Row],[CA O&amp;M s/parc
BN 2023]],Tableau106[],2,FALSE)</f>
        <v>FR55E12E</v>
      </c>
      <c r="D183" s="300" t="str">
        <f>VLOOKUP(Tableau25[[#This Row],[CA O&amp;M s/parc
BN 2023]],Tableau106[],8,FALSE)</f>
        <v>EOLIEN</v>
      </c>
      <c r="E183" s="295">
        <f>VLOOKUP(Tableau25[[#This Row],[CA O&amp;M s/parc
BN 2023]],Tableau106[],4,FALSE)</f>
        <v>24</v>
      </c>
      <c r="F183" s="297" t="str">
        <f>VLOOKUP(Tableau25[[#This Row],[CA O&amp;M s/parc
BN 2023]],Tableau106[],5,FALSE)</f>
        <v>SOUR</v>
      </c>
      <c r="G183" s="301" t="str">
        <f>VLOOKUP(Tableau25[[#This Row],[CA O&amp;M s/parc
BN 2023]],Tableau106[],7,FALSE)</f>
        <v>GROUPE</v>
      </c>
      <c r="H183" s="301" t="str">
        <f>VLOOKUP(Tableau25[[#This Row],[CA O&amp;M s/parc
BN 2023]],Tableau106[],6,FALSE)</f>
        <v>N</v>
      </c>
      <c r="I183" s="301" t="str">
        <f>VLOOKUP(Tableau25[[#This Row],[CA O&amp;M s/parc
BN 2023]],Tableau106[],9,FALSE)</f>
        <v>LoH</v>
      </c>
      <c r="J183" s="110">
        <v>43531.387905315751</v>
      </c>
      <c r="K183" s="120">
        <v>50</v>
      </c>
      <c r="L183" s="21"/>
      <c r="M183" s="23">
        <v>2176569.3952657874</v>
      </c>
    </row>
    <row r="184" spans="1:14">
      <c r="A184" s="299" t="s">
        <v>571</v>
      </c>
      <c r="B184" s="294" t="str">
        <f>VLOOKUP(Tableau25[[#This Row],[CA O&amp;M s/parc
BN 2023]],Tableau106[],3,FALSE)</f>
        <v>A084</v>
      </c>
      <c r="C184" s="294" t="str">
        <f>VLOOKUP(Tableau25[[#This Row],[CA O&amp;M s/parc
BN 2023]],Tableau106[],2,FALSE)</f>
        <v>FR34E93E</v>
      </c>
      <c r="D184" s="300" t="str">
        <f>VLOOKUP(Tableau25[[#This Row],[CA O&amp;M s/parc
BN 2023]],Tableau106[],8,FALSE)</f>
        <v>EOLIEN</v>
      </c>
      <c r="E184" s="295">
        <f>VLOOKUP(Tableau25[[#This Row],[CA O&amp;M s/parc
BN 2023]],Tableau106[],4,FALSE)</f>
        <v>14</v>
      </c>
      <c r="F184" s="297" t="str">
        <f>VLOOKUP(Tableau25[[#This Row],[CA O&amp;M s/parc
BN 2023]],Tableau106[],5,FALSE)</f>
        <v>AUM3</v>
      </c>
      <c r="G184" s="301" t="str">
        <f>VLOOKUP(Tableau25[[#This Row],[CA O&amp;M s/parc
BN 2023]],Tableau106[],7,FALSE)</f>
        <v>FUTUREN</v>
      </c>
      <c r="H184" s="301" t="str">
        <f>VLOOKUP(Tableau25[[#This Row],[CA O&amp;M s/parc
BN 2023]],Tableau106[],6,FALSE)</f>
        <v>S</v>
      </c>
      <c r="I184" s="301" t="str">
        <f>VLOOKUP(Tableau25[[#This Row],[CA O&amp;M s/parc
BN 2023]],Tableau106[],9,FALSE)</f>
        <v>KéD</v>
      </c>
      <c r="J184" s="110">
        <v>32731.784273010468</v>
      </c>
      <c r="K184" s="120">
        <v>94.519211199999987</v>
      </c>
      <c r="L184" s="21"/>
      <c r="M184" s="23">
        <v>3093782.4306535143</v>
      </c>
    </row>
    <row r="185" spans="1:14">
      <c r="A185" s="299" t="s">
        <v>474</v>
      </c>
      <c r="B185" s="294" t="str">
        <f>VLOOKUP(Tableau25[[#This Row],[CA O&amp;M s/parc
BN 2023]],Tableau106[],3,FALSE)</f>
        <v>A530</v>
      </c>
      <c r="C185" s="294" t="str">
        <f>VLOOKUP(Tableau25[[#This Row],[CA O&amp;M s/parc
BN 2023]],Tableau106[],2,FALSE)</f>
        <v>FR51E02E</v>
      </c>
      <c r="D185" s="300" t="str">
        <f>VLOOKUP(Tableau25[[#This Row],[CA O&amp;M s/parc
BN 2023]],Tableau106[],8,FALSE)</f>
        <v>EOLIEN</v>
      </c>
      <c r="E185" s="295">
        <f>VLOOKUP(Tableau25[[#This Row],[CA O&amp;M s/parc
BN 2023]],Tableau106[],4,FALSE)</f>
        <v>8.5</v>
      </c>
      <c r="F185" s="297" t="str">
        <f>VLOOKUP(Tableau25[[#This Row],[CA O&amp;M s/parc
BN 2023]],Tableau106[],5,FALSE)</f>
        <v>VANA</v>
      </c>
      <c r="G185" s="301" t="str">
        <f>VLOOKUP(Tableau25[[#This Row],[CA O&amp;M s/parc
BN 2023]],Tableau106[],7,FALSE)</f>
        <v>GROUPE</v>
      </c>
      <c r="H185" s="301" t="str">
        <f>VLOOKUP(Tableau25[[#This Row],[CA O&amp;M s/parc
BN 2023]],Tableau106[],6,FALSE)</f>
        <v>N</v>
      </c>
      <c r="I185" s="301" t="str">
        <f>VLOOKUP(Tableau25[[#This Row],[CA O&amp;M s/parc
BN 2023]],Tableau106[],9,FALSE)</f>
        <v>BaB</v>
      </c>
      <c r="J185" s="110">
        <v>13790.137405642066</v>
      </c>
      <c r="K185" s="120">
        <v>45</v>
      </c>
      <c r="L185" s="21"/>
      <c r="M185" s="23">
        <v>620556.18325389293</v>
      </c>
    </row>
    <row r="186" spans="1:14">
      <c r="A186" s="299" t="s">
        <v>441</v>
      </c>
      <c r="B186" s="294" t="str">
        <f>VLOOKUP(Tableau25[[#This Row],[CA O&amp;M s/parc
BN 2023]],Tableau106[],3,FALSE)</f>
        <v>F244</v>
      </c>
      <c r="C186" s="294" t="str">
        <f>VLOOKUP(Tableau25[[#This Row],[CA O&amp;M s/parc
BN 2023]],Tableau106[],2,FALSE)</f>
        <v>FR17E08E</v>
      </c>
      <c r="D186" s="300" t="str">
        <f>VLOOKUP(Tableau25[[#This Row],[CA O&amp;M s/parc
BN 2023]],Tableau106[],8,FALSE)</f>
        <v>EOLIEN</v>
      </c>
      <c r="E186" s="295">
        <f>VLOOKUP(Tableau25[[#This Row],[CA O&amp;M s/parc
BN 2023]],Tableau106[],4,FALSE)</f>
        <v>8.8000000000000007</v>
      </c>
      <c r="F186" s="297" t="str">
        <f>VLOOKUP(Tableau25[[#This Row],[CA O&amp;M s/parc
BN 2023]],Tableau106[],5,FALSE)</f>
        <v>VARA</v>
      </c>
      <c r="G186" s="301" t="str">
        <f>VLOOKUP(Tableau25[[#This Row],[CA O&amp;M s/parc
BN 2023]],Tableau106[],7,FALSE)</f>
        <v>FUTUREN</v>
      </c>
      <c r="H186" s="301" t="str">
        <f>VLOOKUP(Tableau25[[#This Row],[CA O&amp;M s/parc
BN 2023]],Tableau106[],6,FALSE)</f>
        <v>N</v>
      </c>
      <c r="I186" s="301" t="str">
        <f>VLOOKUP(Tableau25[[#This Row],[CA O&amp;M s/parc
BN 2023]],Tableau106[],9,FALSE)</f>
        <v>PiM</v>
      </c>
      <c r="J186" s="110">
        <v>19562</v>
      </c>
      <c r="K186" s="120">
        <v>76.325919999999996</v>
      </c>
      <c r="L186" s="21"/>
      <c r="M186" s="23">
        <v>1493087.64704</v>
      </c>
    </row>
    <row r="187" spans="1:14">
      <c r="A187" s="299" t="s">
        <v>643</v>
      </c>
      <c r="B187" s="294" t="str">
        <f>VLOOKUP(Tableau25[[#This Row],[CA O&amp;M s/parc
BN 2023]],Tableau106[],3,FALSE)</f>
        <v>A310</v>
      </c>
      <c r="C187" s="294" t="str">
        <f>VLOOKUP(Tableau25[[#This Row],[CA O&amp;M s/parc
BN 2023]],Tableau106[],2,FALSE)</f>
        <v>FR45S04E</v>
      </c>
      <c r="D187" s="300" t="str">
        <f>VLOOKUP(Tableau25[[#This Row],[CA O&amp;M s/parc
BN 2023]],Tableau106[],8,FALSE)</f>
        <v>SOLAIRE</v>
      </c>
      <c r="E187" s="295">
        <f>VLOOKUP(Tableau25[[#This Row],[CA O&amp;M s/parc
BN 2023]],Tableau106[],4,FALSE)</f>
        <v>5</v>
      </c>
      <c r="F187" s="297" t="str">
        <f>VLOOKUP(Tableau25[[#This Row],[CA O&amp;M s/parc
BN 2023]],Tableau106[],5,FALSE)</f>
        <v>VACH</v>
      </c>
      <c r="G187" s="301" t="str">
        <f>VLOOKUP(Tableau25[[#This Row],[CA O&amp;M s/parc
BN 2023]],Tableau106[],7,FALSE)</f>
        <v>GROUPE</v>
      </c>
      <c r="H187" s="301" t="str">
        <f>VLOOKUP(Tableau25[[#This Row],[CA O&amp;M s/parc
BN 2023]],Tableau106[],6,FALSE)</f>
        <v>N</v>
      </c>
      <c r="I187" s="301" t="str">
        <f>VLOOKUP(Tableau25[[#This Row],[CA O&amp;M s/parc
BN 2023]],Tableau106[],9,FALSE)</f>
        <v>LoG</v>
      </c>
      <c r="J187" s="110">
        <v>0</v>
      </c>
      <c r="K187" s="120"/>
      <c r="L187" s="21"/>
      <c r="M187" s="23">
        <v>0</v>
      </c>
    </row>
    <row r="188" spans="1:14">
      <c r="A188" s="299" t="s">
        <v>585</v>
      </c>
      <c r="B188" s="294" t="str">
        <f>VLOOKUP(Tableau25[[#This Row],[CA O&amp;M s/parc
BN 2023]],Tableau106[],3,FALSE)</f>
        <v>A104</v>
      </c>
      <c r="C188" s="294" t="str">
        <f>VLOOKUP(Tableau25[[#This Row],[CA O&amp;M s/parc
BN 2023]],Tableau106[],2,FALSE)</f>
        <v>FR76E98E</v>
      </c>
      <c r="D188" s="300" t="str">
        <f>VLOOKUP(Tableau25[[#This Row],[CA O&amp;M s/parc
BN 2023]],Tableau106[],8,FALSE)</f>
        <v>EOLIEN</v>
      </c>
      <c r="E188" s="295">
        <f>VLOOKUP(Tableau25[[#This Row],[CA O&amp;M s/parc
BN 2023]],Tableau106[],4,FALSE)</f>
        <v>8</v>
      </c>
      <c r="F188" s="297" t="str">
        <f>VLOOKUP(Tableau25[[#This Row],[CA O&amp;M s/parc
BN 2023]],Tableau106[],5,FALSE)</f>
        <v>VEUL</v>
      </c>
      <c r="G188" s="301" t="str">
        <f>VLOOKUP(Tableau25[[#This Row],[CA O&amp;M s/parc
BN 2023]],Tableau106[],7,FALSE)</f>
        <v>GROUPE</v>
      </c>
      <c r="H188" s="301" t="str">
        <f>VLOOKUP(Tableau25[[#This Row],[CA O&amp;M s/parc
BN 2023]],Tableau106[],6,FALSE)</f>
        <v>N</v>
      </c>
      <c r="I188" s="301" t="str">
        <f>VLOOKUP(Tableau25[[#This Row],[CA O&amp;M s/parc
BN 2023]],Tableau106[],9,FALSE)</f>
        <v>AnN</v>
      </c>
      <c r="J188" s="110">
        <v>23069.141947284152</v>
      </c>
      <c r="K188" s="120">
        <v>73.463827199999997</v>
      </c>
      <c r="L188" s="21"/>
      <c r="M188" s="23">
        <v>1694747.4576675543</v>
      </c>
    </row>
    <row r="189" spans="1:14">
      <c r="A189" s="299" t="s">
        <v>488</v>
      </c>
      <c r="B189" s="294" t="str">
        <f>VLOOKUP(Tableau25[[#This Row],[CA O&amp;M s/parc
BN 2023]],Tableau106[],3,FALSE)</f>
        <v>A540</v>
      </c>
      <c r="C189" s="294" t="str">
        <f>VLOOKUP(Tableau25[[#This Row],[CA O&amp;M s/parc
BN 2023]],Tableau106[],2,FALSE)</f>
        <v>FR02E06E</v>
      </c>
      <c r="D189" s="300" t="str">
        <f>VLOOKUP(Tableau25[[#This Row],[CA O&amp;M s/parc
BN 2023]],Tableau106[],8,FALSE)</f>
        <v>EOLIEN</v>
      </c>
      <c r="E189" s="295">
        <f>VLOOKUP(Tableau25[[#This Row],[CA O&amp;M s/parc
BN 2023]],Tableau106[],4,FALSE)</f>
        <v>6</v>
      </c>
      <c r="F189" s="297" t="str">
        <f>VLOOKUP(Tableau25[[#This Row],[CA O&amp;M s/parc
BN 2023]],Tableau106[],5,FALSE)</f>
        <v>VISE</v>
      </c>
      <c r="G189" s="301" t="str">
        <f>VLOOKUP(Tableau25[[#This Row],[CA O&amp;M s/parc
BN 2023]],Tableau106[],7,FALSE)</f>
        <v>EGM</v>
      </c>
      <c r="H189" s="301" t="str">
        <f>VLOOKUP(Tableau25[[#This Row],[CA O&amp;M s/parc
BN 2023]],Tableau106[],6,FALSE)</f>
        <v>N</v>
      </c>
      <c r="I189" s="301" t="str">
        <f>VLOOKUP(Tableau25[[#This Row],[CA O&amp;M s/parc
BN 2023]],Tableau106[],9,FALSE)</f>
        <v>NoS</v>
      </c>
      <c r="J189" s="110">
        <v>11439.54</v>
      </c>
      <c r="K189" s="120">
        <v>220.4796</v>
      </c>
      <c r="L189" s="21"/>
      <c r="M189" s="23">
        <v>2522185.2033840003</v>
      </c>
    </row>
    <row r="190" spans="1:14" ht="12.75" thickBot="1">
      <c r="A190" s="299" t="s">
        <v>596</v>
      </c>
      <c r="B190" s="294" t="str">
        <f>VLOOKUP(Tableau25[[#This Row],[CA O&amp;M s/parc
BN 2023]],Tableau106[],3,FALSE)</f>
        <v>A056</v>
      </c>
      <c r="C190" s="294" t="str">
        <f>VLOOKUP(Tableau25[[#This Row],[CA O&amp;M s/parc
BN 2023]],Tableau106[],2,FALSE)</f>
        <v>FR11E91E</v>
      </c>
      <c r="D190" s="300" t="str">
        <f>VLOOKUP(Tableau25[[#This Row],[CA O&amp;M s/parc
BN 2023]],Tableau106[],8,FALSE)</f>
        <v>EOLIEN</v>
      </c>
      <c r="E190" s="295">
        <f>VLOOKUP(Tableau25[[#This Row],[CA O&amp;M s/parc
BN 2023]],Tableau106[],4,FALSE)</f>
        <v>50.6</v>
      </c>
      <c r="F190" s="297" t="str">
        <f>VLOOKUP(Tableau25[[#This Row],[CA O&amp;M s/parc
BN 2023]],Tableau106[],5,FALSE)</f>
        <v>VLSQ</v>
      </c>
      <c r="G190" s="301" t="str">
        <f>VLOOKUP(Tableau25[[#This Row],[CA O&amp;M s/parc
BN 2023]],Tableau106[],7,FALSE)</f>
        <v>GROUPE</v>
      </c>
      <c r="H190" s="301" t="str">
        <f>VLOOKUP(Tableau25[[#This Row],[CA O&amp;M s/parc
BN 2023]],Tableau106[],6,FALSE)</f>
        <v>S</v>
      </c>
      <c r="I190" s="301" t="str">
        <f>VLOOKUP(Tableau25[[#This Row],[CA O&amp;M s/parc
BN 2023]],Tableau106[],9,FALSE)</f>
        <v>ThC</v>
      </c>
      <c r="J190" s="110">
        <v>136990.76653124156</v>
      </c>
      <c r="K190" s="120">
        <v>242.08800000000002</v>
      </c>
      <c r="L190" s="21"/>
      <c r="M190" s="23">
        <v>33163820.688015211</v>
      </c>
    </row>
    <row r="191" spans="1:14" ht="12.75" thickTop="1">
      <c r="A191" s="115" t="s">
        <v>644</v>
      </c>
      <c r="B191" s="116">
        <f>SUBTOTAL(103,Tableau25[Code Sté])</f>
        <v>189</v>
      </c>
      <c r="C191" s="116"/>
      <c r="D191" s="117"/>
      <c r="E191" s="118"/>
      <c r="F191" s="119"/>
      <c r="G191" s="119"/>
      <c r="H191" s="119"/>
      <c r="I191" s="119"/>
      <c r="J191" s="10">
        <f>SUBTOTAL(109,Tableau25[PROD en Mwh])</f>
        <v>4332159.8809949206</v>
      </c>
      <c r="K191" s="9">
        <f>COUNTBLANK(Tableau25[TARIF])</f>
        <v>8</v>
      </c>
      <c r="L191" s="17">
        <f>SUBTOTAL(109,Tableau25[PRODUITS excep. (PENALITES, indem. Ass.)])</f>
        <v>125000</v>
      </c>
      <c r="M191" s="10">
        <f>SUBTOTAL(109,Tableau25[CA])</f>
        <v>575822899.69750845</v>
      </c>
      <c r="N191" s="373"/>
    </row>
  </sheetData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._x000a_Merci." xr:uid="{00000000-0002-0000-0200-000000000000}">
          <x14:formula1>
            <xm:f>DATA!$A$3:$A$192</xm:f>
          </x14:formula1>
          <xm:sqref>A2:A190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92D050"/>
  </sheetPr>
  <dimension ref="A1:N186"/>
  <sheetViews>
    <sheetView showGridLines="0" zoomScale="120" zoomScaleNormal="120" workbookViewId="0">
      <pane ySplit="1" topLeftCell="A2" activePane="bottomLeft" state="frozen"/>
      <selection activeCell="G3" sqref="G3"/>
      <selection pane="bottomLeft" activeCell="J101" sqref="J101"/>
    </sheetView>
  </sheetViews>
  <sheetFormatPr baseColWidth="10" defaultColWidth="12" defaultRowHeight="12"/>
  <cols>
    <col min="1" max="1" width="23.6640625" bestFit="1" customWidth="1"/>
    <col min="2" max="3" width="10.5" customWidth="1"/>
    <col min="4" max="4" width="15" bestFit="1" customWidth="1"/>
    <col min="6" max="6" width="9" customWidth="1"/>
    <col min="7" max="7" width="11.6640625" customWidth="1"/>
    <col min="8" max="9" width="8.6640625" customWidth="1"/>
    <col min="10" max="10" width="15.1640625" customWidth="1"/>
    <col min="11" max="12" width="15" customWidth="1"/>
    <col min="13" max="13" width="16.6640625" customWidth="1"/>
    <col min="14" max="14" width="61.33203125" customWidth="1"/>
  </cols>
  <sheetData>
    <row r="1" spans="1:14" ht="87" customHeight="1">
      <c r="A1" s="111" t="s">
        <v>627</v>
      </c>
      <c r="B1" s="112" t="s">
        <v>628</v>
      </c>
      <c r="C1" s="112" t="s">
        <v>629</v>
      </c>
      <c r="D1" s="113" t="s">
        <v>414</v>
      </c>
      <c r="E1" s="114" t="s">
        <v>630</v>
      </c>
      <c r="F1" s="1" t="s">
        <v>631</v>
      </c>
      <c r="G1" s="16" t="s">
        <v>417</v>
      </c>
      <c r="H1" s="16" t="s">
        <v>632</v>
      </c>
      <c r="I1" s="16" t="s">
        <v>418</v>
      </c>
      <c r="J1" s="2" t="s">
        <v>421</v>
      </c>
      <c r="K1" s="2" t="s">
        <v>633</v>
      </c>
      <c r="L1" s="11" t="s">
        <v>634</v>
      </c>
      <c r="M1" s="4" t="s">
        <v>423</v>
      </c>
      <c r="N1" s="370" t="s">
        <v>645</v>
      </c>
    </row>
    <row r="2" spans="1:14">
      <c r="A2" s="293" t="s">
        <v>575</v>
      </c>
      <c r="B2" s="294" t="str">
        <f>VLOOKUP(Tableau254[[#This Row],[CA O&amp;M s/parc
BN 2023]],Tableau106[],3,FALSE)</f>
        <v>A893</v>
      </c>
      <c r="C2" s="294" t="str">
        <f>VLOOKUP(Tableau254[[#This Row],[CA O&amp;M s/parc
BN 2023]],Tableau106[],2,FALSE)</f>
        <v>FR34E97E</v>
      </c>
      <c r="D2" s="294" t="str">
        <f>VLOOKUP(Tableau254[[#This Row],[CA O&amp;M s/parc
BN 2023]],Tableau106[],8,FALSE)</f>
        <v>EOLIEN</v>
      </c>
      <c r="E2" s="295">
        <f>VLOOKUP(Tableau254[[#This Row],[CA O&amp;M s/parc
BN 2023]],Tableau106[],4,FALSE)</f>
        <v>10</v>
      </c>
      <c r="F2" s="294" t="str">
        <f>VLOOKUP(Tableau254[[#This Row],[CA O&amp;M s/parc
BN 2023]],Tableau106[],5,FALSE)</f>
        <v>AUQB</v>
      </c>
      <c r="G2" s="294" t="str">
        <f>VLOOKUP(Tableau254[[#This Row],[CA O&amp;M s/parc
BN 2023]],Tableau106[],7,FALSE)</f>
        <v>GROUPE</v>
      </c>
      <c r="H2" s="294" t="str">
        <f>VLOOKUP(Tableau254[[#This Row],[CA O&amp;M s/parc
BN 2023]],Tableau106[],6,FALSE)</f>
        <v>S</v>
      </c>
      <c r="I2" s="294" t="str">
        <f>VLOOKUP(Tableau254[[#This Row],[CA O&amp;M s/parc
BN 2023]],Tableau106[],9,FALSE)</f>
        <v>KéD</v>
      </c>
      <c r="J2" s="495">
        <v>17722.38</v>
      </c>
      <c r="K2" s="120">
        <v>53</v>
      </c>
      <c r="L2" s="12">
        <v>0</v>
      </c>
      <c r="M2" s="18">
        <f>Tableau254[[#This Row],[PROD en Mwh]]*Tableau254[[#This Row],[TARIF]]</f>
        <v>939286.14</v>
      </c>
      <c r="N2" t="s">
        <v>646</v>
      </c>
    </row>
    <row r="3" spans="1:14">
      <c r="A3" s="293" t="s">
        <v>435</v>
      </c>
      <c r="B3" s="294" t="str">
        <f>VLOOKUP(Tableau254[[#This Row],[CA O&amp;M s/parc
BN 2023]],Tableau106[],3,FALSE)</f>
        <v>A763</v>
      </c>
      <c r="C3" s="294" t="str">
        <f>VLOOKUP(Tableau254[[#This Row],[CA O&amp;M s/parc
BN 2023]],Tableau106[],2,FALSE)</f>
        <v>FR51E05E</v>
      </c>
      <c r="D3" s="294" t="str">
        <f>VLOOKUP(Tableau254[[#This Row],[CA O&amp;M s/parc
BN 2023]],Tableau106[],8,FALSE)</f>
        <v>EOLIEN</v>
      </c>
      <c r="E3" s="295">
        <f>VLOOKUP(Tableau254[[#This Row],[CA O&amp;M s/parc
BN 2023]],Tableau106[],4,FALSE)</f>
        <v>16</v>
      </c>
      <c r="F3" s="296" t="str">
        <f>VLOOKUP(Tableau254[[#This Row],[CA O&amp;M s/parc
BN 2023]],Tableau106[],5,FALSE)</f>
        <v>QVA3</v>
      </c>
      <c r="G3" s="297" t="str">
        <f>VLOOKUP(Tableau254[[#This Row],[CA O&amp;M s/parc
BN 2023]],Tableau106[],7,FALSE)</f>
        <v>GROUPE</v>
      </c>
      <c r="H3" s="297" t="str">
        <f>VLOOKUP(Tableau254[[#This Row],[CA O&amp;M s/parc
BN 2023]],Tableau106[],6,FALSE)</f>
        <v>S</v>
      </c>
      <c r="I3" s="297" t="str">
        <f>VLOOKUP(Tableau254[[#This Row],[CA O&amp;M s/parc
BN 2023]],Tableau106[],9,FALSE)</f>
        <v>BaB</v>
      </c>
      <c r="J3" s="409">
        <v>39197.616999999998</v>
      </c>
      <c r="K3" s="120">
        <v>95.734999999999999</v>
      </c>
      <c r="L3" s="12"/>
      <c r="M3" s="18">
        <f>Tableau254[[#This Row],[PROD en Mwh]]*Tableau254[[#This Row],[TARIF]]</f>
        <v>3752583.8634949997</v>
      </c>
    </row>
    <row r="4" spans="1:14">
      <c r="A4" s="293" t="s">
        <v>504</v>
      </c>
      <c r="B4" s="294" t="str">
        <f>VLOOKUP(Tableau254[[#This Row],[CA O&amp;M s/parc
BN 2023]],Tableau106[],3,FALSE)</f>
        <v>A418</v>
      </c>
      <c r="C4" s="294" t="str">
        <f>VLOOKUP(Tableau254[[#This Row],[CA O&amp;M s/parc
BN 2023]],Tableau106[],2,FALSE)</f>
        <v>FR78E01E</v>
      </c>
      <c r="D4" s="294" t="str">
        <f>VLOOKUP(Tableau254[[#This Row],[CA O&amp;M s/parc
BN 2023]],Tableau106[],8,FALSE)</f>
        <v>EOLIEN</v>
      </c>
      <c r="E4" s="295">
        <f>VLOOKUP(Tableau254[[#This Row],[CA O&amp;M s/parc
BN 2023]],Tableau106[],4,FALSE)</f>
        <v>16.95</v>
      </c>
      <c r="F4" s="296" t="str">
        <f>VLOOKUP(Tableau254[[#This Row],[CA O&amp;M s/parc
BN 2023]],Tableau106[],5,FALSE)</f>
        <v>ALVI</v>
      </c>
      <c r="G4" s="294" t="str">
        <f>VLOOKUP(Tableau254[[#This Row],[CA O&amp;M s/parc
BN 2023]],Tableau106[],7,FALSE)</f>
        <v>GROUPE</v>
      </c>
      <c r="H4" s="294" t="str">
        <f>VLOOKUP(Tableau254[[#This Row],[CA O&amp;M s/parc
BN 2023]],Tableau106[],6,FALSE)</f>
        <v>N</v>
      </c>
      <c r="I4" s="294" t="str">
        <f>VLOOKUP(Tableau254[[#This Row],[CA O&amp;M s/parc
BN 2023]],Tableau106[],9,FALSE)</f>
        <v>AyB</v>
      </c>
      <c r="J4" s="409">
        <v>42166.216999999997</v>
      </c>
      <c r="K4" s="120">
        <v>89.632000000000005</v>
      </c>
      <c r="L4" s="13"/>
      <c r="M4" s="18">
        <f>Tableau254[[#This Row],[PROD en Mwh]]*Tableau254[[#This Row],[TARIF]]</f>
        <v>3779442.3621439999</v>
      </c>
    </row>
    <row r="5" spans="1:14">
      <c r="A5" s="293" t="s">
        <v>530</v>
      </c>
      <c r="B5" s="294" t="str">
        <f>VLOOKUP(Tableau254[[#This Row],[CA O&amp;M s/parc
BN 2023]],Tableau106[],3,FALSE)</f>
        <v>A109</v>
      </c>
      <c r="C5" s="294" t="str">
        <f>VLOOKUP(Tableau254[[#This Row],[CA O&amp;M s/parc
BN 2023]],Tableau106[],2,FALSE)</f>
        <v>FR15E01E</v>
      </c>
      <c r="D5" s="294" t="str">
        <f>VLOOKUP(Tableau254[[#This Row],[CA O&amp;M s/parc
BN 2023]],Tableau106[],8,FALSE)</f>
        <v>EOLIEN</v>
      </c>
      <c r="E5" s="295">
        <f>VLOOKUP(Tableau254[[#This Row],[CA O&amp;M s/parc
BN 2023]],Tableau106[],4,FALSE)</f>
        <v>12</v>
      </c>
      <c r="F5" s="298" t="str">
        <f>VLOOKUP(Tableau254[[#This Row],[CA O&amp;M s/parc
BN 2023]],Tableau106[],5,FALSE)</f>
        <v>ALLA</v>
      </c>
      <c r="G5" s="294" t="str">
        <f>VLOOKUP(Tableau254[[#This Row],[CA O&amp;M s/parc
BN 2023]],Tableau106[],7,FALSE)</f>
        <v>FUTUREN</v>
      </c>
      <c r="H5" s="294" t="str">
        <f>VLOOKUP(Tableau254[[#This Row],[CA O&amp;M s/parc
BN 2023]],Tableau106[],6,FALSE)</f>
        <v>S</v>
      </c>
      <c r="I5" s="294" t="str">
        <f>VLOOKUP(Tableau254[[#This Row],[CA O&amp;M s/parc
BN 2023]],Tableau106[],9,FALSE)</f>
        <v>AuE</v>
      </c>
      <c r="J5" s="409">
        <v>25442.733</v>
      </c>
      <c r="K5" s="120">
        <v>97.04</v>
      </c>
      <c r="L5" s="13"/>
      <c r="M5" s="18">
        <f>Tableau254[[#This Row],[PROD en Mwh]]*Tableau254[[#This Row],[TARIF]]</f>
        <v>2468962.8103200002</v>
      </c>
      <c r="N5" t="s">
        <v>647</v>
      </c>
    </row>
    <row r="6" spans="1:14">
      <c r="A6" s="293" t="s">
        <v>440</v>
      </c>
      <c r="B6" s="294" t="str">
        <f>VLOOKUP(Tableau254[[#This Row],[CA O&amp;M s/parc
BN 2023]],Tableau106[],3,FALSE)</f>
        <v>A353</v>
      </c>
      <c r="C6" s="294" t="str">
        <f>VLOOKUP(Tableau254[[#This Row],[CA O&amp;M s/parc
BN 2023]],Tableau106[],2,FALSE)</f>
        <v>FR33S12E</v>
      </c>
      <c r="D6" s="294" t="str">
        <f>VLOOKUP(Tableau254[[#This Row],[CA O&amp;M s/parc
BN 2023]],Tableau106[],8,FALSE)</f>
        <v>SOLAIRE</v>
      </c>
      <c r="E6" s="295">
        <f>VLOOKUP(Tableau254[[#This Row],[CA O&amp;M s/parc
BN 2023]],Tableau106[],4,FALSE)</f>
        <v>9.6999999999999993</v>
      </c>
      <c r="F6" s="296" t="str">
        <f>VLOOKUP(Tableau254[[#This Row],[CA O&amp;M s/parc
BN 2023]],Tableau106[],5,FALSE)</f>
        <v>AMBE</v>
      </c>
      <c r="G6" s="297" t="str">
        <f>VLOOKUP(Tableau254[[#This Row],[CA O&amp;M s/parc
BN 2023]],Tableau106[],7,FALSE)</f>
        <v>GROUPE</v>
      </c>
      <c r="H6" s="297" t="str">
        <f>VLOOKUP(Tableau254[[#This Row],[CA O&amp;M s/parc
BN 2023]],Tableau106[],6,FALSE)</f>
        <v>S</v>
      </c>
      <c r="I6" s="297" t="str">
        <f>VLOOKUP(Tableau254[[#This Row],[CA O&amp;M s/parc
BN 2023]],Tableau106[],9,FALSE)</f>
        <v>BaA</v>
      </c>
      <c r="J6" s="409">
        <v>11082.109</v>
      </c>
      <c r="K6" s="120">
        <v>59.334000000000003</v>
      </c>
      <c r="L6" s="21"/>
      <c r="M6" s="18">
        <f>Tableau254[[#This Row],[PROD en Mwh]]*Tableau254[[#This Row],[TARIF]]</f>
        <v>657545.85540600005</v>
      </c>
    </row>
    <row r="7" spans="1:14">
      <c r="A7" s="293" t="s">
        <v>479</v>
      </c>
      <c r="B7" s="294" t="str">
        <f>VLOOKUP(Tableau254[[#This Row],[CA O&amp;M s/parc
BN 2023]],Tableau106[],3,FALSE)</f>
        <v>A541</v>
      </c>
      <c r="C7" s="294" t="str">
        <f>VLOOKUP(Tableau254[[#This Row],[CA O&amp;M s/parc
BN 2023]],Tableau106[],2,FALSE)</f>
        <v>FR57E04E</v>
      </c>
      <c r="D7" s="294" t="str">
        <f>VLOOKUP(Tableau254[[#This Row],[CA O&amp;M s/parc
BN 2023]],Tableau106[],8,FALSE)</f>
        <v>EOLIEN</v>
      </c>
      <c r="E7" s="295">
        <f>VLOOKUP(Tableau254[[#This Row],[CA O&amp;M s/parc
BN 2023]],Tableau106[],4,FALSE)</f>
        <v>12</v>
      </c>
      <c r="F7" s="296" t="str">
        <f>VLOOKUP(Tableau254[[#This Row],[CA O&amp;M s/parc
BN 2023]],Tableau106[],5,FALSE)</f>
        <v>AMEL</v>
      </c>
      <c r="G7" s="294" t="str">
        <f>VLOOKUP(Tableau254[[#This Row],[CA O&amp;M s/parc
BN 2023]],Tableau106[],7,FALSE)</f>
        <v>EGM</v>
      </c>
      <c r="H7" s="294" t="str">
        <f>VLOOKUP(Tableau254[[#This Row],[CA O&amp;M s/parc
BN 2023]],Tableau106[],6,FALSE)</f>
        <v>N</v>
      </c>
      <c r="I7" s="294" t="str">
        <f>VLOOKUP(Tableau254[[#This Row],[CA O&amp;M s/parc
BN 2023]],Tableau106[],9,FALSE)</f>
        <v>NoS</v>
      </c>
      <c r="J7" s="409">
        <v>23898.352999999999</v>
      </c>
      <c r="K7" s="120">
        <v>168.29435000000001</v>
      </c>
      <c r="L7" s="13"/>
      <c r="M7" s="18">
        <f>Tableau254[[#This Row],[PROD en Mwh]]*Tableau254[[#This Row],[TARIF]]</f>
        <v>4021957.7842055499</v>
      </c>
    </row>
    <row r="8" spans="1:14">
      <c r="A8" s="293" t="s">
        <v>508</v>
      </c>
      <c r="B8" s="294" t="str">
        <f>VLOOKUP(Tableau254[[#This Row],[CA O&amp;M s/parc
BN 2023]],Tableau106[],3,FALSE)</f>
        <v>F245</v>
      </c>
      <c r="C8" s="294" t="str">
        <f>VLOOKUP(Tableau254[[#This Row],[CA O&amp;M s/parc
BN 2023]],Tableau106[],2,FALSE)</f>
        <v>FR17E07E</v>
      </c>
      <c r="D8" s="294" t="str">
        <f>VLOOKUP(Tableau254[[#This Row],[CA O&amp;M s/parc
BN 2023]],Tableau106[],8,FALSE)</f>
        <v>EOLIEN</v>
      </c>
      <c r="E8" s="295">
        <f>VLOOKUP(Tableau254[[#This Row],[CA O&amp;M s/parc
BN 2023]],Tableau106[],4,FALSE)</f>
        <v>12</v>
      </c>
      <c r="F8" s="296" t="str">
        <f>VLOOKUP(Tableau254[[#This Row],[CA O&amp;M s/parc
BN 2023]],Tableau106[],5,FALSE)</f>
        <v>ANPA</v>
      </c>
      <c r="G8" s="294" t="str">
        <f>VLOOKUP(Tableau254[[#This Row],[CA O&amp;M s/parc
BN 2023]],Tableau106[],7,FALSE)</f>
        <v>FUTUREN</v>
      </c>
      <c r="H8" s="294" t="str">
        <f>VLOOKUP(Tableau254[[#This Row],[CA O&amp;M s/parc
BN 2023]],Tableau106[],6,FALSE)</f>
        <v>N</v>
      </c>
      <c r="I8" s="294" t="str">
        <f>VLOOKUP(Tableau254[[#This Row],[CA O&amp;M s/parc
BN 2023]],Tableau106[],9,FALSE)</f>
        <v>KéC</v>
      </c>
      <c r="J8" s="409">
        <v>25781.358</v>
      </c>
      <c r="K8" s="120">
        <v>76.227999999999994</v>
      </c>
      <c r="L8" s="13"/>
      <c r="M8" s="18">
        <f>Tableau254[[#This Row],[PROD en Mwh]]*Tableau254[[#This Row],[TARIF]]</f>
        <v>1965261.3576239999</v>
      </c>
    </row>
    <row r="9" spans="1:14">
      <c r="A9" s="293" t="s">
        <v>444</v>
      </c>
      <c r="B9" s="294" t="str">
        <f>VLOOKUP(Tableau254[[#This Row],[CA O&amp;M s/parc
BN 2023]],Tableau106[],3,FALSE)</f>
        <v>A353</v>
      </c>
      <c r="C9" s="294" t="str">
        <f>VLOOKUP(Tableau254[[#This Row],[CA O&amp;M s/parc
BN 2023]],Tableau106[],2,FALSE)</f>
        <v>FR30S13E</v>
      </c>
      <c r="D9" s="294" t="str">
        <f>VLOOKUP(Tableau254[[#This Row],[CA O&amp;M s/parc
BN 2023]],Tableau106[],8,FALSE)</f>
        <v>SOLAIRE</v>
      </c>
      <c r="E9" s="295">
        <f>VLOOKUP(Tableau254[[#This Row],[CA O&amp;M s/parc
BN 2023]],Tableau106[],4,FALSE)</f>
        <v>5</v>
      </c>
      <c r="F9" s="296" t="str">
        <f>VLOOKUP(Tableau254[[#This Row],[CA O&amp;M s/parc
BN 2023]],Tableau106[],5,FALSE)</f>
        <v>ARAM</v>
      </c>
      <c r="G9" s="297" t="str">
        <f>VLOOKUP(Tableau254[[#This Row],[CA O&amp;M s/parc
BN 2023]],Tableau106[],7,FALSE)</f>
        <v>GROUPE</v>
      </c>
      <c r="H9" s="297" t="str">
        <f>VLOOKUP(Tableau254[[#This Row],[CA O&amp;M s/parc
BN 2023]],Tableau106[],6,FALSE)</f>
        <v>S</v>
      </c>
      <c r="I9" s="297" t="str">
        <f>VLOOKUP(Tableau254[[#This Row],[CA O&amp;M s/parc
BN 2023]],Tableau106[],9,FALSE)</f>
        <v>ArB</v>
      </c>
      <c r="J9" s="409">
        <v>7198.4219999999996</v>
      </c>
      <c r="K9" s="120">
        <v>79.275999999999996</v>
      </c>
      <c r="L9" s="13"/>
      <c r="M9" s="18">
        <f>Tableau254[[#This Row],[PROD en Mwh]]*Tableau254[[#This Row],[TARIF]]</f>
        <v>570662.10247199994</v>
      </c>
    </row>
    <row r="10" spans="1:14">
      <c r="A10" s="293" t="s">
        <v>445</v>
      </c>
      <c r="B10" s="294" t="str">
        <f>VLOOKUP(Tableau254[[#This Row],[CA O&amp;M s/parc
BN 2023]],Tableau106[],3,FALSE)</f>
        <v>A353</v>
      </c>
      <c r="C10" s="294" t="str">
        <f>VLOOKUP(Tableau254[[#This Row],[CA O&amp;M s/parc
BN 2023]],Tableau106[],2,FALSE)</f>
        <v>FR64S01E</v>
      </c>
      <c r="D10" s="294" t="str">
        <f>VLOOKUP(Tableau254[[#This Row],[CA O&amp;M s/parc
BN 2023]],Tableau106[],8,FALSE)</f>
        <v>SOLAIRE</v>
      </c>
      <c r="E10" s="295">
        <f>VLOOKUP(Tableau254[[#This Row],[CA O&amp;M s/parc
BN 2023]],Tableau106[],4,FALSE)</f>
        <v>4.2</v>
      </c>
      <c r="F10" s="296" t="str">
        <f>VLOOKUP(Tableau254[[#This Row],[CA O&amp;M s/parc
BN 2023]],Tableau106[],5,FALSE)</f>
        <v>ARTI</v>
      </c>
      <c r="G10" s="297" t="str">
        <f>VLOOKUP(Tableau254[[#This Row],[CA O&amp;M s/parc
BN 2023]],Tableau106[],7,FALSE)</f>
        <v>GROUPE</v>
      </c>
      <c r="H10" s="297" t="str">
        <f>VLOOKUP(Tableau254[[#This Row],[CA O&amp;M s/parc
BN 2023]],Tableau106[],6,FALSE)</f>
        <v>S</v>
      </c>
      <c r="I10" s="297" t="str">
        <f>VLOOKUP(Tableau254[[#This Row],[CA O&amp;M s/parc
BN 2023]],Tableau106[],9,FALSE)</f>
        <v>BaA</v>
      </c>
      <c r="J10" s="409">
        <v>4932.5259999999998</v>
      </c>
      <c r="K10" s="120">
        <v>65.12299999999999</v>
      </c>
      <c r="L10" s="21"/>
      <c r="M10" s="18">
        <f>Tableau254[[#This Row],[PROD en Mwh]]*Tableau254[[#This Row],[TARIF]]</f>
        <v>321220.89069799992</v>
      </c>
    </row>
    <row r="11" spans="1:14">
      <c r="A11" s="293" t="s">
        <v>494</v>
      </c>
      <c r="B11" s="294" t="str">
        <f>VLOOKUP(Tableau254[[#This Row],[CA O&amp;M s/parc
BN 2023]],Tableau106[],3,FALSE)</f>
        <v>A530</v>
      </c>
      <c r="C11" s="294" t="str">
        <f>VLOOKUP(Tableau254[[#This Row],[CA O&amp;M s/parc
BN 2023]],Tableau106[],2,FALSE)</f>
        <v>FR57E01E</v>
      </c>
      <c r="D11" s="294" t="str">
        <f>VLOOKUP(Tableau254[[#This Row],[CA O&amp;M s/parc
BN 2023]],Tableau106[],8,FALSE)</f>
        <v>EOLIEN</v>
      </c>
      <c r="E11" s="295">
        <f>VLOOKUP(Tableau254[[#This Row],[CA O&amp;M s/parc
BN 2023]],Tableau106[],4,FALSE)</f>
        <v>12</v>
      </c>
      <c r="F11" s="296" t="str">
        <f>VLOOKUP(Tableau254[[#This Row],[CA O&amp;M s/parc
BN 2023]],Tableau106[],5,FALSE)</f>
        <v>BAMB</v>
      </c>
      <c r="G11" s="297" t="str">
        <f>VLOOKUP(Tableau254[[#This Row],[CA O&amp;M s/parc
BN 2023]],Tableau106[],7,FALSE)</f>
        <v>GROUPE</v>
      </c>
      <c r="H11" s="297" t="str">
        <f>VLOOKUP(Tableau254[[#This Row],[CA O&amp;M s/parc
BN 2023]],Tableau106[],6,FALSE)</f>
        <v>N</v>
      </c>
      <c r="I11" s="297" t="str">
        <f>VLOOKUP(Tableau254[[#This Row],[CA O&amp;M s/parc
BN 2023]],Tableau106[],9,FALSE)</f>
        <v>HuB</v>
      </c>
      <c r="J11" s="409">
        <v>18003.737000000001</v>
      </c>
      <c r="K11" s="120">
        <v>46.5</v>
      </c>
      <c r="L11" s="21"/>
      <c r="M11" s="18">
        <f>Tableau254[[#This Row],[PROD en Mwh]]*Tableau254[[#This Row],[TARIF]]</f>
        <v>837173.7705000001</v>
      </c>
    </row>
    <row r="12" spans="1:14">
      <c r="A12" s="293" t="s">
        <v>525</v>
      </c>
      <c r="B12" s="294" t="str">
        <f>VLOOKUP(Tableau254[[#This Row],[CA O&amp;M s/parc
BN 2023]],Tableau106[],3,FALSE)</f>
        <v>A554</v>
      </c>
      <c r="C12" s="294" t="str">
        <f>VLOOKUP(Tableau254[[#This Row],[CA O&amp;M s/parc
BN 2023]],Tableau106[],2,FALSE)</f>
        <v>FR02E08E</v>
      </c>
      <c r="D12" s="294" t="str">
        <f>VLOOKUP(Tableau254[[#This Row],[CA O&amp;M s/parc
BN 2023]],Tableau106[],8,FALSE)</f>
        <v>EOLIEN</v>
      </c>
      <c r="E12" s="295">
        <f>VLOOKUP(Tableau254[[#This Row],[CA O&amp;M s/parc
BN 2023]],Tableau106[],4,FALSE)</f>
        <v>12</v>
      </c>
      <c r="F12" s="296" t="str">
        <f>VLOOKUP(Tableau254[[#This Row],[CA O&amp;M s/parc
BN 2023]],Tableau106[],5,FALSE)</f>
        <v>BTS1</v>
      </c>
      <c r="G12" s="297" t="str">
        <f>VLOOKUP(Tableau254[[#This Row],[CA O&amp;M s/parc
BN 2023]],Tableau106[],7,FALSE)</f>
        <v>ENDF</v>
      </c>
      <c r="H12" s="297" t="str">
        <f>VLOOKUP(Tableau254[[#This Row],[CA O&amp;M s/parc
BN 2023]],Tableau106[],6,FALSE)</f>
        <v>N</v>
      </c>
      <c r="I12" s="297" t="str">
        <f>VLOOKUP(Tableau254[[#This Row],[CA O&amp;M s/parc
BN 2023]],Tableau106[],9,FALSE)</f>
        <v>BoK</v>
      </c>
      <c r="J12" s="409">
        <f>54902.341</f>
        <v>54902.341</v>
      </c>
      <c r="K12" s="120">
        <v>95.778000000000006</v>
      </c>
      <c r="L12" s="21"/>
      <c r="M12" s="18">
        <f>Tableau254[[#This Row],[PROD en Mwh]]*Tableau254[[#This Row],[TARIF]]</f>
        <v>5258436.4162980001</v>
      </c>
    </row>
    <row r="13" spans="1:14">
      <c r="A13" s="293" t="s">
        <v>598</v>
      </c>
      <c r="B13" s="294" t="str">
        <f>VLOOKUP(Tableau254[[#This Row],[CA O&amp;M s/parc
BN 2023]],Tableau106[],3,FALSE)</f>
        <v>A555</v>
      </c>
      <c r="C13" s="294" t="str">
        <f>VLOOKUP(Tableau254[[#This Row],[CA O&amp;M s/parc
BN 2023]],Tableau106[],2,FALSE)</f>
        <v>FR02E09E</v>
      </c>
      <c r="D13" s="294" t="str">
        <f>VLOOKUP(Tableau254[[#This Row],[CA O&amp;M s/parc
BN 2023]],Tableau106[],8,FALSE)</f>
        <v>EOLIEN</v>
      </c>
      <c r="E13" s="295">
        <f>VLOOKUP(Tableau254[[#This Row],[CA O&amp;M s/parc
BN 2023]],Tableau106[],4,FALSE)</f>
        <v>12</v>
      </c>
      <c r="F13" s="296" t="str">
        <f>VLOOKUP(Tableau254[[#This Row],[CA O&amp;M s/parc
BN 2023]],Tableau106[],5,FALSE)</f>
        <v>BTS2</v>
      </c>
      <c r="G13" s="297" t="str">
        <f>VLOOKUP(Tableau254[[#This Row],[CA O&amp;M s/parc
BN 2023]],Tableau106[],7,FALSE)</f>
        <v>ENDF</v>
      </c>
      <c r="H13" s="297" t="str">
        <f>VLOOKUP(Tableau254[[#This Row],[CA O&amp;M s/parc
BN 2023]],Tableau106[],6,FALSE)</f>
        <v>N</v>
      </c>
      <c r="I13" s="297" t="str">
        <f>VLOOKUP(Tableau254[[#This Row],[CA O&amp;M s/parc
BN 2023]],Tableau106[],9,FALSE)</f>
        <v>BoK</v>
      </c>
      <c r="J13" s="409">
        <f>54902.341</f>
        <v>54902.341</v>
      </c>
      <c r="K13" s="120">
        <v>95.778000000000006</v>
      </c>
      <c r="L13" s="21"/>
      <c r="M13" s="18">
        <f>Tableau254[[#This Row],[PROD en Mwh]]*Tableau254[[#This Row],[TARIF]]</f>
        <v>5258436.4162980001</v>
      </c>
    </row>
    <row r="14" spans="1:14">
      <c r="A14" s="293" t="s">
        <v>489</v>
      </c>
      <c r="B14" s="294" t="str">
        <f>VLOOKUP(Tableau254[[#This Row],[CA O&amp;M s/parc
BN 2023]],Tableau106[],3,FALSE)</f>
        <v>A905</v>
      </c>
      <c r="C14" s="294" t="str">
        <f>VLOOKUP(Tableau254[[#This Row],[CA O&amp;M s/parc
BN 2023]],Tableau106[],2,FALSE)</f>
        <v>FR69E01E</v>
      </c>
      <c r="D14" s="294" t="str">
        <f>VLOOKUP(Tableau254[[#This Row],[CA O&amp;M s/parc
BN 2023]],Tableau106[],8,FALSE)</f>
        <v>EOLIEN</v>
      </c>
      <c r="E14" s="295">
        <f>VLOOKUP(Tableau254[[#This Row],[CA O&amp;M s/parc
BN 2023]],Tableau106[],4,FALSE)</f>
        <v>12</v>
      </c>
      <c r="F14" s="296" t="str">
        <f>VLOOKUP(Tableau254[[#This Row],[CA O&amp;M s/parc
BN 2023]],Tableau106[],5,FALSE)</f>
        <v>BVER</v>
      </c>
      <c r="G14" s="297" t="str">
        <f>VLOOKUP(Tableau254[[#This Row],[CA O&amp;M s/parc
BN 2023]],Tableau106[],7,FALSE)</f>
        <v>GROUPE</v>
      </c>
      <c r="H14" s="297" t="str">
        <f>VLOOKUP(Tableau254[[#This Row],[CA O&amp;M s/parc
BN 2023]],Tableau106[],6,FALSE)</f>
        <v>S</v>
      </c>
      <c r="I14" s="297" t="str">
        <f>VLOOKUP(Tableau254[[#This Row],[CA O&amp;M s/parc
BN 2023]],Tableau106[],9,FALSE)</f>
        <v>KéC</v>
      </c>
      <c r="J14" s="409">
        <v>19685.065999999999</v>
      </c>
      <c r="K14" s="120">
        <v>79.453999999999994</v>
      </c>
      <c r="L14" s="13"/>
      <c r="M14" s="18">
        <f>Tableau254[[#This Row],[PROD en Mwh]]*Tableau254[[#This Row],[TARIF]]</f>
        <v>1564057.2339639999</v>
      </c>
    </row>
    <row r="15" spans="1:14">
      <c r="A15" s="293" t="s">
        <v>454</v>
      </c>
      <c r="B15" s="294" t="str">
        <f>VLOOKUP(Tableau254[[#This Row],[CA O&amp;M s/parc
BN 2023]],Tableau106[],3,FALSE)</f>
        <v>A295</v>
      </c>
      <c r="C15" s="294" t="str">
        <f>VLOOKUP(Tableau254[[#This Row],[CA O&amp;M s/parc
BN 2023]],Tableau106[],2,FALSE)</f>
        <v>FR85S02E</v>
      </c>
      <c r="D15" s="294" t="str">
        <f>VLOOKUP(Tableau254[[#This Row],[CA O&amp;M s/parc
BN 2023]],Tableau106[],8,FALSE)</f>
        <v>SOLAIRE</v>
      </c>
      <c r="E15" s="295">
        <f>VLOOKUP(Tableau254[[#This Row],[CA O&amp;M s/parc
BN 2023]],Tableau106[],4,FALSE)</f>
        <v>12.8</v>
      </c>
      <c r="F15" s="296" t="str">
        <f>VLOOKUP(Tableau254[[#This Row],[CA O&amp;M s/parc
BN 2023]],Tableau106[],5,FALSE)</f>
        <v>BEAU</v>
      </c>
      <c r="G15" s="297" t="str">
        <f>VLOOKUP(Tableau254[[#This Row],[CA O&amp;M s/parc
BN 2023]],Tableau106[],7,FALSE)</f>
        <v>GROUPE</v>
      </c>
      <c r="H15" s="297" t="str">
        <f>VLOOKUP(Tableau254[[#This Row],[CA O&amp;M s/parc
BN 2023]],Tableau106[],6,FALSE)</f>
        <v>N</v>
      </c>
      <c r="I15" s="297" t="str">
        <f>VLOOKUP(Tableau254[[#This Row],[CA O&amp;M s/parc
BN 2023]],Tableau106[],9,FALSE)</f>
        <v>ZaA</v>
      </c>
      <c r="J15" s="409">
        <v>14719.405000000001</v>
      </c>
      <c r="K15" s="120">
        <v>170.94416666666666</v>
      </c>
      <c r="L15" s="21"/>
      <c r="M15" s="18">
        <f>Tableau254[[#This Row],[PROD en Mwh]]*Tableau254[[#This Row],[TARIF]]</f>
        <v>2516196.4215541668</v>
      </c>
    </row>
    <row r="16" spans="1:14">
      <c r="A16" s="293" t="s">
        <v>473</v>
      </c>
      <c r="B16" s="294" t="str">
        <f>VLOOKUP(Tableau254[[#This Row],[CA O&amp;M s/parc
BN 2023]],Tableau106[],3,FALSE)</f>
        <v>A177</v>
      </c>
      <c r="C16" s="294" t="str">
        <f>VLOOKUP(Tableau254[[#This Row],[CA O&amp;M s/parc
BN 2023]],Tableau106[],2,FALSE)</f>
        <v>FR88E99E</v>
      </c>
      <c r="D16" s="294" t="str">
        <f>VLOOKUP(Tableau254[[#This Row],[CA O&amp;M s/parc
BN 2023]],Tableau106[],8,FALSE)</f>
        <v>EOLIEN</v>
      </c>
      <c r="E16" s="295">
        <f>VLOOKUP(Tableau254[[#This Row],[CA O&amp;M s/parc
BN 2023]],Tableau106[],4,FALSE)</f>
        <v>20</v>
      </c>
      <c r="F16" s="296" t="str">
        <f>VLOOKUP(Tableau254[[#This Row],[CA O&amp;M s/parc
BN 2023]],Tableau106[],5,FALSE)</f>
        <v>BDBS</v>
      </c>
      <c r="G16" s="297" t="str">
        <f>VLOOKUP(Tableau254[[#This Row],[CA O&amp;M s/parc
BN 2023]],Tableau106[],7,FALSE)</f>
        <v>GROUPE</v>
      </c>
      <c r="H16" s="297" t="str">
        <f>VLOOKUP(Tableau254[[#This Row],[CA O&amp;M s/parc
BN 2023]],Tableau106[],6,FALSE)</f>
        <v>N</v>
      </c>
      <c r="I16" s="297" t="str">
        <f>VLOOKUP(Tableau254[[#This Row],[CA O&amp;M s/parc
BN 2023]],Tableau106[],9,FALSE)</f>
        <v>AyB</v>
      </c>
      <c r="J16" s="409">
        <v>39807.184000000001</v>
      </c>
      <c r="K16" s="120">
        <v>94.83</v>
      </c>
      <c r="L16" s="13"/>
      <c r="M16" s="18">
        <f>Tableau254[[#This Row],[PROD en Mwh]]*Tableau254[[#This Row],[TARIF]]</f>
        <v>3774915.2587199998</v>
      </c>
    </row>
    <row r="17" spans="1:14">
      <c r="A17" s="293" t="s">
        <v>457</v>
      </c>
      <c r="B17" s="294" t="str">
        <f>VLOOKUP(Tableau254[[#This Row],[CA O&amp;M s/parc
BN 2023]],Tableau106[],3,FALSE)</f>
        <v>A133</v>
      </c>
      <c r="C17" s="294" t="str">
        <f>VLOOKUP(Tableau254[[#This Row],[CA O&amp;M s/parc
BN 2023]],Tableau106[],2,FALSE)</f>
        <v>FR84S01E</v>
      </c>
      <c r="D17" s="294" t="str">
        <f>VLOOKUP(Tableau254[[#This Row],[CA O&amp;M s/parc
BN 2023]],Tableau106[],8,FALSE)</f>
        <v>SOLAIRE</v>
      </c>
      <c r="E17" s="295">
        <f>VLOOKUP(Tableau254[[#This Row],[CA O&amp;M s/parc
BN 2023]],Tableau106[],4,FALSE)</f>
        <v>2.61</v>
      </c>
      <c r="F17" s="296" t="str">
        <f>VLOOKUP(Tableau254[[#This Row],[CA O&amp;M s/parc
BN 2023]],Tableau106[],5,FALSE)</f>
        <v>BLAU</v>
      </c>
      <c r="G17" s="297" t="str">
        <f>VLOOKUP(Tableau254[[#This Row],[CA O&amp;M s/parc
BN 2023]],Tableau106[],7,FALSE)</f>
        <v>GROUPE</v>
      </c>
      <c r="H17" s="297" t="str">
        <f>VLOOKUP(Tableau254[[#This Row],[CA O&amp;M s/parc
BN 2023]],Tableau106[],6,FALSE)</f>
        <v>S</v>
      </c>
      <c r="I17" s="297" t="str">
        <f>VLOOKUP(Tableau254[[#This Row],[CA O&amp;M s/parc
BN 2023]],Tableau106[],9,FALSE)</f>
        <v>ArB</v>
      </c>
      <c r="J17" s="409">
        <v>4113.1719999999996</v>
      </c>
      <c r="K17" s="120">
        <v>405.84300000000002</v>
      </c>
      <c r="L17" s="21"/>
      <c r="M17" s="18">
        <f>Tableau254[[#This Row],[PROD en Mwh]]*Tableau254[[#This Row],[TARIF]]</f>
        <v>1669302.063996</v>
      </c>
    </row>
    <row r="18" spans="1:14">
      <c r="A18" s="293" t="s">
        <v>583</v>
      </c>
      <c r="B18" s="294" t="str">
        <f>VLOOKUP(Tableau254[[#This Row],[CA O&amp;M s/parc
BN 2023]],Tableau106[],3,FALSE)</f>
        <v>A095</v>
      </c>
      <c r="C18" s="294" t="str">
        <f>VLOOKUP(Tableau254[[#This Row],[CA O&amp;M s/parc
BN 2023]],Tableau106[],2,FALSE)</f>
        <v>FR43E99E</v>
      </c>
      <c r="D18" s="294" t="str">
        <f>VLOOKUP(Tableau254[[#This Row],[CA O&amp;M s/parc
BN 2023]],Tableau106[],8,FALSE)</f>
        <v>EOLIEN</v>
      </c>
      <c r="E18" s="295">
        <f>VLOOKUP(Tableau254[[#This Row],[CA O&amp;M s/parc
BN 2023]],Tableau106[],4,FALSE)</f>
        <v>12</v>
      </c>
      <c r="F18" s="296" t="str">
        <f>VLOOKUP(Tableau254[[#This Row],[CA O&amp;M s/parc
BN 2023]],Tableau106[],5,FALSE)</f>
        <v>BARB</v>
      </c>
      <c r="G18" s="297" t="str">
        <f>VLOOKUP(Tableau254[[#This Row],[CA O&amp;M s/parc
BN 2023]],Tableau106[],7,FALSE)</f>
        <v>FUTUREN</v>
      </c>
      <c r="H18" s="297" t="str">
        <f>VLOOKUP(Tableau254[[#This Row],[CA O&amp;M s/parc
BN 2023]],Tableau106[],6,FALSE)</f>
        <v>S</v>
      </c>
      <c r="I18" s="297" t="str">
        <f>VLOOKUP(Tableau254[[#This Row],[CA O&amp;M s/parc
BN 2023]],Tableau106[],9,FALSE)</f>
        <v>OdP</v>
      </c>
      <c r="J18" s="409">
        <v>16601.849999999999</v>
      </c>
      <c r="K18" s="120">
        <v>197.14620833333333</v>
      </c>
      <c r="L18" s="12"/>
      <c r="M18" s="18">
        <f>Tableau254[[#This Row],[PROD en Mwh]]*Tableau254[[#This Row],[TARIF]]</f>
        <v>3272991.7788187498</v>
      </c>
    </row>
    <row r="19" spans="1:14">
      <c r="A19" s="293" t="s">
        <v>437</v>
      </c>
      <c r="B19" s="294" t="str">
        <f>VLOOKUP(Tableau254[[#This Row],[CA O&amp;M s/parc
BN 2023]],Tableau106[],3,FALSE)</f>
        <v>A541</v>
      </c>
      <c r="C19" s="294" t="str">
        <f>VLOOKUP(Tableau254[[#This Row],[CA O&amp;M s/parc
BN 2023]],Tableau106[],2,FALSE)</f>
        <v>FR57E05E</v>
      </c>
      <c r="D19" s="294" t="str">
        <f>VLOOKUP(Tableau254[[#This Row],[CA O&amp;M s/parc
BN 2023]],Tableau106[],8,FALSE)</f>
        <v>EOLIEN</v>
      </c>
      <c r="E19" s="295">
        <f>VLOOKUP(Tableau254[[#This Row],[CA O&amp;M s/parc
BN 2023]],Tableau106[],4,FALSE)</f>
        <v>10.5</v>
      </c>
      <c r="F19" s="296" t="str">
        <f>VLOOKUP(Tableau254[[#This Row],[CA O&amp;M s/parc
BN 2023]],Tableau106[],5,FALSE)</f>
        <v>BOUS</v>
      </c>
      <c r="G19" s="297" t="str">
        <f>VLOOKUP(Tableau254[[#This Row],[CA O&amp;M s/parc
BN 2023]],Tableau106[],7,FALSE)</f>
        <v>EGM</v>
      </c>
      <c r="H19" s="297" t="str">
        <f>VLOOKUP(Tableau254[[#This Row],[CA O&amp;M s/parc
BN 2023]],Tableau106[],6,FALSE)</f>
        <v>N</v>
      </c>
      <c r="I19" s="297" t="str">
        <f>VLOOKUP(Tableau254[[#This Row],[CA O&amp;M s/parc
BN 2023]],Tableau106[],9,FALSE)</f>
        <v>NoS</v>
      </c>
      <c r="J19" s="409">
        <v>14344.745999999999</v>
      </c>
      <c r="K19" s="120">
        <v>60.38</v>
      </c>
      <c r="L19" s="12"/>
      <c r="M19" s="18">
        <f>Tableau254[[#This Row],[PROD en Mwh]]*Tableau254[[#This Row],[TARIF]]</f>
        <v>866135.76347999997</v>
      </c>
    </row>
    <row r="20" spans="1:14">
      <c r="A20" s="293" t="s">
        <v>459</v>
      </c>
      <c r="B20" s="294" t="str">
        <f>VLOOKUP(Tableau254[[#This Row],[CA O&amp;M s/parc
BN 2023]],Tableau106[],3,FALSE)</f>
        <v>A145</v>
      </c>
      <c r="C20" s="294" t="str">
        <f>VLOOKUP(Tableau254[[#This Row],[CA O&amp;M s/parc
BN 2023]],Tableau106[],2,FALSE)</f>
        <v>FR31S01E</v>
      </c>
      <c r="D20" s="294" t="str">
        <f>VLOOKUP(Tableau254[[#This Row],[CA O&amp;M s/parc
BN 2023]],Tableau106[],8,FALSE)</f>
        <v>SOLAIRE</v>
      </c>
      <c r="E20" s="295">
        <f>VLOOKUP(Tableau254[[#This Row],[CA O&amp;M s/parc
BN 2023]],Tableau106[],4,FALSE)</f>
        <v>10.15</v>
      </c>
      <c r="F20" s="296" t="str">
        <f>VLOOKUP(Tableau254[[#This Row],[CA O&amp;M s/parc
BN 2023]],Tableau106[],5,FALSE)</f>
        <v>BOUL</v>
      </c>
      <c r="G20" s="297" t="str">
        <f>VLOOKUP(Tableau254[[#This Row],[CA O&amp;M s/parc
BN 2023]],Tableau106[],7,FALSE)</f>
        <v>GROUPE</v>
      </c>
      <c r="H20" s="297" t="str">
        <f>VLOOKUP(Tableau254[[#This Row],[CA O&amp;M s/parc
BN 2023]],Tableau106[],6,FALSE)</f>
        <v>S</v>
      </c>
      <c r="I20" s="297" t="str">
        <f>VLOOKUP(Tableau254[[#This Row],[CA O&amp;M s/parc
BN 2023]],Tableau106[],9,FALSE)</f>
        <v>BaA</v>
      </c>
      <c r="J20" s="409">
        <v>12523.938</v>
      </c>
      <c r="K20" s="120">
        <v>356.68900000000002</v>
      </c>
      <c r="L20" s="13"/>
      <c r="M20" s="18">
        <f>Tableau254[[#This Row],[PROD en Mwh]]*Tableau254[[#This Row],[TARIF]]</f>
        <v>4467150.9212819999</v>
      </c>
      <c r="N20" s="410"/>
    </row>
    <row r="21" spans="1:14">
      <c r="A21" s="293" t="s">
        <v>54</v>
      </c>
      <c r="B21" s="294" t="str">
        <f>VLOOKUP(Tableau254[[#This Row],[CA O&amp;M s/parc
BN 2023]],Tableau106[],3,FALSE)</f>
        <v>A272</v>
      </c>
      <c r="C21" s="294" t="str">
        <f>VLOOKUP(Tableau254[[#This Row],[CA O&amp;M s/parc
BN 2023]],Tableau106[],2,FALSE)</f>
        <v>FR45S03E</v>
      </c>
      <c r="D21" s="294" t="str">
        <f>VLOOKUP(Tableau254[[#This Row],[CA O&amp;M s/parc
BN 2023]],Tableau106[],8,FALSE)</f>
        <v>SOLAIRE</v>
      </c>
      <c r="E21" s="295">
        <f>VLOOKUP(Tableau254[[#This Row],[CA O&amp;M s/parc
BN 2023]],Tableau106[],4,FALSE)</f>
        <v>15.5</v>
      </c>
      <c r="F21" s="296" t="str">
        <f>VLOOKUP(Tableau254[[#This Row],[CA O&amp;M s/parc
BN 2023]],Tableau106[],5,FALSE)</f>
        <v>BRIA</v>
      </c>
      <c r="G21" s="297" t="str">
        <f>VLOOKUP(Tableau254[[#This Row],[CA O&amp;M s/parc
BN 2023]],Tableau106[],7,FALSE)</f>
        <v>GROUPE</v>
      </c>
      <c r="H21" s="297" t="str">
        <f>VLOOKUP(Tableau254[[#This Row],[CA O&amp;M s/parc
BN 2023]],Tableau106[],6,FALSE)</f>
        <v>N</v>
      </c>
      <c r="I21" s="297" t="str">
        <f>VLOOKUP(Tableau254[[#This Row],[CA O&amp;M s/parc
BN 2023]],Tableau106[],9,FALSE)</f>
        <v>LoG</v>
      </c>
      <c r="J21" s="409">
        <v>15827.991</v>
      </c>
      <c r="K21" s="120">
        <v>62.4</v>
      </c>
      <c r="L21" s="13"/>
      <c r="M21" s="18">
        <f>Tableau254[[#This Row],[PROD en Mwh]]*Tableau254[[#This Row],[TARIF]]</f>
        <v>987666.63839999994</v>
      </c>
    </row>
    <row r="22" spans="1:14">
      <c r="A22" s="293" t="s">
        <v>510</v>
      </c>
      <c r="B22" s="294" t="str">
        <f>VLOOKUP(Tableau254[[#This Row],[CA O&amp;M s/parc
BN 2023]],Tableau106[],3,FALSE)</f>
        <v>A540</v>
      </c>
      <c r="C22" s="294" t="str">
        <f>VLOOKUP(Tableau254[[#This Row],[CA O&amp;M s/parc
BN 2023]],Tableau106[],2,FALSE)</f>
        <v>FR02E03E</v>
      </c>
      <c r="D22" s="294" t="str">
        <f>VLOOKUP(Tableau254[[#This Row],[CA O&amp;M s/parc
BN 2023]],Tableau106[],8,FALSE)</f>
        <v>EOLIEN</v>
      </c>
      <c r="E22" s="295">
        <f>VLOOKUP(Tableau254[[#This Row],[CA O&amp;M s/parc
BN 2023]],Tableau106[],4,FALSE)</f>
        <v>6</v>
      </c>
      <c r="F22" s="296" t="str">
        <f>VLOOKUP(Tableau254[[#This Row],[CA O&amp;M s/parc
BN 2023]],Tableau106[],5,FALSE)</f>
        <v>BRIY</v>
      </c>
      <c r="G22" s="297" t="str">
        <f>VLOOKUP(Tableau254[[#This Row],[CA O&amp;M s/parc
BN 2023]],Tableau106[],7,FALSE)</f>
        <v>EGM</v>
      </c>
      <c r="H22" s="297" t="str">
        <f>VLOOKUP(Tableau254[[#This Row],[CA O&amp;M s/parc
BN 2023]],Tableau106[],6,FALSE)</f>
        <v>N</v>
      </c>
      <c r="I22" s="297" t="str">
        <f>VLOOKUP(Tableau254[[#This Row],[CA O&amp;M s/parc
BN 2023]],Tableau106[],9,FALSE)</f>
        <v>NoS</v>
      </c>
      <c r="J22" s="409">
        <v>12239.974</v>
      </c>
      <c r="K22" s="120">
        <v>168.165975</v>
      </c>
      <c r="L22" s="13"/>
      <c r="M22" s="18">
        <f>Tableau254[[#This Row],[PROD en Mwh]]*Tableau254[[#This Row],[TARIF]]</f>
        <v>2058347.16168465</v>
      </c>
      <c r="N22" s="410"/>
    </row>
    <row r="23" spans="1:14">
      <c r="A23" s="293" t="s">
        <v>563</v>
      </c>
      <c r="B23" s="294" t="str">
        <f>VLOOKUP(Tableau254[[#This Row],[CA O&amp;M s/parc
BN 2023]],Tableau106[],3,FALSE)</f>
        <v>A114</v>
      </c>
      <c r="C23" s="294" t="str">
        <f>VLOOKUP(Tableau254[[#This Row],[CA O&amp;M s/parc
BN 2023]],Tableau106[],2,FALSE)</f>
        <v>FR11E95E</v>
      </c>
      <c r="D23" s="294" t="str">
        <f>VLOOKUP(Tableau254[[#This Row],[CA O&amp;M s/parc
BN 2023]],Tableau106[],8,FALSE)</f>
        <v>EOLIEN</v>
      </c>
      <c r="E23" s="295">
        <f>VLOOKUP(Tableau254[[#This Row],[CA O&amp;M s/parc
BN 2023]],Tableau106[],4,FALSE)</f>
        <v>11.5</v>
      </c>
      <c r="F23" s="296" t="str">
        <f>VLOOKUP(Tableau254[[#This Row],[CA O&amp;M s/parc
BN 2023]],Tableau106[],5,FALSE)</f>
        <v>CAMB</v>
      </c>
      <c r="G23" s="297" t="str">
        <f>VLOOKUP(Tableau254[[#This Row],[CA O&amp;M s/parc
BN 2023]],Tableau106[],7,FALSE)</f>
        <v>GROUPE</v>
      </c>
      <c r="H23" s="297" t="str">
        <f>VLOOKUP(Tableau254[[#This Row],[CA O&amp;M s/parc
BN 2023]],Tableau106[],6,FALSE)</f>
        <v>S</v>
      </c>
      <c r="I23" s="297" t="str">
        <f>VLOOKUP(Tableau254[[#This Row],[CA O&amp;M s/parc
BN 2023]],Tableau106[],9,FALSE)</f>
        <v>ThC</v>
      </c>
      <c r="J23" s="409">
        <v>33366.152000000002</v>
      </c>
      <c r="K23" s="120">
        <v>81.974000000000004</v>
      </c>
      <c r="L23" s="13">
        <v>0</v>
      </c>
      <c r="M23" s="18">
        <f>Tableau254[[#This Row],[PROD en Mwh]]*Tableau254[[#This Row],[TARIF]]</f>
        <v>2735156.9440480005</v>
      </c>
    </row>
    <row r="24" spans="1:14">
      <c r="A24" s="293" t="s">
        <v>466</v>
      </c>
      <c r="B24" s="294" t="str">
        <f>VLOOKUP(Tableau254[[#This Row],[CA O&amp;M s/parc
BN 2023]],Tableau106[],3,FALSE)</f>
        <v>A047</v>
      </c>
      <c r="C24" s="294" t="str">
        <f>VLOOKUP(Tableau254[[#This Row],[CA O&amp;M s/parc
BN 2023]],Tableau106[],2,FALSE)</f>
        <v>FR97S76E</v>
      </c>
      <c r="D24" s="294" t="str">
        <f>VLOOKUP(Tableau254[[#This Row],[CA O&amp;M s/parc
BN 2023]],Tableau106[],8,FALSE)</f>
        <v>SOLAIRE DOM</v>
      </c>
      <c r="E24" s="295">
        <f>VLOOKUP(Tableau254[[#This Row],[CA O&amp;M s/parc
BN 2023]],Tableau106[],4,FALSE)</f>
        <v>0.68200000000000005</v>
      </c>
      <c r="F24" s="296" t="str">
        <f>VLOOKUP(Tableau254[[#This Row],[CA O&amp;M s/parc
BN 2023]],Tableau106[],5,FALSE)</f>
        <v>CANO</v>
      </c>
      <c r="G24" s="297" t="str">
        <f>VLOOKUP(Tableau254[[#This Row],[CA O&amp;M s/parc
BN 2023]],Tableau106[],7,FALSE)</f>
        <v>GROUPE</v>
      </c>
      <c r="H24" s="297" t="str">
        <f>VLOOKUP(Tableau254[[#This Row],[CA O&amp;M s/parc
BN 2023]],Tableau106[],6,FALSE)</f>
        <v>DOM</v>
      </c>
      <c r="I24" s="297" t="str">
        <f>VLOOKUP(Tableau254[[#This Row],[CA O&amp;M s/parc
BN 2023]],Tableau106[],9,FALSE)</f>
        <v>DoJ</v>
      </c>
      <c r="J24" s="409">
        <v>623.94200000000001</v>
      </c>
      <c r="K24" s="120">
        <v>513.78099999999995</v>
      </c>
      <c r="L24" s="13"/>
      <c r="M24" s="18">
        <f>Tableau254[[#This Row],[PROD en Mwh]]*Tableau254[[#This Row],[TARIF]]</f>
        <v>320569.54470199998</v>
      </c>
    </row>
    <row r="25" spans="1:14">
      <c r="A25" s="293" t="s">
        <v>590</v>
      </c>
      <c r="B25" s="294" t="str">
        <f>VLOOKUP(Tableau254[[#This Row],[CA O&amp;M s/parc
BN 2023]],Tableau106[],3,FALSE)</f>
        <v>A124</v>
      </c>
      <c r="C25" s="294" t="str">
        <f>VLOOKUP(Tableau254[[#This Row],[CA O&amp;M s/parc
BN 2023]],Tableau106[],2,FALSE)</f>
        <v>FR28E99E</v>
      </c>
      <c r="D25" s="294" t="str">
        <f>VLOOKUP(Tableau254[[#This Row],[CA O&amp;M s/parc
BN 2023]],Tableau106[],8,FALSE)</f>
        <v>EOLIEN</v>
      </c>
      <c r="E25" s="295">
        <f>VLOOKUP(Tableau254[[#This Row],[CA O&amp;M s/parc
BN 2023]],Tableau106[],4,FALSE)</f>
        <v>12</v>
      </c>
      <c r="F25" s="296" t="str">
        <f>VLOOKUP(Tableau254[[#This Row],[CA O&amp;M s/parc
BN 2023]],Tableau106[],5,FALSE)</f>
        <v>CDBO</v>
      </c>
      <c r="G25" s="297" t="str">
        <f>VLOOKUP(Tableau254[[#This Row],[CA O&amp;M s/parc
BN 2023]],Tableau106[],7,FALSE)</f>
        <v>GROUPE</v>
      </c>
      <c r="H25" s="297" t="str">
        <f>VLOOKUP(Tableau254[[#This Row],[CA O&amp;M s/parc
BN 2023]],Tableau106[],6,FALSE)</f>
        <v>N</v>
      </c>
      <c r="I25" s="297" t="str">
        <f>VLOOKUP(Tableau254[[#This Row],[CA O&amp;M s/parc
BN 2023]],Tableau106[],9,FALSE)</f>
        <v>LoH</v>
      </c>
      <c r="J25" s="410">
        <v>46754.050999999999</v>
      </c>
      <c r="K25" s="120">
        <v>195.73201900000001</v>
      </c>
      <c r="L25" s="13">
        <v>52000</v>
      </c>
      <c r="M25" s="18">
        <f>Tableau254[[#This Row],[PROD en Mwh]]*Tableau254[[#This Row],[TARIF]]</f>
        <v>9151264.7986589689</v>
      </c>
    </row>
    <row r="26" spans="1:14">
      <c r="A26" s="293" t="s">
        <v>622</v>
      </c>
      <c r="B26" s="294" t="str">
        <f>VLOOKUP(Tableau254[[#This Row],[CA O&amp;M s/parc
BN 2023]],Tableau106[],3,FALSE)</f>
        <v>A049</v>
      </c>
      <c r="C26" s="294" t="str">
        <f>VLOOKUP(Tableau254[[#This Row],[CA O&amp;M s/parc
BN 2023]],Tableau106[],2,FALSE)</f>
        <v>FR34E96E</v>
      </c>
      <c r="D26" s="294" t="str">
        <f>VLOOKUP(Tableau254[[#This Row],[CA O&amp;M s/parc
BN 2023]],Tableau106[],8,FALSE)</f>
        <v>EOLIEN</v>
      </c>
      <c r="E26" s="295">
        <f>VLOOKUP(Tableau254[[#This Row],[CA O&amp;M s/parc
BN 2023]],Tableau106[],4,FALSE)</f>
        <v>11.5</v>
      </c>
      <c r="F26" s="296" t="str">
        <f>VLOOKUP(Tableau254[[#This Row],[CA O&amp;M s/parc
BN 2023]],Tableau106[],5,FALSE)</f>
        <v>CASH</v>
      </c>
      <c r="G26" s="297" t="str">
        <f>VLOOKUP(Tableau254[[#This Row],[CA O&amp;M s/parc
BN 2023]],Tableau106[],7,FALSE)</f>
        <v>GROUPE</v>
      </c>
      <c r="H26" s="297" t="str">
        <f>VLOOKUP(Tableau254[[#This Row],[CA O&amp;M s/parc
BN 2023]],Tableau106[],6,FALSE)</f>
        <v>S</v>
      </c>
      <c r="I26" s="297" t="str">
        <f>VLOOKUP(Tableau254[[#This Row],[CA O&amp;M s/parc
BN 2023]],Tableau106[],9,FALSE)</f>
        <v>OdP</v>
      </c>
      <c r="J26" s="410">
        <v>24175.388999999999</v>
      </c>
      <c r="K26" s="120">
        <v>195.829599</v>
      </c>
      <c r="L26" s="13"/>
      <c r="M26" s="18">
        <f>Tableau254[[#This Row],[PROD en Mwh]]*Tableau254[[#This Row],[TARIF]]</f>
        <v>4734256.7335390113</v>
      </c>
    </row>
    <row r="27" spans="1:14">
      <c r="A27" s="293" t="s">
        <v>471</v>
      </c>
      <c r="B27" s="294" t="str">
        <f>VLOOKUP(Tableau254[[#This Row],[CA O&amp;M s/parc
BN 2023]],Tableau106[],3,FALSE)</f>
        <v>A043</v>
      </c>
      <c r="C27" s="294" t="str">
        <f>VLOOKUP(Tableau254[[#This Row],[CA O&amp;M s/parc
BN 2023]],Tableau106[],2,FALSE)</f>
        <v>FR97S77E</v>
      </c>
      <c r="D27" s="294" t="str">
        <f>VLOOKUP(Tableau254[[#This Row],[CA O&amp;M s/parc
BN 2023]],Tableau106[],8,FALSE)</f>
        <v>SOLAIRE DOM</v>
      </c>
      <c r="E27" s="295">
        <f>VLOOKUP(Tableau254[[#This Row],[CA O&amp;M s/parc
BN 2023]],Tableau106[],4,FALSE)</f>
        <v>0.68200000000000005</v>
      </c>
      <c r="F27" s="296" t="str">
        <f>VLOOKUP(Tableau254[[#This Row],[CA O&amp;M s/parc
BN 2023]],Tableau106[],5,FALSE)</f>
        <v>CESA</v>
      </c>
      <c r="G27" s="297" t="str">
        <f>VLOOKUP(Tableau254[[#This Row],[CA O&amp;M s/parc
BN 2023]],Tableau106[],7,FALSE)</f>
        <v>GROUPE</v>
      </c>
      <c r="H27" s="297" t="str">
        <f>VLOOKUP(Tableau254[[#This Row],[CA O&amp;M s/parc
BN 2023]],Tableau106[],6,FALSE)</f>
        <v>DOM</v>
      </c>
      <c r="I27" s="297" t="str">
        <f>VLOOKUP(Tableau254[[#This Row],[CA O&amp;M s/parc
BN 2023]],Tableau106[],9,FALSE)</f>
        <v>DoJ</v>
      </c>
      <c r="J27" s="410">
        <v>750.74900000000002</v>
      </c>
      <c r="K27" s="120">
        <v>513.78099999999995</v>
      </c>
      <c r="L27" s="13"/>
      <c r="M27" s="18">
        <f>Tableau254[[#This Row],[PROD en Mwh]]*Tableau254[[#This Row],[TARIF]]</f>
        <v>385720.57196899998</v>
      </c>
    </row>
    <row r="28" spans="1:14">
      <c r="A28" s="293" t="s">
        <v>83</v>
      </c>
      <c r="B28" s="294" t="str">
        <f>VLOOKUP(Tableau254[[#This Row],[CA O&amp;M s/parc
BN 2023]],Tableau106[],3,FALSE)</f>
        <v>A253</v>
      </c>
      <c r="C28" s="294" t="str">
        <f>VLOOKUP(Tableau254[[#This Row],[CA O&amp;M s/parc
BN 2023]],Tableau106[],2,FALSE)</f>
        <v>FR21S01E</v>
      </c>
      <c r="D28" s="294" t="str">
        <f>VLOOKUP(Tableau254[[#This Row],[CA O&amp;M s/parc
BN 2023]],Tableau106[],8,FALSE)</f>
        <v>SOLAIRE</v>
      </c>
      <c r="E28" s="295">
        <f>VLOOKUP(Tableau254[[#This Row],[CA O&amp;M s/parc
BN 2023]],Tableau106[],4,FALSE)</f>
        <v>15.5</v>
      </c>
      <c r="F28" s="296" t="str">
        <f>VLOOKUP(Tableau254[[#This Row],[CA O&amp;M s/parc
BN 2023]],Tableau106[],5,FALSE)</f>
        <v>DIJO</v>
      </c>
      <c r="G28" s="297" t="str">
        <f>VLOOKUP(Tableau254[[#This Row],[CA O&amp;M s/parc
BN 2023]],Tableau106[],7,FALSE)</f>
        <v>GROUPE</v>
      </c>
      <c r="H28" s="297" t="str">
        <f>VLOOKUP(Tableau254[[#This Row],[CA O&amp;M s/parc
BN 2023]],Tableau106[],6,FALSE)</f>
        <v>N</v>
      </c>
      <c r="I28" s="297" t="str">
        <f>VLOOKUP(Tableau254[[#This Row],[CA O&amp;M s/parc
BN 2023]],Tableau106[],9,FALSE)</f>
        <v>LoG</v>
      </c>
      <c r="J28" s="410">
        <v>15956.51</v>
      </c>
      <c r="K28" s="120">
        <v>53.59</v>
      </c>
      <c r="L28" s="13"/>
      <c r="M28" s="18">
        <f>Tableau254[[#This Row],[PROD en Mwh]]*Tableau254[[#This Row],[TARIF]]</f>
        <v>855109.3709000001</v>
      </c>
    </row>
    <row r="29" spans="1:14">
      <c r="A29" s="293" t="s">
        <v>472</v>
      </c>
      <c r="B29" s="294" t="str">
        <f>VLOOKUP(Tableau254[[#This Row],[CA O&amp;M s/parc
BN 2023]],Tableau106[],3,FALSE)</f>
        <v>A257</v>
      </c>
      <c r="C29" s="294" t="str">
        <f>VLOOKUP(Tableau254[[#This Row],[CA O&amp;M s/parc
BN 2023]],Tableau106[],2,FALSE)</f>
        <v>FR71S06E</v>
      </c>
      <c r="D29" s="294" t="str">
        <f>VLOOKUP(Tableau254[[#This Row],[CA O&amp;M s/parc
BN 2023]],Tableau106[],8,FALSE)</f>
        <v>SOLAIRE</v>
      </c>
      <c r="E29" s="295">
        <f>VLOOKUP(Tableau254[[#This Row],[CA O&amp;M s/parc
BN 2023]],Tableau106[],4,FALSE)</f>
        <v>4.4000000000000004</v>
      </c>
      <c r="F29" s="296" t="str">
        <f>VLOOKUP(Tableau254[[#This Row],[CA O&amp;M s/parc
BN 2023]],Tableau106[],5,FALSE)</f>
        <v>CHAG</v>
      </c>
      <c r="G29" s="297" t="str">
        <f>VLOOKUP(Tableau254[[#This Row],[CA O&amp;M s/parc
BN 2023]],Tableau106[],7,FALSE)</f>
        <v>GROUPE</v>
      </c>
      <c r="H29" s="297" t="str">
        <f>VLOOKUP(Tableau254[[#This Row],[CA O&amp;M s/parc
BN 2023]],Tableau106[],6,FALSE)</f>
        <v>N</v>
      </c>
      <c r="I29" s="297" t="str">
        <f>VLOOKUP(Tableau254[[#This Row],[CA O&amp;M s/parc
BN 2023]],Tableau106[],9,FALSE)</f>
        <v>LoG</v>
      </c>
      <c r="J29" s="410">
        <v>4828</v>
      </c>
      <c r="K29" s="120">
        <v>170.94416666666666</v>
      </c>
      <c r="L29" s="13"/>
      <c r="M29" s="18">
        <f>Tableau254[[#This Row],[PROD en Mwh]]*Tableau254[[#This Row],[TARIF]]</f>
        <v>825318.43666666665</v>
      </c>
    </row>
    <row r="30" spans="1:14">
      <c r="A30" s="293" t="s">
        <v>524</v>
      </c>
      <c r="B30" s="294" t="str">
        <f>VLOOKUP(Tableau254[[#This Row],[CA O&amp;M s/parc
BN 2023]],Tableau106[],3,FALSE)</f>
        <v>A419</v>
      </c>
      <c r="C30" s="294" t="str">
        <f>VLOOKUP(Tableau254[[#This Row],[CA O&amp;M s/parc
BN 2023]],Tableau106[],2,FALSE)</f>
        <v>FR02E02E</v>
      </c>
      <c r="D30" s="294" t="str">
        <f>VLOOKUP(Tableau254[[#This Row],[CA O&amp;M s/parc
BN 2023]],Tableau106[],8,FALSE)</f>
        <v>EOLIEN</v>
      </c>
      <c r="E30" s="295">
        <f>VLOOKUP(Tableau254[[#This Row],[CA O&amp;M s/parc
BN 2023]],Tableau106[],4,FALSE)</f>
        <v>72</v>
      </c>
      <c r="F30" s="296" t="str">
        <f>VLOOKUP(Tableau254[[#This Row],[CA O&amp;M s/parc
BN 2023]],Tableau106[],5,FALSE)</f>
        <v>CHPI</v>
      </c>
      <c r="G30" s="297" t="str">
        <f>VLOOKUP(Tableau254[[#This Row],[CA O&amp;M s/parc
BN 2023]],Tableau106[],7,FALSE)</f>
        <v>GROUPE</v>
      </c>
      <c r="H30" s="297" t="str">
        <f>VLOOKUP(Tableau254[[#This Row],[CA O&amp;M s/parc
BN 2023]],Tableau106[],6,FALSE)</f>
        <v>N</v>
      </c>
      <c r="I30" s="297" t="str">
        <f>VLOOKUP(Tableau254[[#This Row],[CA O&amp;M s/parc
BN 2023]],Tableau106[],9,FALSE)</f>
        <v>MéS</v>
      </c>
      <c r="J30" s="409">
        <v>150650.897</v>
      </c>
      <c r="K30" s="120">
        <v>93.953999999999994</v>
      </c>
      <c r="L30" s="401">
        <v>102524</v>
      </c>
      <c r="M30" s="18">
        <f>Tableau254[[#This Row],[PROD en Mwh]]*Tableau254[[#This Row],[TARIF]]</f>
        <v>14154254.376737999</v>
      </c>
    </row>
    <row r="31" spans="1:14">
      <c r="A31" s="293" t="s">
        <v>538</v>
      </c>
      <c r="B31" s="294" t="str">
        <f>VLOOKUP(Tableau254[[#This Row],[CA O&amp;M s/parc
BN 2023]],Tableau106[],3,FALSE)</f>
        <v>A992</v>
      </c>
      <c r="C31" s="294" t="str">
        <f>VLOOKUP(Tableau254[[#This Row],[CA O&amp;M s/parc
BN 2023]],Tableau106[],2,FALSE)</f>
        <v>FR89E03E</v>
      </c>
      <c r="D31" s="294" t="str">
        <f>VLOOKUP(Tableau254[[#This Row],[CA O&amp;M s/parc
BN 2023]],Tableau106[],8,FALSE)</f>
        <v>EOLIEN</v>
      </c>
      <c r="E31" s="295">
        <f>VLOOKUP(Tableau254[[#This Row],[CA O&amp;M s/parc
BN 2023]],Tableau106[],4,FALSE)</f>
        <v>21.700000000000003</v>
      </c>
      <c r="F31" s="296" t="str">
        <f>VLOOKUP(Tableau254[[#This Row],[CA O&amp;M s/parc
BN 2023]],Tableau106[],5,FALSE)</f>
        <v>GOUR</v>
      </c>
      <c r="G31" s="297" t="str">
        <f>VLOOKUP(Tableau254[[#This Row],[CA O&amp;M s/parc
BN 2023]],Tableau106[],7,FALSE)</f>
        <v>GROUPE</v>
      </c>
      <c r="H31" s="297" t="str">
        <f>VLOOKUP(Tableau254[[#This Row],[CA O&amp;M s/parc
BN 2023]],Tableau106[],6,FALSE)</f>
        <v>N</v>
      </c>
      <c r="I31" s="297" t="str">
        <f>VLOOKUP(Tableau254[[#This Row],[CA O&amp;M s/parc
BN 2023]],Tableau106[],9,FALSE)</f>
        <v>LoH</v>
      </c>
      <c r="J31" s="409">
        <f>37851.775*0.995</f>
        <v>37662.516125000002</v>
      </c>
      <c r="K31" s="120">
        <v>74.8</v>
      </c>
      <c r="L31" s="21"/>
      <c r="M31" s="18">
        <f>Tableau254[[#This Row],[PROD en Mwh]]*Tableau254[[#This Row],[TARIF]]</f>
        <v>2817156.20615</v>
      </c>
      <c r="N31" t="s">
        <v>648</v>
      </c>
    </row>
    <row r="32" spans="1:14">
      <c r="A32" s="293" t="s">
        <v>448</v>
      </c>
      <c r="B32" s="294" t="str">
        <f>VLOOKUP(Tableau254[[#This Row],[CA O&amp;M s/parc
BN 2023]],Tableau106[],3,FALSE)</f>
        <v>A099</v>
      </c>
      <c r="C32" s="294" t="str">
        <f>VLOOKUP(Tableau254[[#This Row],[CA O&amp;M s/parc
BN 2023]],Tableau106[],2,FALSE)</f>
        <v>FR28E96E</v>
      </c>
      <c r="D32" s="294" t="str">
        <f>VLOOKUP(Tableau254[[#This Row],[CA O&amp;M s/parc
BN 2023]],Tableau106[],8,FALSE)</f>
        <v>EOLIEN</v>
      </c>
      <c r="E32" s="295">
        <f>VLOOKUP(Tableau254[[#This Row],[CA O&amp;M s/parc
BN 2023]],Tableau106[],4,FALSE)</f>
        <v>52</v>
      </c>
      <c r="F32" s="296" t="str">
        <f>VLOOKUP(Tableau254[[#This Row],[CA O&amp;M s/parc
BN 2023]],Tableau106[],5,FALSE)</f>
        <v>CHAB</v>
      </c>
      <c r="G32" s="297" t="str">
        <f>VLOOKUP(Tableau254[[#This Row],[CA O&amp;M s/parc
BN 2023]],Tableau106[],7,FALSE)</f>
        <v>GROUPE</v>
      </c>
      <c r="H32" s="297" t="str">
        <f>VLOOKUP(Tableau254[[#This Row],[CA O&amp;M s/parc
BN 2023]],Tableau106[],6,FALSE)</f>
        <v>N</v>
      </c>
      <c r="I32" s="297" t="str">
        <f>VLOOKUP(Tableau254[[#This Row],[CA O&amp;M s/parc
BN 2023]],Tableau106[],9,FALSE)</f>
        <v>HuB</v>
      </c>
      <c r="J32" s="409">
        <f>120879.147*9/12</f>
        <v>90659.360249999983</v>
      </c>
      <c r="K32" s="120">
        <v>123.855</v>
      </c>
      <c r="L32" s="21"/>
      <c r="M32" s="18">
        <f>Tableau254[[#This Row],[PROD en Mwh]]*Tableau254[[#This Row],[TARIF]]</f>
        <v>11228615.063763749</v>
      </c>
    </row>
    <row r="33" spans="1:14">
      <c r="A33" s="293" t="s">
        <v>92</v>
      </c>
      <c r="B33" s="294" t="str">
        <f>VLOOKUP(Tableau254[[#This Row],[CA O&amp;M s/parc
BN 2023]],Tableau106[],3,FALSE)</f>
        <v>F212</v>
      </c>
      <c r="C33" s="294" t="str">
        <f>VLOOKUP(Tableau254[[#This Row],[CA O&amp;M s/parc
BN 2023]],Tableau106[],2,FALSE)</f>
        <v>FR10E01E</v>
      </c>
      <c r="D33" s="294" t="str">
        <f>VLOOKUP(Tableau254[[#This Row],[CA O&amp;M s/parc
BN 2023]],Tableau106[],8,FALSE)</f>
        <v>EOLIEN</v>
      </c>
      <c r="E33" s="295">
        <f>VLOOKUP(Tableau254[[#This Row],[CA O&amp;M s/parc
BN 2023]],Tableau106[],4,FALSE)</f>
        <v>18</v>
      </c>
      <c r="F33" s="296" t="str">
        <f>VLOOKUP(Tableau254[[#This Row],[CA O&amp;M s/parc
BN 2023]],Tableau106[],5,FALSE)</f>
        <v>CPE1, CPE2</v>
      </c>
      <c r="G33" s="297" t="str">
        <f>VLOOKUP(Tableau254[[#This Row],[CA O&amp;M s/parc
BN 2023]],Tableau106[],7,FALSE)</f>
        <v>FUTUREN</v>
      </c>
      <c r="H33" s="297" t="str">
        <f>VLOOKUP(Tableau254[[#This Row],[CA O&amp;M s/parc
BN 2023]],Tableau106[],6,FALSE)</f>
        <v>N</v>
      </c>
      <c r="I33" s="297" t="str">
        <f>VLOOKUP(Tableau254[[#This Row],[CA O&amp;M s/parc
BN 2023]],Tableau106[],9,FALSE)</f>
        <v>AlY</v>
      </c>
      <c r="J33" s="409">
        <v>47945.853000000003</v>
      </c>
      <c r="K33" s="120">
        <v>96.123000000000005</v>
      </c>
      <c r="L33" s="13">
        <f>189281+40480+66043-7500+3000+275000</f>
        <v>566304</v>
      </c>
      <c r="M33" s="18">
        <f>Tableau254[[#This Row],[PROD en Mwh]]*Tableau254[[#This Row],[TARIF]]</f>
        <v>4608699.2279190002</v>
      </c>
      <c r="N33" s="46"/>
    </row>
    <row r="34" spans="1:14">
      <c r="A34" s="293" t="s">
        <v>476</v>
      </c>
      <c r="B34" s="294" t="str">
        <f>VLOOKUP(Tableau254[[#This Row],[CA O&amp;M s/parc
BN 2023]],Tableau106[],3,FALSE)</f>
        <v>A290</v>
      </c>
      <c r="C34" s="294" t="str">
        <f>VLOOKUP(Tableau254[[#This Row],[CA O&amp;M s/parc
BN 2023]],Tableau106[],2,FALSE)</f>
        <v>FR86S03E</v>
      </c>
      <c r="D34" s="294" t="str">
        <f>VLOOKUP(Tableau254[[#This Row],[CA O&amp;M s/parc
BN 2023]],Tableau106[],8,FALSE)</f>
        <v>SOLAIRE</v>
      </c>
      <c r="E34" s="295">
        <f>VLOOKUP(Tableau254[[#This Row],[CA O&amp;M s/parc
BN 2023]],Tableau106[],4,FALSE)</f>
        <v>5.5</v>
      </c>
      <c r="F34" s="296" t="str">
        <f>VLOOKUP(Tableau254[[#This Row],[CA O&amp;M s/parc
BN 2023]],Tableau106[],5,FALSE)</f>
        <v>CIVA</v>
      </c>
      <c r="G34" s="297" t="str">
        <f>VLOOKUP(Tableau254[[#This Row],[CA O&amp;M s/parc
BN 2023]],Tableau106[],7,FALSE)</f>
        <v>GROUPE</v>
      </c>
      <c r="H34" s="297" t="str">
        <f>VLOOKUP(Tableau254[[#This Row],[CA O&amp;M s/parc
BN 2023]],Tableau106[],6,FALSE)</f>
        <v>N</v>
      </c>
      <c r="I34" s="297" t="str">
        <f>VLOOKUP(Tableau254[[#This Row],[CA O&amp;M s/parc
BN 2023]],Tableau106[],9,FALSE)</f>
        <v>ArB</v>
      </c>
      <c r="J34" s="409">
        <v>5941</v>
      </c>
      <c r="K34" s="120">
        <v>175.09</v>
      </c>
      <c r="L34" s="21"/>
      <c r="M34" s="18">
        <f>Tableau254[[#This Row],[PROD en Mwh]]*Tableau254[[#This Row],[TARIF]]</f>
        <v>1040209.6900000001</v>
      </c>
    </row>
    <row r="35" spans="1:14">
      <c r="A35" s="293" t="s">
        <v>570</v>
      </c>
      <c r="B35" s="294" t="str">
        <f>VLOOKUP(Tableau254[[#This Row],[CA O&amp;M s/parc
BN 2023]],Tableau106[],3,FALSE)</f>
        <v>A532</v>
      </c>
      <c r="C35" s="294" t="str">
        <f>VLOOKUP(Tableau254[[#This Row],[CA O&amp;M s/parc
BN 2023]],Tableau106[],2,FALSE)</f>
        <v>FR51E03E</v>
      </c>
      <c r="D35" s="294" t="str">
        <f>VLOOKUP(Tableau254[[#This Row],[CA O&amp;M s/parc
BN 2023]],Tableau106[],8,FALSE)</f>
        <v>EOLIEN</v>
      </c>
      <c r="E35" s="295">
        <f>VLOOKUP(Tableau254[[#This Row],[CA O&amp;M s/parc
BN 2023]],Tableau106[],4,FALSE)</f>
        <v>10.02</v>
      </c>
      <c r="F35" s="296" t="str">
        <f>VLOOKUP(Tableau254[[#This Row],[CA O&amp;M s/parc
BN 2023]],Tableau106[],5,FALSE)</f>
        <v>CLAM</v>
      </c>
      <c r="G35" s="297" t="str">
        <f>VLOOKUP(Tableau254[[#This Row],[CA O&amp;M s/parc
BN 2023]],Tableau106[],7,FALSE)</f>
        <v>GROUPE</v>
      </c>
      <c r="H35" s="297" t="str">
        <f>VLOOKUP(Tableau254[[#This Row],[CA O&amp;M s/parc
BN 2023]],Tableau106[],6,FALSE)</f>
        <v>N</v>
      </c>
      <c r="I35" s="297" t="str">
        <f>VLOOKUP(Tableau254[[#This Row],[CA O&amp;M s/parc
BN 2023]],Tableau106[],9,FALSE)</f>
        <v>AyB</v>
      </c>
      <c r="J35" s="409">
        <v>18108.684000000001</v>
      </c>
      <c r="K35" s="120">
        <v>136.89166666666665</v>
      </c>
      <c r="L35" s="13">
        <v>166004.01</v>
      </c>
      <c r="M35" s="18">
        <f>Tableau254[[#This Row],[PROD en Mwh]]*Tableau254[[#This Row],[TARIF]]</f>
        <v>2478927.9339000001</v>
      </c>
    </row>
    <row r="36" spans="1:14">
      <c r="A36" s="293" t="s">
        <v>567</v>
      </c>
      <c r="B36" s="294" t="str">
        <f>VLOOKUP(Tableau254[[#This Row],[CA O&amp;M s/parc
BN 2023]],Tableau106[],3,FALSE)</f>
        <v>A532</v>
      </c>
      <c r="C36" s="294" t="str">
        <f>VLOOKUP(Tableau254[[#This Row],[CA O&amp;M s/parc
BN 2023]],Tableau106[],2,FALSE)</f>
        <v>FR51E04E</v>
      </c>
      <c r="D36" s="294" t="str">
        <f>VLOOKUP(Tableau254[[#This Row],[CA O&amp;M s/parc
BN 2023]],Tableau106[],8,FALSE)</f>
        <v>EOLIEN</v>
      </c>
      <c r="E36" s="295">
        <f>VLOOKUP(Tableau254[[#This Row],[CA O&amp;M s/parc
BN 2023]],Tableau106[],4,FALSE)</f>
        <v>4</v>
      </c>
      <c r="F36" s="296" t="str">
        <f>VLOOKUP(Tableau254[[#This Row],[CA O&amp;M s/parc
BN 2023]],Tableau106[],5,FALSE)</f>
        <v>CLA2</v>
      </c>
      <c r="G36" s="297" t="str">
        <f>VLOOKUP(Tableau254[[#This Row],[CA O&amp;M s/parc
BN 2023]],Tableau106[],7,FALSE)</f>
        <v>GROUPE</v>
      </c>
      <c r="H36" s="297" t="str">
        <f>VLOOKUP(Tableau254[[#This Row],[CA O&amp;M s/parc
BN 2023]],Tableau106[],6,FALSE)</f>
        <v>N</v>
      </c>
      <c r="I36" s="297" t="str">
        <f>VLOOKUP(Tableau254[[#This Row],[CA O&amp;M s/parc
BN 2023]],Tableau106[],9,FALSE)</f>
        <v>AyB</v>
      </c>
      <c r="J36" s="409">
        <v>9199</v>
      </c>
      <c r="K36" s="120">
        <v>96.4</v>
      </c>
      <c r="L36" s="13"/>
      <c r="M36" s="18">
        <f>Tableau254[[#This Row],[PROD en Mwh]]*Tableau254[[#This Row],[TARIF]]</f>
        <v>886783.60000000009</v>
      </c>
    </row>
    <row r="37" spans="1:14">
      <c r="A37" s="293" t="s">
        <v>485</v>
      </c>
      <c r="B37" s="294" t="str">
        <f>VLOOKUP(Tableau254[[#This Row],[CA O&amp;M s/parc
BN 2023]],Tableau106[],3,FALSE)</f>
        <v>A534</v>
      </c>
      <c r="C37" s="294" t="str">
        <f>VLOOKUP(Tableau254[[#This Row],[CA O&amp;M s/parc
BN 2023]],Tableau106[],2,FALSE)</f>
        <v>FR62E03E</v>
      </c>
      <c r="D37" s="294" t="str">
        <f>VLOOKUP(Tableau254[[#This Row],[CA O&amp;M s/parc
BN 2023]],Tableau106[],8,FALSE)</f>
        <v>EOLIEN</v>
      </c>
      <c r="E37" s="295">
        <f>VLOOKUP(Tableau254[[#This Row],[CA O&amp;M s/parc
BN 2023]],Tableau106[],4,FALSE)</f>
        <v>19.8</v>
      </c>
      <c r="F37" s="296" t="str">
        <f>VLOOKUP(Tableau254[[#This Row],[CA O&amp;M s/parc
BN 2023]],Tableau106[],5,FALSE)</f>
        <v>CARN</v>
      </c>
      <c r="G37" s="297" t="str">
        <f>VLOOKUP(Tableau254[[#This Row],[CA O&amp;M s/parc
BN 2023]],Tableau106[],7,FALSE)</f>
        <v>GROUPE</v>
      </c>
      <c r="H37" s="297" t="str">
        <f>VLOOKUP(Tableau254[[#This Row],[CA O&amp;M s/parc
BN 2023]],Tableau106[],6,FALSE)</f>
        <v>N</v>
      </c>
      <c r="I37" s="297" t="str">
        <f>VLOOKUP(Tableau254[[#This Row],[CA O&amp;M s/parc
BN 2023]],Tableau106[],9,FALSE)</f>
        <v>NiL</v>
      </c>
      <c r="J37" s="409">
        <v>51275.476000000002</v>
      </c>
      <c r="K37" s="120">
        <v>94.956999999999994</v>
      </c>
      <c r="L37" s="21"/>
      <c r="M37" s="18">
        <f>Tableau254[[#This Row],[PROD en Mwh]]*Tableau254[[#This Row],[TARIF]]</f>
        <v>4868965.3745320002</v>
      </c>
    </row>
    <row r="38" spans="1:14">
      <c r="A38" s="293" t="s">
        <v>468</v>
      </c>
      <c r="B38" s="294" t="str">
        <f>VLOOKUP(Tableau254[[#This Row],[CA O&amp;M s/parc
BN 2023]],Tableau106[],3,FALSE)</f>
        <v>A893</v>
      </c>
      <c r="C38" s="294" t="str">
        <f>VLOOKUP(Tableau254[[#This Row],[CA O&amp;M s/parc
BN 2023]],Tableau106[],2,FALSE)</f>
        <v>FR50E99E</v>
      </c>
      <c r="D38" s="294" t="str">
        <f>VLOOKUP(Tableau254[[#This Row],[CA O&amp;M s/parc
BN 2023]],Tableau106[],8,FALSE)</f>
        <v>EOLIEN</v>
      </c>
      <c r="E38" s="295">
        <f>VLOOKUP(Tableau254[[#This Row],[CA O&amp;M s/parc
BN 2023]],Tableau106[],4,FALSE)</f>
        <v>3.3</v>
      </c>
      <c r="F38" s="296" t="str">
        <f>VLOOKUP(Tableau254[[#This Row],[CA O&amp;M s/parc
BN 2023]],Tableau106[],5,FALSE)</f>
        <v>CLIT</v>
      </c>
      <c r="G38" s="297" t="str">
        <f>VLOOKUP(Tableau254[[#This Row],[CA O&amp;M s/parc
BN 2023]],Tableau106[],7,FALSE)</f>
        <v>GROUPE</v>
      </c>
      <c r="H38" s="297" t="str">
        <f>VLOOKUP(Tableau254[[#This Row],[CA O&amp;M s/parc
BN 2023]],Tableau106[],6,FALSE)</f>
        <v>N</v>
      </c>
      <c r="I38" s="297" t="str">
        <f>VLOOKUP(Tableau254[[#This Row],[CA O&amp;M s/parc
BN 2023]],Tableau106[],9,FALSE)</f>
        <v>AnN</v>
      </c>
      <c r="J38" s="409">
        <v>5092.7309999999998</v>
      </c>
      <c r="K38" s="120">
        <v>58.480000000000011</v>
      </c>
      <c r="L38" s="13"/>
      <c r="M38" s="18">
        <f>Tableau254[[#This Row],[PROD en Mwh]]*Tableau254[[#This Row],[TARIF]]</f>
        <v>297822.90888000006</v>
      </c>
    </row>
    <row r="39" spans="1:14">
      <c r="A39" s="293" t="s">
        <v>481</v>
      </c>
      <c r="B39" s="294" t="str">
        <f>VLOOKUP(Tableau254[[#This Row],[CA O&amp;M s/parc
BN 2023]],Tableau106[],3,FALSE)</f>
        <v>A313</v>
      </c>
      <c r="C39" s="294" t="str">
        <f>VLOOKUP(Tableau254[[#This Row],[CA O&amp;M s/parc
BN 2023]],Tableau106[],2,FALSE)</f>
        <v>FR21S03E</v>
      </c>
      <c r="D39" s="294" t="str">
        <f>VLOOKUP(Tableau254[[#This Row],[CA O&amp;M s/parc
BN 2023]],Tableau106[],8,FALSE)</f>
        <v>SOLAIRE</v>
      </c>
      <c r="E39" s="295">
        <f>VLOOKUP(Tableau254[[#This Row],[CA O&amp;M s/parc
BN 2023]],Tableau106[],4,FALSE)</f>
        <v>5</v>
      </c>
      <c r="F39" s="296" t="str">
        <f>VLOOKUP(Tableau254[[#This Row],[CA O&amp;M s/parc
BN 2023]],Tableau106[],5,FALSE)</f>
        <v>COLB</v>
      </c>
      <c r="G39" s="294" t="str">
        <f>VLOOKUP(Tableau254[[#This Row],[CA O&amp;M s/parc
BN 2023]],Tableau106[],7,FALSE)</f>
        <v>GROUPE</v>
      </c>
      <c r="H39" s="294" t="str">
        <f>VLOOKUP(Tableau254[[#This Row],[CA O&amp;M s/parc
BN 2023]],Tableau106[],6,FALSE)</f>
        <v>N</v>
      </c>
      <c r="I39" s="294" t="str">
        <f>VLOOKUP(Tableau254[[#This Row],[CA O&amp;M s/parc
BN 2023]],Tableau106[],9,FALSE)</f>
        <v>LoG</v>
      </c>
      <c r="J39" s="409">
        <v>5440</v>
      </c>
      <c r="K39" s="120">
        <v>170.8183333333333</v>
      </c>
      <c r="L39" s="13"/>
      <c r="M39" s="18">
        <f>Tableau254[[#This Row],[PROD en Mwh]]*Tableau254[[#This Row],[TARIF]]</f>
        <v>929251.73333333316</v>
      </c>
    </row>
    <row r="40" spans="1:14">
      <c r="A40" s="293" t="s">
        <v>544</v>
      </c>
      <c r="B40" s="294" t="str">
        <f>VLOOKUP(Tableau254[[#This Row],[CA O&amp;M s/parc
BN 2023]],Tableau106[],3,FALSE)</f>
        <v>A958</v>
      </c>
      <c r="C40" s="294" t="str">
        <f>VLOOKUP(Tableau254[[#This Row],[CA O&amp;M s/parc
BN 2023]],Tableau106[],2,FALSE)</f>
        <v>FR11E92E</v>
      </c>
      <c r="D40" s="294" t="str">
        <f>VLOOKUP(Tableau254[[#This Row],[CA O&amp;M s/parc
BN 2023]],Tableau106[],8,FALSE)</f>
        <v>EOLIEN</v>
      </c>
      <c r="E40" s="295">
        <f>VLOOKUP(Tableau254[[#This Row],[CA O&amp;M s/parc
BN 2023]],Tableau106[],4,FALSE)</f>
        <v>9.1999999999999993</v>
      </c>
      <c r="F40" s="296" t="str">
        <f>VLOOKUP(Tableau254[[#This Row],[CA O&amp;M s/parc
BN 2023]],Tableau106[],5,FALSE)</f>
        <v>CONI</v>
      </c>
      <c r="G40" s="297" t="str">
        <f>VLOOKUP(Tableau254[[#This Row],[CA O&amp;M s/parc
BN 2023]],Tableau106[],7,FALSE)</f>
        <v>FUTUREN</v>
      </c>
      <c r="H40" s="297" t="str">
        <f>VLOOKUP(Tableau254[[#This Row],[CA O&amp;M s/parc
BN 2023]],Tableau106[],6,FALSE)</f>
        <v>S</v>
      </c>
      <c r="I40" s="297" t="str">
        <f>VLOOKUP(Tableau254[[#This Row],[CA O&amp;M s/parc
BN 2023]],Tableau106[],9,FALSE)</f>
        <v>StE</v>
      </c>
      <c r="J40" s="409">
        <v>32999.748</v>
      </c>
      <c r="K40" s="120">
        <v>96.429000000000002</v>
      </c>
      <c r="L40" s="13">
        <v>186370.55</v>
      </c>
      <c r="M40" s="18">
        <f>Tableau254[[#This Row],[PROD en Mwh]]*Tableau254[[#This Row],[TARIF]]</f>
        <v>3182132.6998919998</v>
      </c>
    </row>
    <row r="41" spans="1:14">
      <c r="A41" s="293" t="s">
        <v>580</v>
      </c>
      <c r="B41" s="294" t="str">
        <f>VLOOKUP(Tableau254[[#This Row],[CA O&amp;M s/parc
BN 2023]],Tableau106[],3,FALSE)</f>
        <v>A064</v>
      </c>
      <c r="C41" s="294" t="str">
        <f>VLOOKUP(Tableau254[[#This Row],[CA O&amp;M s/parc
BN 2023]],Tableau106[],2,FALSE)</f>
        <v>FR34E92E</v>
      </c>
      <c r="D41" s="294" t="str">
        <f>VLOOKUP(Tableau254[[#This Row],[CA O&amp;M s/parc
BN 2023]],Tableau106[],8,FALSE)</f>
        <v>EOLIEN</v>
      </c>
      <c r="E41" s="295">
        <f>VLOOKUP(Tableau254[[#This Row],[CA O&amp;M s/parc
BN 2023]],Tableau106[],4,FALSE)</f>
        <v>12</v>
      </c>
      <c r="F41" s="296" t="str">
        <f>VLOOKUP(Tableau254[[#This Row],[CA O&amp;M s/parc
BN 2023]],Tableau106[],5,FALSE)</f>
        <v>AUCO</v>
      </c>
      <c r="G41" s="297" t="str">
        <f>VLOOKUP(Tableau254[[#This Row],[CA O&amp;M s/parc
BN 2023]],Tableau106[],7,FALSE)</f>
        <v>GROUPE</v>
      </c>
      <c r="H41" s="297" t="str">
        <f>VLOOKUP(Tableau254[[#This Row],[CA O&amp;M s/parc
BN 2023]],Tableau106[],6,FALSE)</f>
        <v>S</v>
      </c>
      <c r="I41" s="297" t="str">
        <f>VLOOKUP(Tableau254[[#This Row],[CA O&amp;M s/parc
BN 2023]],Tableau106[],9,FALSE)</f>
        <v>KéD</v>
      </c>
      <c r="J41" s="495">
        <v>21148</v>
      </c>
      <c r="K41" s="120">
        <v>53</v>
      </c>
      <c r="L41" s="13">
        <v>0</v>
      </c>
      <c r="M41" s="18">
        <f>Tableau254[[#This Row],[PROD en Mwh]]*Tableau254[[#This Row],[TARIF]]</f>
        <v>1120844</v>
      </c>
      <c r="N41" t="s">
        <v>646</v>
      </c>
    </row>
    <row r="42" spans="1:14">
      <c r="A42" s="293" t="s">
        <v>106</v>
      </c>
      <c r="B42" s="294" t="str">
        <f>VLOOKUP(Tableau254[[#This Row],[CA O&amp;M s/parc
BN 2023]],Tableau106[],3,FALSE)</f>
        <v>F069</v>
      </c>
      <c r="C42" s="294" t="str">
        <f>VLOOKUP(Tableau254[[#This Row],[CA O&amp;M s/parc
BN 2023]],Tableau106[],2,FALSE)</f>
        <v>FR20E01E</v>
      </c>
      <c r="D42" s="294" t="str">
        <f>VLOOKUP(Tableau254[[#This Row],[CA O&amp;M s/parc
BN 2023]],Tableau106[],8,FALSE)</f>
        <v>EOLIEN</v>
      </c>
      <c r="E42" s="295">
        <f>VLOOKUP(Tableau254[[#This Row],[CA O&amp;M s/parc
BN 2023]],Tableau106[],4,FALSE)</f>
        <v>6</v>
      </c>
      <c r="F42" s="296" t="str">
        <f>VLOOKUP(Tableau254[[#This Row],[CA O&amp;M s/parc
BN 2023]],Tableau106[],5,FALSE)</f>
        <v>CORS</v>
      </c>
      <c r="G42" s="297" t="str">
        <f>VLOOKUP(Tableau254[[#This Row],[CA O&amp;M s/parc
BN 2023]],Tableau106[],7,FALSE)</f>
        <v>FUTUREN</v>
      </c>
      <c r="H42" s="297" t="str">
        <f>VLOOKUP(Tableau254[[#This Row],[CA O&amp;M s/parc
BN 2023]],Tableau106[],6,FALSE)</f>
        <v>S</v>
      </c>
      <c r="I42" s="297" t="str">
        <f>VLOOKUP(Tableau254[[#This Row],[CA O&amp;M s/parc
BN 2023]],Tableau106[],9,FALSE)</f>
        <v>SaH</v>
      </c>
      <c r="J42" s="18">
        <v>9286.832529411764</v>
      </c>
      <c r="K42" s="120">
        <v>55.33</v>
      </c>
      <c r="L42" s="13">
        <v>0</v>
      </c>
      <c r="M42" s="18">
        <f>Tableau254[[#This Row],[PROD en Mwh]]*Tableau254[[#This Row],[TARIF]]</f>
        <v>513840.44385235291</v>
      </c>
    </row>
    <row r="43" spans="1:14">
      <c r="A43" s="293" t="s">
        <v>620</v>
      </c>
      <c r="B43" s="294" t="str">
        <f>VLOOKUP(Tableau254[[#This Row],[CA O&amp;M s/parc
BN 2023]],Tableau106[],3,FALSE)</f>
        <v>A541</v>
      </c>
      <c r="C43" s="294" t="str">
        <f>VLOOKUP(Tableau254[[#This Row],[CA O&amp;M s/parc
BN 2023]],Tableau106[],2,FALSE)</f>
        <v>FR55E02E</v>
      </c>
      <c r="D43" s="294" t="str">
        <f>VLOOKUP(Tableau254[[#This Row],[CA O&amp;M s/parc
BN 2023]],Tableau106[],8,FALSE)</f>
        <v>EOLIEN</v>
      </c>
      <c r="E43" s="295">
        <f>VLOOKUP(Tableau254[[#This Row],[CA O&amp;M s/parc
BN 2023]],Tableau106[],4,FALSE)</f>
        <v>12</v>
      </c>
      <c r="F43" s="296" t="str">
        <f>VLOOKUP(Tableau254[[#This Row],[CA O&amp;M s/parc
BN 2023]],Tableau106[],5,FALSE)</f>
        <v>COUR</v>
      </c>
      <c r="G43" s="297" t="str">
        <f>VLOOKUP(Tableau254[[#This Row],[CA O&amp;M s/parc
BN 2023]],Tableau106[],7,FALSE)</f>
        <v>EGM</v>
      </c>
      <c r="H43" s="297" t="str">
        <f>VLOOKUP(Tableau254[[#This Row],[CA O&amp;M s/parc
BN 2023]],Tableau106[],6,FALSE)</f>
        <v>N</v>
      </c>
      <c r="I43" s="297" t="str">
        <f>VLOOKUP(Tableau254[[#This Row],[CA O&amp;M s/parc
BN 2023]],Tableau106[],9,FALSE)</f>
        <v>BaB</v>
      </c>
      <c r="J43" s="409">
        <v>21073.624</v>
      </c>
      <c r="K43" s="120">
        <v>168.28622500000003</v>
      </c>
      <c r="L43" s="13">
        <v>121948</v>
      </c>
      <c r="M43" s="18">
        <f>Tableau254[[#This Row],[PROD en Mwh]]*Tableau254[[#This Row],[TARIF]]</f>
        <v>3546400.6300294008</v>
      </c>
    </row>
    <row r="44" spans="1:14">
      <c r="A44" s="293" t="s">
        <v>486</v>
      </c>
      <c r="B44" s="294" t="str">
        <f>VLOOKUP(Tableau254[[#This Row],[CA O&amp;M s/parc
BN 2023]],Tableau106[],3,FALSE)</f>
        <v>A290</v>
      </c>
      <c r="C44" s="294" t="str">
        <f>VLOOKUP(Tableau254[[#This Row],[CA O&amp;M s/parc
BN 2023]],Tableau106[],2,FALSE)</f>
        <v>FR38S07E</v>
      </c>
      <c r="D44" s="294" t="str">
        <f>VLOOKUP(Tableau254[[#This Row],[CA O&amp;M s/parc
BN 2023]],Tableau106[],8,FALSE)</f>
        <v>SOLAIRE</v>
      </c>
      <c r="E44" s="295">
        <f>VLOOKUP(Tableau254[[#This Row],[CA O&amp;M s/parc
BN 2023]],Tableau106[],4,FALSE)</f>
        <v>10.8</v>
      </c>
      <c r="F44" s="296" t="str">
        <f>VLOOKUP(Tableau254[[#This Row],[CA O&amp;M s/parc
BN 2023]],Tableau106[],5,FALSE)</f>
        <v>CRMA</v>
      </c>
      <c r="G44" s="297" t="str">
        <f>VLOOKUP(Tableau254[[#This Row],[CA O&amp;M s/parc
BN 2023]],Tableau106[],7,FALSE)</f>
        <v>GROUPE</v>
      </c>
      <c r="H44" s="297" t="str">
        <f>VLOOKUP(Tableau254[[#This Row],[CA O&amp;M s/parc
BN 2023]],Tableau106[],6,FALSE)</f>
        <v>S</v>
      </c>
      <c r="I44" s="297" t="str">
        <f>VLOOKUP(Tableau254[[#This Row],[CA O&amp;M s/parc
BN 2023]],Tableau106[],9,FALSE)</f>
        <v>ZaA</v>
      </c>
      <c r="J44" s="409">
        <v>11891</v>
      </c>
      <c r="K44" s="120">
        <v>175.09</v>
      </c>
      <c r="L44" s="13"/>
      <c r="M44" s="18">
        <f>Tableau254[[#This Row],[PROD en Mwh]]*Tableau254[[#This Row],[TARIF]]</f>
        <v>2081995.19</v>
      </c>
    </row>
    <row r="45" spans="1:14">
      <c r="A45" s="293" t="s">
        <v>487</v>
      </c>
      <c r="B45" s="294" t="str">
        <f>VLOOKUP(Tableau254[[#This Row],[CA O&amp;M s/parc
BN 2023]],Tableau106[],3,FALSE)</f>
        <v>A385</v>
      </c>
      <c r="C45" s="294" t="str">
        <f>VLOOKUP(Tableau254[[#This Row],[CA O&amp;M s/parc
BN 2023]],Tableau106[],2,FALSE)</f>
        <v>FR28S02E</v>
      </c>
      <c r="D45" s="294" t="str">
        <f>VLOOKUP(Tableau254[[#This Row],[CA O&amp;M s/parc
BN 2023]],Tableau106[],8,FALSE)</f>
        <v>SOLAIRE</v>
      </c>
      <c r="E45" s="295">
        <f>VLOOKUP(Tableau254[[#This Row],[CA O&amp;M s/parc
BN 2023]],Tableau106[],4,FALSE)</f>
        <v>36</v>
      </c>
      <c r="F45" s="298" t="str">
        <f>VLOOKUP(Tableau254[[#This Row],[CA O&amp;M s/parc
BN 2023]],Tableau106[],5,FALSE)</f>
        <v>CY11, CY12, CY13</v>
      </c>
      <c r="G45" s="294" t="str">
        <f>VLOOKUP(Tableau254[[#This Row],[CA O&amp;M s/parc
BN 2023]],Tableau106[],7,FALSE)</f>
        <v>GROUPE</v>
      </c>
      <c r="H45" s="294" t="str">
        <f>VLOOKUP(Tableau254[[#This Row],[CA O&amp;M s/parc
BN 2023]],Tableau106[],6,FALSE)</f>
        <v>N</v>
      </c>
      <c r="I45" s="294" t="str">
        <f>VLOOKUP(Tableau254[[#This Row],[CA O&amp;M s/parc
BN 2023]],Tableau106[],9,FALSE)</f>
        <v>LoG</v>
      </c>
      <c r="J45" s="409">
        <v>38881.294999999998</v>
      </c>
      <c r="K45" s="120">
        <v>361.91</v>
      </c>
      <c r="L45" s="13"/>
      <c r="M45" s="18">
        <f>Tableau254[[#This Row],[PROD en Mwh]]*Tableau254[[#This Row],[TARIF]]</f>
        <v>14071529.473449999</v>
      </c>
    </row>
    <row r="46" spans="1:14">
      <c r="A46" s="293" t="s">
        <v>552</v>
      </c>
      <c r="B46" s="294" t="str">
        <f>VLOOKUP(Tableau254[[#This Row],[CA O&amp;M s/parc
BN 2023]],Tableau106[],3,FALSE)</f>
        <v>A535</v>
      </c>
      <c r="C46" s="294" t="str">
        <f>VLOOKUP(Tableau254[[#This Row],[CA O&amp;M s/parc
BN 2023]],Tableau106[],2,FALSE)</f>
        <v>FR02E10E</v>
      </c>
      <c r="D46" s="294" t="str">
        <f>VLOOKUP(Tableau254[[#This Row],[CA O&amp;M s/parc
BN 2023]],Tableau106[],8,FALSE)</f>
        <v>EOLIEN</v>
      </c>
      <c r="E46" s="295">
        <f>VLOOKUP(Tableau254[[#This Row],[CA O&amp;M s/parc
BN 2023]],Tableau106[],4,FALSE)</f>
        <v>15</v>
      </c>
      <c r="F46" s="296" t="str">
        <f>VLOOKUP(Tableau254[[#This Row],[CA O&amp;M s/parc
BN 2023]],Tableau106[],5,FALSE)</f>
        <v>CLAN</v>
      </c>
      <c r="G46" s="297" t="str">
        <f>VLOOKUP(Tableau254[[#This Row],[CA O&amp;M s/parc
BN 2023]],Tableau106[],7,FALSE)</f>
        <v>FUTUREN</v>
      </c>
      <c r="H46" s="297" t="str">
        <f>VLOOKUP(Tableau254[[#This Row],[CA O&amp;M s/parc
BN 2023]],Tableau106[],6,FALSE)</f>
        <v>N</v>
      </c>
      <c r="I46" s="297" t="str">
        <f>VLOOKUP(Tableau254[[#This Row],[CA O&amp;M s/parc
BN 2023]],Tableau106[],9,FALSE)</f>
        <v>NiL</v>
      </c>
      <c r="J46" s="409">
        <v>37182.737999999998</v>
      </c>
      <c r="K46" s="120">
        <v>90.34</v>
      </c>
      <c r="L46" s="21"/>
      <c r="M46" s="18">
        <f>Tableau254[[#This Row],[PROD en Mwh]]*Tableau254[[#This Row],[TARIF]]</f>
        <v>3359088.5509199998</v>
      </c>
    </row>
    <row r="47" spans="1:14">
      <c r="A47" s="293" t="s">
        <v>541</v>
      </c>
      <c r="B47" s="294" t="str">
        <f>VLOOKUP(Tableau254[[#This Row],[CA O&amp;M s/parc
BN 2023]],Tableau106[],3,FALSE)</f>
        <v>A900</v>
      </c>
      <c r="C47" s="294" t="str">
        <f>VLOOKUP(Tableau254[[#This Row],[CA O&amp;M s/parc
BN 2023]],Tableau106[],2,FALSE)</f>
        <v>FR66E99E</v>
      </c>
      <c r="D47" s="294" t="str">
        <f>VLOOKUP(Tableau254[[#This Row],[CA O&amp;M s/parc
BN 2023]],Tableau106[],8,FALSE)</f>
        <v>EOLIEN</v>
      </c>
      <c r="E47" s="295">
        <f>VLOOKUP(Tableau254[[#This Row],[CA O&amp;M s/parc
BN 2023]],Tableau106[],4,FALSE)</f>
        <v>96</v>
      </c>
      <c r="F47" s="296" t="str">
        <f>VLOOKUP(Tableau254[[#This Row],[CA O&amp;M s/parc
BN 2023]],Tableau106[],5,FALSE)</f>
        <v>PEZI</v>
      </c>
      <c r="G47" s="297" t="str">
        <f>VLOOKUP(Tableau254[[#This Row],[CA O&amp;M s/parc
BN 2023]],Tableau106[],7,FALSE)</f>
        <v>GROUPE</v>
      </c>
      <c r="H47" s="297" t="str">
        <f>VLOOKUP(Tableau254[[#This Row],[CA O&amp;M s/parc
BN 2023]],Tableau106[],6,FALSE)</f>
        <v>S</v>
      </c>
      <c r="I47" s="297" t="str">
        <f>VLOOKUP(Tableau254[[#This Row],[CA O&amp;M s/parc
BN 2023]],Tableau106[],9,FALSE)</f>
        <v>PiM</v>
      </c>
      <c r="J47" s="409">
        <v>222654.47899999999</v>
      </c>
      <c r="K47" s="120">
        <v>96.606999999999999</v>
      </c>
      <c r="L47" s="13">
        <v>180000</v>
      </c>
      <c r="M47" s="18">
        <f>Tableau254[[#This Row],[PROD en Mwh]]*Tableau254[[#This Row],[TARIF]]</f>
        <v>21509981.252753001</v>
      </c>
    </row>
    <row r="48" spans="1:14">
      <c r="A48" s="293" t="s">
        <v>491</v>
      </c>
      <c r="B48" s="294" t="str">
        <f>VLOOKUP(Tableau254[[#This Row],[CA O&amp;M s/parc
BN 2023]],Tableau106[],3,FALSE)</f>
        <v>A266</v>
      </c>
      <c r="C48" s="294" t="str">
        <f>VLOOKUP(Tableau254[[#This Row],[CA O&amp;M s/parc
BN 2023]],Tableau106[],2,FALSE)</f>
        <v>FR71S05E</v>
      </c>
      <c r="D48" s="294" t="str">
        <f>VLOOKUP(Tableau254[[#This Row],[CA O&amp;M s/parc
BN 2023]],Tableau106[],8,FALSE)</f>
        <v>SOLAIRE</v>
      </c>
      <c r="E48" s="295">
        <f>VLOOKUP(Tableau254[[#This Row],[CA O&amp;M s/parc
BN 2023]],Tableau106[],4,FALSE)</f>
        <v>3.1</v>
      </c>
      <c r="F48" s="296" t="str">
        <f>VLOOKUP(Tableau254[[#This Row],[CA O&amp;M s/parc
BN 2023]],Tableau106[],5,FALSE)</f>
        <v>EPIN</v>
      </c>
      <c r="G48" s="297" t="str">
        <f>VLOOKUP(Tableau254[[#This Row],[CA O&amp;M s/parc
BN 2023]],Tableau106[],7,FALSE)</f>
        <v>GROUPE</v>
      </c>
      <c r="H48" s="297" t="str">
        <f>VLOOKUP(Tableau254[[#This Row],[CA O&amp;M s/parc
BN 2023]],Tableau106[],6,FALSE)</f>
        <v>N</v>
      </c>
      <c r="I48" s="297" t="str">
        <f>VLOOKUP(Tableau254[[#This Row],[CA O&amp;M s/parc
BN 2023]],Tableau106[],9,FALSE)</f>
        <v>LoG</v>
      </c>
      <c r="J48" s="409">
        <v>3119</v>
      </c>
      <c r="K48" s="120">
        <v>175.09</v>
      </c>
      <c r="L48" s="13"/>
      <c r="M48" s="18">
        <f>Tableau254[[#This Row],[PROD en Mwh]]*Tableau254[[#This Row],[TARIF]]</f>
        <v>546105.71</v>
      </c>
    </row>
    <row r="49" spans="1:14">
      <c r="A49" s="293" t="s">
        <v>506</v>
      </c>
      <c r="B49" s="294" t="str">
        <f>VLOOKUP(Tableau254[[#This Row],[CA O&amp;M s/parc
BN 2023]],Tableau106[],3,FALSE)</f>
        <v>A541</v>
      </c>
      <c r="C49" s="294" t="str">
        <f>VLOOKUP(Tableau254[[#This Row],[CA O&amp;M s/parc
BN 2023]],Tableau106[],2,FALSE)</f>
        <v>FR55E03E</v>
      </c>
      <c r="D49" s="294" t="str">
        <f>VLOOKUP(Tableau254[[#This Row],[CA O&amp;M s/parc
BN 2023]],Tableau106[],8,FALSE)</f>
        <v>EOLIEN</v>
      </c>
      <c r="E49" s="295">
        <f>VLOOKUP(Tableau254[[#This Row],[CA O&amp;M s/parc
BN 2023]],Tableau106[],4,FALSE)</f>
        <v>11.5</v>
      </c>
      <c r="F49" s="296" t="str">
        <f>VLOOKUP(Tableau254[[#This Row],[CA O&amp;M s/parc
BN 2023]],Tableau106[],5,FALSE)</f>
        <v>ERIZ</v>
      </c>
      <c r="G49" s="297" t="str">
        <f>VLOOKUP(Tableau254[[#This Row],[CA O&amp;M s/parc
BN 2023]],Tableau106[],7,FALSE)</f>
        <v>EGM</v>
      </c>
      <c r="H49" s="297" t="str">
        <f>VLOOKUP(Tableau254[[#This Row],[CA O&amp;M s/parc
BN 2023]],Tableau106[],6,FALSE)</f>
        <v>N</v>
      </c>
      <c r="I49" s="297" t="str">
        <f>VLOOKUP(Tableau254[[#This Row],[CA O&amp;M s/parc
BN 2023]],Tableau106[],9,FALSE)</f>
        <v>MaA</v>
      </c>
      <c r="J49" s="409">
        <v>19818.014056275006</v>
      </c>
      <c r="K49" s="120">
        <v>168.25145000000001</v>
      </c>
      <c r="L49" s="13"/>
      <c r="M49" s="18">
        <f>Tableau254[[#This Row],[PROD en Mwh]]*Tableau254[[#This Row],[TARIF]]</f>
        <v>3334409.6010886515</v>
      </c>
    </row>
    <row r="50" spans="1:14">
      <c r="A50" s="293" t="s">
        <v>526</v>
      </c>
      <c r="B50" s="294" t="str">
        <f>VLOOKUP(Tableau254[[#This Row],[CA O&amp;M s/parc
BN 2023]],Tableau106[],3,FALSE)</f>
        <v>A967</v>
      </c>
      <c r="C50" s="294" t="str">
        <f>VLOOKUP(Tableau254[[#This Row],[CA O&amp;M s/parc
BN 2023]],Tableau106[],2,FALSE)</f>
        <v>FR28E97E</v>
      </c>
      <c r="D50" s="294" t="str">
        <f>VLOOKUP(Tableau254[[#This Row],[CA O&amp;M s/parc
BN 2023]],Tableau106[],8,FALSE)</f>
        <v>EOLIEN</v>
      </c>
      <c r="E50" s="295">
        <f>VLOOKUP(Tableau254[[#This Row],[CA O&amp;M s/parc
BN 2023]],Tableau106[],4,FALSE)</f>
        <v>17</v>
      </c>
      <c r="F50" s="296" t="str">
        <f>VLOOKUP(Tableau254[[#This Row],[CA O&amp;M s/parc
BN 2023]],Tableau106[],5,FALSE)</f>
        <v>ESPS</v>
      </c>
      <c r="G50" s="297" t="str">
        <f>VLOOKUP(Tableau254[[#This Row],[CA O&amp;M s/parc
BN 2023]],Tableau106[],7,FALSE)</f>
        <v>FUTUREN</v>
      </c>
      <c r="H50" s="297" t="str">
        <f>VLOOKUP(Tableau254[[#This Row],[CA O&amp;M s/parc
BN 2023]],Tableau106[],6,FALSE)</f>
        <v>N</v>
      </c>
      <c r="I50" s="297" t="str">
        <f>VLOOKUP(Tableau254[[#This Row],[CA O&amp;M s/parc
BN 2023]],Tableau106[],9,FALSE)</f>
        <v>AlY</v>
      </c>
      <c r="J50" s="409">
        <v>42911.678999999996</v>
      </c>
      <c r="K50" s="120">
        <v>92.23899999999999</v>
      </c>
      <c r="L50" s="13"/>
      <c r="M50" s="18">
        <f>Tableau254[[#This Row],[PROD en Mwh]]*Tableau254[[#This Row],[TARIF]]</f>
        <v>3958130.3592809993</v>
      </c>
    </row>
    <row r="51" spans="1:14">
      <c r="A51" s="293" t="s">
        <v>493</v>
      </c>
      <c r="B51" s="294" t="str">
        <f>VLOOKUP(Tableau254[[#This Row],[CA O&amp;M s/parc
BN 2023]],Tableau106[],3,FALSE)</f>
        <v>A353</v>
      </c>
      <c r="C51" s="294" t="str">
        <f>VLOOKUP(Tableau254[[#This Row],[CA O&amp;M s/parc
BN 2023]],Tableau106[],2,FALSE)</f>
        <v>FR13S08E</v>
      </c>
      <c r="D51" s="294" t="str">
        <f>VLOOKUP(Tableau254[[#This Row],[CA O&amp;M s/parc
BN 2023]],Tableau106[],8,FALSE)</f>
        <v>SOLAIRE</v>
      </c>
      <c r="E51" s="295">
        <f>VLOOKUP(Tableau254[[#This Row],[CA O&amp;M s/parc
BN 2023]],Tableau106[],4,FALSE)</f>
        <v>10.4</v>
      </c>
      <c r="F51" s="296" t="str">
        <f>VLOOKUP(Tableau254[[#This Row],[CA O&amp;M s/parc
BN 2023]],Tableau106[],5,FALSE)</f>
        <v>EYGU</v>
      </c>
      <c r="G51" s="297" t="str">
        <f>VLOOKUP(Tableau254[[#This Row],[CA O&amp;M s/parc
BN 2023]],Tableau106[],7,FALSE)</f>
        <v>GROUPE</v>
      </c>
      <c r="H51" s="297" t="str">
        <f>VLOOKUP(Tableau254[[#This Row],[CA O&amp;M s/parc
BN 2023]],Tableau106[],6,FALSE)</f>
        <v>S</v>
      </c>
      <c r="I51" s="297" t="str">
        <f>VLOOKUP(Tableau254[[#This Row],[CA O&amp;M s/parc
BN 2023]],Tableau106[],9,FALSE)</f>
        <v>ArB</v>
      </c>
      <c r="J51" s="409">
        <v>16125.839400000001</v>
      </c>
      <c r="K51" s="120">
        <v>170.94416666666666</v>
      </c>
      <c r="L51" s="21"/>
      <c r="M51" s="18">
        <f>Tableau254[[#This Row],[PROD en Mwh]]*Tableau254[[#This Row],[TARIF]]</f>
        <v>2756618.1780335</v>
      </c>
    </row>
    <row r="52" spans="1:14">
      <c r="A52" s="293" t="s">
        <v>616</v>
      </c>
      <c r="B52" s="294" t="str">
        <f>VLOOKUP(Tableau254[[#This Row],[CA O&amp;M s/parc
BN 2023]],Tableau106[],3,FALSE)</f>
        <v>A895</v>
      </c>
      <c r="C52" s="294" t="str">
        <f>VLOOKUP(Tableau254[[#This Row],[CA O&amp;M s/parc
BN 2023]],Tableau106[],2,FALSE)</f>
        <v>FR76E99E</v>
      </c>
      <c r="D52" s="294" t="str">
        <f>VLOOKUP(Tableau254[[#This Row],[CA O&amp;M s/parc
BN 2023]],Tableau106[],8,FALSE)</f>
        <v>EOLIEN</v>
      </c>
      <c r="E52" s="295">
        <f>VLOOKUP(Tableau254[[#This Row],[CA O&amp;M s/parc
BN 2023]],Tableau106[],4,FALSE)</f>
        <v>4.5</v>
      </c>
      <c r="F52" s="296" t="str">
        <f>VLOOKUP(Tableau254[[#This Row],[CA O&amp;M s/parc
BN 2023]],Tableau106[],5,FALSE)</f>
        <v>FECA</v>
      </c>
      <c r="G52" s="297" t="str">
        <f>VLOOKUP(Tableau254[[#This Row],[CA O&amp;M s/parc
BN 2023]],Tableau106[],7,FALSE)</f>
        <v>GROUPE</v>
      </c>
      <c r="H52" s="297" t="str">
        <f>VLOOKUP(Tableau254[[#This Row],[CA O&amp;M s/parc
BN 2023]],Tableau106[],6,FALSE)</f>
        <v>N</v>
      </c>
      <c r="I52" s="297" t="str">
        <f>VLOOKUP(Tableau254[[#This Row],[CA O&amp;M s/parc
BN 2023]],Tableau106[],9,FALSE)</f>
        <v>AnN</v>
      </c>
      <c r="J52" s="409">
        <v>9991.7459374999999</v>
      </c>
      <c r="K52" s="120">
        <v>161.81083333333333</v>
      </c>
      <c r="L52" s="13"/>
      <c r="M52" s="18">
        <f>Tableau254[[#This Row],[PROD en Mwh]]*Tableau254[[#This Row],[TARIF]]</f>
        <v>1616772.736601823</v>
      </c>
    </row>
    <row r="53" spans="1:14">
      <c r="A53" s="293" t="s">
        <v>353</v>
      </c>
      <c r="B53" s="294" t="str">
        <f>VLOOKUP(Tableau254[[#This Row],[CA O&amp;M s/parc
BN 2023]],Tableau106[],3,FALSE)</f>
        <v>A257</v>
      </c>
      <c r="C53" s="294" t="str">
        <f>VLOOKUP(Tableau254[[#This Row],[CA O&amp;M s/parc
BN 2023]],Tableau106[],2,FALSE)</f>
        <v>FR11S06E</v>
      </c>
      <c r="D53" s="294" t="str">
        <f>VLOOKUP(Tableau254[[#This Row],[CA O&amp;M s/parc
BN 2023]],Tableau106[],8,FALSE)</f>
        <v>SOLAIRE</v>
      </c>
      <c r="E53" s="295">
        <f>VLOOKUP(Tableau254[[#This Row],[CA O&amp;M s/parc
BN 2023]],Tableau106[],4,FALSE)</f>
        <v>4.5999999999999996</v>
      </c>
      <c r="F53" s="296" t="str">
        <f>VLOOKUP(Tableau254[[#This Row],[CA O&amp;M s/parc
BN 2023]],Tableau106[],5,FALSE)</f>
        <v>STPA</v>
      </c>
      <c r="G53" s="297" t="str">
        <f>VLOOKUP(Tableau254[[#This Row],[CA O&amp;M s/parc
BN 2023]],Tableau106[],7,FALSE)</f>
        <v>GROUPE</v>
      </c>
      <c r="H53" s="297" t="str">
        <f>VLOOKUP(Tableau254[[#This Row],[CA O&amp;M s/parc
BN 2023]],Tableau106[],6,FALSE)</f>
        <v>S</v>
      </c>
      <c r="I53" s="297" t="str">
        <f>VLOOKUP(Tableau254[[#This Row],[CA O&amp;M s/parc
BN 2023]],Tableau106[],9,FALSE)</f>
        <v>BaA</v>
      </c>
      <c r="J53" s="409">
        <v>6320.9870000000001</v>
      </c>
      <c r="K53" s="120">
        <v>65.8</v>
      </c>
      <c r="L53" s="21"/>
      <c r="M53" s="18">
        <f>Tableau254[[#This Row],[PROD en Mwh]]*Tableau254[[#This Row],[TARIF]]</f>
        <v>415920.94459999999</v>
      </c>
    </row>
    <row r="54" spans="1:14">
      <c r="A54" s="293" t="s">
        <v>586</v>
      </c>
      <c r="B54" s="294" t="str">
        <f>VLOOKUP(Tableau254[[#This Row],[CA O&amp;M s/parc
BN 2023]],Tableau106[],3,FALSE)</f>
        <v>A053</v>
      </c>
      <c r="C54" s="294" t="str">
        <f>VLOOKUP(Tableau254[[#This Row],[CA O&amp;M s/parc
BN 2023]],Tableau106[],2,FALSE)</f>
        <v>FR62E99E</v>
      </c>
      <c r="D54" s="294" t="str">
        <f>VLOOKUP(Tableau254[[#This Row],[CA O&amp;M s/parc
BN 2023]],Tableau106[],8,FALSE)</f>
        <v>EOLIEN</v>
      </c>
      <c r="E54" s="295">
        <f>VLOOKUP(Tableau254[[#This Row],[CA O&amp;M s/parc
BN 2023]],Tableau106[],4,FALSE)</f>
        <v>11.5</v>
      </c>
      <c r="F54" s="296" t="str">
        <f>VLOOKUP(Tableau254[[#This Row],[CA O&amp;M s/parc
BN 2023]],Tableau106[],5,FALSE)</f>
        <v>FIEN</v>
      </c>
      <c r="G54" s="297" t="str">
        <f>VLOOKUP(Tableau254[[#This Row],[CA O&amp;M s/parc
BN 2023]],Tableau106[],7,FALSE)</f>
        <v>GROUPE</v>
      </c>
      <c r="H54" s="297" t="str">
        <f>VLOOKUP(Tableau254[[#This Row],[CA O&amp;M s/parc
BN 2023]],Tableau106[],6,FALSE)</f>
        <v>N</v>
      </c>
      <c r="I54" s="297" t="str">
        <f>VLOOKUP(Tableau254[[#This Row],[CA O&amp;M s/parc
BN 2023]],Tableau106[],9,FALSE)</f>
        <v>MéS</v>
      </c>
      <c r="J54" s="409">
        <v>28738.632307692304</v>
      </c>
      <c r="K54" s="120">
        <v>195.55551400000002</v>
      </c>
      <c r="L54" s="21"/>
      <c r="M54" s="18">
        <f>Tableau254[[#This Row],[PROD en Mwh]]*Tableau254[[#This Row],[TARIF]]</f>
        <v>5619998.0125877755</v>
      </c>
    </row>
    <row r="55" spans="1:14">
      <c r="A55" s="293" t="s">
        <v>484</v>
      </c>
      <c r="B55" s="294" t="str">
        <f>VLOOKUP(Tableau254[[#This Row],[CA O&amp;M s/parc
BN 2023]],Tableau106[],3,FALSE)</f>
        <v>A542</v>
      </c>
      <c r="C55" s="294" t="str">
        <f>VLOOKUP(Tableau254[[#This Row],[CA O&amp;M s/parc
BN 2023]],Tableau106[],2,FALSE)</f>
        <v>FR11E03E</v>
      </c>
      <c r="D55" s="294" t="str">
        <f>VLOOKUP(Tableau254[[#This Row],[CA O&amp;M s/parc
BN 2023]],Tableau106[],8,FALSE)</f>
        <v>EOLIEN</v>
      </c>
      <c r="E55" s="295">
        <f>VLOOKUP(Tableau254[[#This Row],[CA O&amp;M s/parc
BN 2023]],Tableau106[],4,FALSE)</f>
        <v>11.7</v>
      </c>
      <c r="F55" s="296" t="str">
        <f>VLOOKUP(Tableau254[[#This Row],[CA O&amp;M s/parc
BN 2023]],Tableau106[],5,FALSE)</f>
        <v>FITO</v>
      </c>
      <c r="G55" s="297" t="str">
        <f>VLOOKUP(Tableau254[[#This Row],[CA O&amp;M s/parc
BN 2023]],Tableau106[],7,FALSE)</f>
        <v>EGM</v>
      </c>
      <c r="H55" s="297" t="str">
        <f>VLOOKUP(Tableau254[[#This Row],[CA O&amp;M s/parc
BN 2023]],Tableau106[],6,FALSE)</f>
        <v>S</v>
      </c>
      <c r="I55" s="297" t="str">
        <f>VLOOKUP(Tableau254[[#This Row],[CA O&amp;M s/parc
BN 2023]],Tableau106[],9,FALSE)</f>
        <v>StE</v>
      </c>
      <c r="J55" s="409">
        <v>20313.539067056765</v>
      </c>
      <c r="K55" s="120">
        <v>50</v>
      </c>
      <c r="L55" s="13">
        <v>70000</v>
      </c>
      <c r="M55" s="18">
        <f>Tableau254[[#This Row],[PROD en Mwh]]*Tableau254[[#This Row],[TARIF]]</f>
        <v>1015676.9533528383</v>
      </c>
      <c r="N55" t="s">
        <v>649</v>
      </c>
    </row>
    <row r="56" spans="1:14">
      <c r="A56" s="293" t="s">
        <v>496</v>
      </c>
      <c r="B56" s="294" t="str">
        <f>VLOOKUP(Tableau254[[#This Row],[CA O&amp;M s/parc
BN 2023]],Tableau106[],3,FALSE)</f>
        <v>F032</v>
      </c>
      <c r="C56" s="294" t="str">
        <f>VLOOKUP(Tableau254[[#This Row],[CA O&amp;M s/parc
BN 2023]],Tableau106[],2,FALSE)</f>
        <v>FR80E96E</v>
      </c>
      <c r="D56" s="294" t="str">
        <f>VLOOKUP(Tableau254[[#This Row],[CA O&amp;M s/parc
BN 2023]],Tableau106[],8,FALSE)</f>
        <v>EOLIEN</v>
      </c>
      <c r="E56" s="295">
        <f>VLOOKUP(Tableau254[[#This Row],[CA O&amp;M s/parc
BN 2023]],Tableau106[],4,FALSE)</f>
        <v>10</v>
      </c>
      <c r="F56" s="296" t="str">
        <f>VLOOKUP(Tableau254[[#This Row],[CA O&amp;M s/parc
BN 2023]],Tableau106[],5,FALSE)</f>
        <v>CEFF</v>
      </c>
      <c r="G56" s="297" t="str">
        <f>VLOOKUP(Tableau254[[#This Row],[CA O&amp;M s/parc
BN 2023]],Tableau106[],7,FALSE)</f>
        <v>FUTUREN</v>
      </c>
      <c r="H56" s="297" t="str">
        <f>VLOOKUP(Tableau254[[#This Row],[CA O&amp;M s/parc
BN 2023]],Tableau106[],6,FALSE)</f>
        <v>N</v>
      </c>
      <c r="I56" s="297" t="str">
        <f>VLOOKUP(Tableau254[[#This Row],[CA O&amp;M s/parc
BN 2023]],Tableau106[],9,FALSE)</f>
        <v>NiD</v>
      </c>
      <c r="J56" s="409">
        <v>19900.394875000002</v>
      </c>
      <c r="K56" s="120">
        <v>45</v>
      </c>
      <c r="L56" s="13"/>
      <c r="M56" s="18">
        <f>Tableau254[[#This Row],[PROD en Mwh]]*Tableau254[[#This Row],[TARIF]]</f>
        <v>895517.76937500003</v>
      </c>
    </row>
    <row r="57" spans="1:14">
      <c r="A57" s="293" t="s">
        <v>118</v>
      </c>
      <c r="B57" s="294" t="str">
        <f>VLOOKUP(Tableau254[[#This Row],[CA O&amp;M s/parc
BN 2023]],Tableau106[],3,FALSE)</f>
        <v>F142</v>
      </c>
      <c r="C57" s="294" t="str">
        <f>VLOOKUP(Tableau254[[#This Row],[CA O&amp;M s/parc
BN 2023]],Tableau106[],2,FALSE)</f>
        <v>FR55E14E</v>
      </c>
      <c r="D57" s="294" t="str">
        <f>VLOOKUP(Tableau254[[#This Row],[CA O&amp;M s/parc
BN 2023]],Tableau106[],8,FALSE)</f>
        <v>EOLIEN</v>
      </c>
      <c r="E57" s="295">
        <f>VLOOKUP(Tableau254[[#This Row],[CA O&amp;M s/parc
BN 2023]],Tableau106[],4,FALSE)</f>
        <v>19.8</v>
      </c>
      <c r="F57" s="296" t="str">
        <f>VLOOKUP(Tableau254[[#This Row],[CA O&amp;M s/parc
BN 2023]],Tableau106[],5,FALSE)</f>
        <v>DEM1, DEM2</v>
      </c>
      <c r="G57" s="297" t="str">
        <f>VLOOKUP(Tableau254[[#This Row],[CA O&amp;M s/parc
BN 2023]],Tableau106[],7,FALSE)</f>
        <v>FUTUREN</v>
      </c>
      <c r="H57" s="297" t="str">
        <f>VLOOKUP(Tableau254[[#This Row],[CA O&amp;M s/parc
BN 2023]],Tableau106[],6,FALSE)</f>
        <v>N</v>
      </c>
      <c r="I57" s="297" t="str">
        <f>VLOOKUP(Tableau254[[#This Row],[CA O&amp;M s/parc
BN 2023]],Tableau106[],9,FALSE)</f>
        <v>NiL</v>
      </c>
      <c r="J57" s="409">
        <v>51024.272749999996</v>
      </c>
      <c r="K57" s="120">
        <v>90.7</v>
      </c>
      <c r="L57" s="21"/>
      <c r="M57" s="18">
        <f>Tableau254[[#This Row],[PROD en Mwh]]*Tableau254[[#This Row],[TARIF]]</f>
        <v>4627901.5384249995</v>
      </c>
    </row>
    <row r="58" spans="1:14">
      <c r="A58" s="293" t="s">
        <v>498</v>
      </c>
      <c r="B58" s="294" t="str">
        <f>VLOOKUP(Tableau254[[#This Row],[CA O&amp;M s/parc
BN 2023]],Tableau106[],3,FALSE)</f>
        <v>A037</v>
      </c>
      <c r="C58" s="294" t="str">
        <f>VLOOKUP(Tableau254[[#This Row],[CA O&amp;M s/parc
BN 2023]],Tableau106[],2,FALSE)</f>
        <v>FR13S15E</v>
      </c>
      <c r="D58" s="294" t="str">
        <f>VLOOKUP(Tableau254[[#This Row],[CA O&amp;M s/parc
BN 2023]],Tableau106[],8,FALSE)</f>
        <v>SOLAIRE</v>
      </c>
      <c r="E58" s="295">
        <f>VLOOKUP(Tableau254[[#This Row],[CA O&amp;M s/parc
BN 2023]],Tableau106[],4,FALSE)</f>
        <v>11.9</v>
      </c>
      <c r="F58" s="296" t="str">
        <f>VLOOKUP(Tableau254[[#This Row],[CA O&amp;M s/parc
BN 2023]],Tableau106[],5,FALSE)</f>
        <v>FOST</v>
      </c>
      <c r="G58" s="297" t="str">
        <f>VLOOKUP(Tableau254[[#This Row],[CA O&amp;M s/parc
BN 2023]],Tableau106[],7,FALSE)</f>
        <v>GROUPE</v>
      </c>
      <c r="H58" s="297" t="str">
        <f>VLOOKUP(Tableau254[[#This Row],[CA O&amp;M s/parc
BN 2023]],Tableau106[],6,FALSE)</f>
        <v>S</v>
      </c>
      <c r="I58" s="297" t="str">
        <f>VLOOKUP(Tableau254[[#This Row],[CA O&amp;M s/parc
BN 2023]],Tableau106[],9,FALSE)</f>
        <v>ArB</v>
      </c>
      <c r="J58" s="409">
        <v>14261.5658</v>
      </c>
      <c r="K58" s="120">
        <v>62.423999999999999</v>
      </c>
      <c r="L58" s="21"/>
      <c r="M58" s="18">
        <f>Tableau254[[#This Row],[PROD en Mwh]]*Tableau254[[#This Row],[TARIF]]</f>
        <v>890263.98349919997</v>
      </c>
    </row>
    <row r="59" spans="1:14">
      <c r="A59" s="293" t="s">
        <v>581</v>
      </c>
      <c r="B59" s="294" t="str">
        <f>VLOOKUP(Tableau254[[#This Row],[CA O&amp;M s/parc
BN 2023]],Tableau106[],3,FALSE)</f>
        <v>A063</v>
      </c>
      <c r="C59" s="294" t="str">
        <f>VLOOKUP(Tableau254[[#This Row],[CA O&amp;M s/parc
BN 2023]],Tableau106[],2,FALSE)</f>
        <v>FR34E85E</v>
      </c>
      <c r="D59" s="294" t="str">
        <f>VLOOKUP(Tableau254[[#This Row],[CA O&amp;M s/parc
BN 2023]],Tableau106[],8,FALSE)</f>
        <v>EOLIEN</v>
      </c>
      <c r="E59" s="295">
        <f>VLOOKUP(Tableau254[[#This Row],[CA O&amp;M s/parc
BN 2023]],Tableau106[],4,FALSE)</f>
        <v>11.5</v>
      </c>
      <c r="F59" s="296" t="str">
        <f>VLOOKUP(Tableau254[[#This Row],[CA O&amp;M s/parc
BN 2023]],Tableau106[],5,FALSE)</f>
        <v>FRA1</v>
      </c>
      <c r="G59" s="297" t="str">
        <f>VLOOKUP(Tableau254[[#This Row],[CA O&amp;M s/parc
BN 2023]],Tableau106[],7,FALSE)</f>
        <v>FUTUREN</v>
      </c>
      <c r="H59" s="297" t="str">
        <f>VLOOKUP(Tableau254[[#This Row],[CA O&amp;M s/parc
BN 2023]],Tableau106[],6,FALSE)</f>
        <v>S</v>
      </c>
      <c r="I59" s="297" t="str">
        <f>VLOOKUP(Tableau254[[#This Row],[CA O&amp;M s/parc
BN 2023]],Tableau106[],9,FALSE)</f>
        <v>OdP</v>
      </c>
      <c r="J59" s="409">
        <v>38568.786444444457</v>
      </c>
      <c r="K59" s="120">
        <v>197.22962499999997</v>
      </c>
      <c r="L59" s="13"/>
      <c r="M59" s="18">
        <f>Tableau254[[#This Row],[PROD en Mwh]]*Tableau254[[#This Row],[TARIF]]</f>
        <v>7606907.2871428626</v>
      </c>
    </row>
    <row r="60" spans="1:14">
      <c r="A60" s="293" t="s">
        <v>515</v>
      </c>
      <c r="B60" s="294" t="str">
        <f>VLOOKUP(Tableau254[[#This Row],[CA O&amp;M s/parc
BN 2023]],Tableau106[],3,FALSE)</f>
        <v>A894</v>
      </c>
      <c r="C60" s="294" t="str">
        <f>VLOOKUP(Tableau254[[#This Row],[CA O&amp;M s/parc
BN 2023]],Tableau106[],2,FALSE)</f>
        <v>FR07E99E</v>
      </c>
      <c r="D60" s="294" t="str">
        <f>VLOOKUP(Tableau254[[#This Row],[CA O&amp;M s/parc
BN 2023]],Tableau106[],8,FALSE)</f>
        <v>EOLIEN</v>
      </c>
      <c r="E60" s="295">
        <f>VLOOKUP(Tableau254[[#This Row],[CA O&amp;M s/parc
BN 2023]],Tableau106[],4,FALSE)</f>
        <v>10</v>
      </c>
      <c r="F60" s="296" t="str">
        <f>VLOOKUP(Tableau254[[#This Row],[CA O&amp;M s/parc
BN 2023]],Tableau106[],5,FALSE)</f>
        <v>FREY</v>
      </c>
      <c r="G60" s="297" t="str">
        <f>VLOOKUP(Tableau254[[#This Row],[CA O&amp;M s/parc
BN 2023]],Tableau106[],7,FALSE)</f>
        <v>GROUPE</v>
      </c>
      <c r="H60" s="297" t="str">
        <f>VLOOKUP(Tableau254[[#This Row],[CA O&amp;M s/parc
BN 2023]],Tableau106[],6,FALSE)</f>
        <v>S</v>
      </c>
      <c r="I60" s="297" t="str">
        <f>VLOOKUP(Tableau254[[#This Row],[CA O&amp;M s/parc
BN 2023]],Tableau106[],9,FALSE)</f>
        <v>ThC</v>
      </c>
      <c r="J60" s="409">
        <v>28685.455624999999</v>
      </c>
      <c r="K60" s="120">
        <v>49.25</v>
      </c>
      <c r="L60" s="21">
        <v>58600</v>
      </c>
      <c r="M60" s="18">
        <f>Tableau254[[#This Row],[PROD en Mwh]]*Tableau254[[#This Row],[TARIF]]</f>
        <v>1412758.6895312499</v>
      </c>
      <c r="N60" t="s">
        <v>650</v>
      </c>
    </row>
    <row r="61" spans="1:14">
      <c r="A61" s="293" t="s">
        <v>500</v>
      </c>
      <c r="B61" s="294" t="str">
        <f>VLOOKUP(Tableau254[[#This Row],[CA O&amp;M s/parc
BN 2023]],Tableau106[],3,FALSE)</f>
        <v>A191</v>
      </c>
      <c r="C61" s="294" t="str">
        <f>VLOOKUP(Tableau254[[#This Row],[CA O&amp;M s/parc
BN 2023]],Tableau106[],2,FALSE)</f>
        <v>FR40S04E</v>
      </c>
      <c r="D61" s="294" t="str">
        <f>VLOOKUP(Tableau254[[#This Row],[CA O&amp;M s/parc
BN 2023]],Tableau106[],8,FALSE)</f>
        <v>SOLAIRE</v>
      </c>
      <c r="E61" s="295">
        <f>VLOOKUP(Tableau254[[#This Row],[CA O&amp;M s/parc
BN 2023]],Tableau106[],4,FALSE)</f>
        <v>11.9</v>
      </c>
      <c r="F61" s="296" t="str">
        <f>VLOOKUP(Tableau254[[#This Row],[CA O&amp;M s/parc
BN 2023]],Tableau106[],5,FALSE)</f>
        <v>GAB1</v>
      </c>
      <c r="G61" s="297" t="str">
        <f>VLOOKUP(Tableau254[[#This Row],[CA O&amp;M s/parc
BN 2023]],Tableau106[],7,FALSE)</f>
        <v>GROUPE</v>
      </c>
      <c r="H61" s="297" t="str">
        <f>VLOOKUP(Tableau254[[#This Row],[CA O&amp;M s/parc
BN 2023]],Tableau106[],6,FALSE)</f>
        <v>S</v>
      </c>
      <c r="I61" s="297" t="str">
        <f>VLOOKUP(Tableau254[[#This Row],[CA O&amp;M s/parc
BN 2023]],Tableau106[],9,FALSE)</f>
        <v>BaA</v>
      </c>
      <c r="J61" s="409">
        <v>12311.389333333333</v>
      </c>
      <c r="K61" s="120">
        <v>394.62099999999998</v>
      </c>
      <c r="L61" s="21"/>
      <c r="M61" s="18">
        <f>Tableau254[[#This Row],[PROD en Mwh]]*Tableau254[[#This Row],[TARIF]]</f>
        <v>4858332.7701093331</v>
      </c>
    </row>
    <row r="62" spans="1:14">
      <c r="A62" s="293" t="s">
        <v>501</v>
      </c>
      <c r="B62" s="294" t="str">
        <f>VLOOKUP(Tableau254[[#This Row],[CA O&amp;M s/parc
BN 2023]],Tableau106[],3,FALSE)</f>
        <v>A194</v>
      </c>
      <c r="C62" s="294" t="str">
        <f>VLOOKUP(Tableau254[[#This Row],[CA O&amp;M s/parc
BN 2023]],Tableau106[],2,FALSE)</f>
        <v>FR40S07E</v>
      </c>
      <c r="D62" s="294" t="str">
        <f>VLOOKUP(Tableau254[[#This Row],[CA O&amp;M s/parc
BN 2023]],Tableau106[],8,FALSE)</f>
        <v>SOLAIRE</v>
      </c>
      <c r="E62" s="295">
        <f>VLOOKUP(Tableau254[[#This Row],[CA O&amp;M s/parc
BN 2023]],Tableau106[],4,FALSE)</f>
        <v>11.89</v>
      </c>
      <c r="F62" s="296" t="str">
        <f>VLOOKUP(Tableau254[[#This Row],[CA O&amp;M s/parc
BN 2023]],Tableau106[],5,FALSE)</f>
        <v>GAB4</v>
      </c>
      <c r="G62" s="297" t="str">
        <f>VLOOKUP(Tableau254[[#This Row],[CA O&amp;M s/parc
BN 2023]],Tableau106[],7,FALSE)</f>
        <v>GROUPE</v>
      </c>
      <c r="H62" s="297" t="str">
        <f>VLOOKUP(Tableau254[[#This Row],[CA O&amp;M s/parc
BN 2023]],Tableau106[],6,FALSE)</f>
        <v>S</v>
      </c>
      <c r="I62" s="297" t="str">
        <f>VLOOKUP(Tableau254[[#This Row],[CA O&amp;M s/parc
BN 2023]],Tableau106[],9,FALSE)</f>
        <v>BaA</v>
      </c>
      <c r="J62" s="409">
        <v>12484.795583333334</v>
      </c>
      <c r="K62" s="120">
        <v>394.49</v>
      </c>
      <c r="L62" s="13"/>
      <c r="M62" s="18">
        <f>Tableau254[[#This Row],[PROD en Mwh]]*Tableau254[[#This Row],[TARIF]]</f>
        <v>4925127.009669167</v>
      </c>
    </row>
    <row r="63" spans="1:14">
      <c r="A63" s="293" t="s">
        <v>502</v>
      </c>
      <c r="B63" s="294" t="str">
        <f>VLOOKUP(Tableau254[[#This Row],[CA O&amp;M s/parc
BN 2023]],Tableau106[],3,FALSE)</f>
        <v>A197</v>
      </c>
      <c r="C63" s="294" t="str">
        <f>VLOOKUP(Tableau254[[#This Row],[CA O&amp;M s/parc
BN 2023]],Tableau106[],2,FALSE)</f>
        <v>FR40S10E</v>
      </c>
      <c r="D63" s="294" t="str">
        <f>VLOOKUP(Tableau254[[#This Row],[CA O&amp;M s/parc
BN 2023]],Tableau106[],8,FALSE)</f>
        <v>SOLAIRE</v>
      </c>
      <c r="E63" s="295">
        <f>VLOOKUP(Tableau254[[#This Row],[CA O&amp;M s/parc
BN 2023]],Tableau106[],4,FALSE)</f>
        <v>2.89</v>
      </c>
      <c r="F63" s="296" t="str">
        <f>VLOOKUP(Tableau254[[#This Row],[CA O&amp;M s/parc
BN 2023]],Tableau106[],5,FALSE)</f>
        <v>GAB7</v>
      </c>
      <c r="G63" s="297" t="str">
        <f>VLOOKUP(Tableau254[[#This Row],[CA O&amp;M s/parc
BN 2023]],Tableau106[],7,FALSE)</f>
        <v>GROUPE</v>
      </c>
      <c r="H63" s="297" t="str">
        <f>VLOOKUP(Tableau254[[#This Row],[CA O&amp;M s/parc
BN 2023]],Tableau106[],6,FALSE)</f>
        <v>S</v>
      </c>
      <c r="I63" s="297" t="str">
        <f>VLOOKUP(Tableau254[[#This Row],[CA O&amp;M s/parc
BN 2023]],Tableau106[],9,FALSE)</f>
        <v>BaA</v>
      </c>
      <c r="J63" s="409">
        <v>2867.396181818182</v>
      </c>
      <c r="K63" s="120">
        <v>380.51</v>
      </c>
      <c r="L63" s="13"/>
      <c r="M63" s="18">
        <f>Tableau254[[#This Row],[PROD en Mwh]]*Tableau254[[#This Row],[TARIF]]</f>
        <v>1091072.9211436363</v>
      </c>
    </row>
    <row r="64" spans="1:14">
      <c r="A64" s="293" t="s">
        <v>503</v>
      </c>
      <c r="B64" s="294" t="str">
        <f>VLOOKUP(Tableau254[[#This Row],[CA O&amp;M s/parc
BN 2023]],Tableau106[],3,FALSE)</f>
        <v>A139</v>
      </c>
      <c r="C64" s="294" t="str">
        <f>VLOOKUP(Tableau254[[#This Row],[CA O&amp;M s/parc
BN 2023]],Tableau106[],2,FALSE)</f>
        <v>FR40S99E</v>
      </c>
      <c r="D64" s="294" t="str">
        <f>VLOOKUP(Tableau254[[#This Row],[CA O&amp;M s/parc
BN 2023]],Tableau106[],8,FALSE)</f>
        <v>SOLAIRE</v>
      </c>
      <c r="E64" s="295">
        <f>VLOOKUP(Tableau254[[#This Row],[CA O&amp;M s/parc
BN 2023]],Tableau106[],4,FALSE)</f>
        <v>1.998</v>
      </c>
      <c r="F64" s="296" t="str">
        <f>VLOOKUP(Tableau254[[#This Row],[CA O&amp;M s/parc
BN 2023]],Tableau106[],5,FALSE)</f>
        <v>GABT</v>
      </c>
      <c r="G64" s="294" t="str">
        <f>VLOOKUP(Tableau254[[#This Row],[CA O&amp;M s/parc
BN 2023]],Tableau106[],7,FALSE)</f>
        <v>GROUPE</v>
      </c>
      <c r="H64" s="294" t="str">
        <f>VLOOKUP(Tableau254[[#This Row],[CA O&amp;M s/parc
BN 2023]],Tableau106[],6,FALSE)</f>
        <v>S</v>
      </c>
      <c r="I64" s="294" t="str">
        <f>VLOOKUP(Tableau254[[#This Row],[CA O&amp;M s/parc
BN 2023]],Tableau106[],9,FALSE)</f>
        <v>BaA</v>
      </c>
      <c r="J64" s="409">
        <v>2847.6146666666664</v>
      </c>
      <c r="K64" s="120">
        <v>381.05500000000001</v>
      </c>
      <c r="L64" s="13"/>
      <c r="M64" s="18">
        <f>Tableau254[[#This Row],[PROD en Mwh]]*Tableau254[[#This Row],[TARIF]]</f>
        <v>1085097.8068066665</v>
      </c>
    </row>
    <row r="65" spans="1:14">
      <c r="A65" s="293" t="s">
        <v>155</v>
      </c>
      <c r="B65" s="294" t="str">
        <f>VLOOKUP(Tableau254[[#This Row],[CA O&amp;M s/parc
BN 2023]],Tableau106[],3,FALSE)</f>
        <v>F239</v>
      </c>
      <c r="C65" s="294" t="str">
        <f>VLOOKUP(Tableau254[[#This Row],[CA O&amp;M s/parc
BN 2023]],Tableau106[],2,FALSE)</f>
        <v>FR28E91E</v>
      </c>
      <c r="D65" s="294" t="str">
        <f>VLOOKUP(Tableau254[[#This Row],[CA O&amp;M s/parc
BN 2023]],Tableau106[],8,FALSE)</f>
        <v>EOLIEN</v>
      </c>
      <c r="E65" s="295">
        <f>VLOOKUP(Tableau254[[#This Row],[CA O&amp;M s/parc
BN 2023]],Tableau106[],4,FALSE)</f>
        <v>18.399999999999999</v>
      </c>
      <c r="F65" s="296" t="str">
        <f>VLOOKUP(Tableau254[[#This Row],[CA O&amp;M s/parc
BN 2023]],Tableau106[],5,FALSE)</f>
        <v>GAR1, GAR2</v>
      </c>
      <c r="G65" s="297" t="str">
        <f>VLOOKUP(Tableau254[[#This Row],[CA O&amp;M s/parc
BN 2023]],Tableau106[],7,FALSE)</f>
        <v>FUTUREN</v>
      </c>
      <c r="H65" s="297" t="str">
        <f>VLOOKUP(Tableau254[[#This Row],[CA O&amp;M s/parc
BN 2023]],Tableau106[],6,FALSE)</f>
        <v>N</v>
      </c>
      <c r="I65" s="297" t="str">
        <f>VLOOKUP(Tableau254[[#This Row],[CA O&amp;M s/parc
BN 2023]],Tableau106[],9,FALSE)</f>
        <v>NoS</v>
      </c>
      <c r="J65" s="409">
        <v>48991.048000000003</v>
      </c>
      <c r="K65" s="120">
        <v>98.72</v>
      </c>
      <c r="L65" s="13"/>
      <c r="M65" s="18">
        <f>Tableau254[[#This Row],[PROD en Mwh]]*Tableau254[[#This Row],[TARIF]]</f>
        <v>4836396.25856</v>
      </c>
    </row>
    <row r="66" spans="1:14">
      <c r="A66" s="293" t="s">
        <v>505</v>
      </c>
      <c r="B66" s="294" t="str">
        <f>VLOOKUP(Tableau254[[#This Row],[CA O&amp;M s/parc
BN 2023]],Tableau106[],3,FALSE)</f>
        <v>A237</v>
      </c>
      <c r="C66" s="294" t="str">
        <f>VLOOKUP(Tableau254[[#This Row],[CA O&amp;M s/parc
BN 2023]],Tableau106[],2,FALSE)</f>
        <v>FR23S01E</v>
      </c>
      <c r="D66" s="294" t="str">
        <f>VLOOKUP(Tableau254[[#This Row],[CA O&amp;M s/parc
BN 2023]],Tableau106[],8,FALSE)</f>
        <v>SOLAIRE</v>
      </c>
      <c r="E66" s="295">
        <f>VLOOKUP(Tableau254[[#This Row],[CA O&amp;M s/parc
BN 2023]],Tableau106[],4,FALSE)</f>
        <v>14.7</v>
      </c>
      <c r="F66" s="296" t="str">
        <f>VLOOKUP(Tableau254[[#This Row],[CA O&amp;M s/parc
BN 2023]],Tableau106[],5,FALSE)</f>
        <v>GDGT</v>
      </c>
      <c r="G66" s="297" t="str">
        <f>VLOOKUP(Tableau254[[#This Row],[CA O&amp;M s/parc
BN 2023]],Tableau106[],7,FALSE)</f>
        <v>GROUPE</v>
      </c>
      <c r="H66" s="297" t="str">
        <f>VLOOKUP(Tableau254[[#This Row],[CA O&amp;M s/parc
BN 2023]],Tableau106[],6,FALSE)</f>
        <v>S</v>
      </c>
      <c r="I66" s="297" t="str">
        <f>VLOOKUP(Tableau254[[#This Row],[CA O&amp;M s/parc
BN 2023]],Tableau106[],9,FALSE)</f>
        <v>ArB</v>
      </c>
      <c r="J66" s="409">
        <v>15658.391</v>
      </c>
      <c r="K66" s="120">
        <v>59.927999999999997</v>
      </c>
      <c r="L66" s="13"/>
      <c r="M66" s="18">
        <f>Tableau254[[#This Row],[PROD en Mwh]]*Tableau254[[#This Row],[TARIF]]</f>
        <v>938376.05584799999</v>
      </c>
    </row>
    <row r="67" spans="1:14">
      <c r="A67" s="293" t="s">
        <v>565</v>
      </c>
      <c r="B67" s="294" t="str">
        <f>VLOOKUP(Tableau254[[#This Row],[CA O&amp;M s/parc
BN 2023]],Tableau106[],3,FALSE)</f>
        <v>A540</v>
      </c>
      <c r="C67" s="294" t="str">
        <f>VLOOKUP(Tableau254[[#This Row],[CA O&amp;M s/parc
BN 2023]],Tableau106[],2,FALSE)</f>
        <v>FR56E02E</v>
      </c>
      <c r="D67" s="294" t="str">
        <f>VLOOKUP(Tableau254[[#This Row],[CA O&amp;M s/parc
BN 2023]],Tableau106[],8,FALSE)</f>
        <v>EOLIEN</v>
      </c>
      <c r="E67" s="295">
        <f>VLOOKUP(Tableau254[[#This Row],[CA O&amp;M s/parc
BN 2023]],Tableau106[],4,FALSE)</f>
        <v>12</v>
      </c>
      <c r="F67" s="296" t="str">
        <f>VLOOKUP(Tableau254[[#This Row],[CA O&amp;M s/parc
BN 2023]],Tableau106[],5,FALSE)</f>
        <v>GRPL</v>
      </c>
      <c r="G67" s="297" t="str">
        <f>VLOOKUP(Tableau254[[#This Row],[CA O&amp;M s/parc
BN 2023]],Tableau106[],7,FALSE)</f>
        <v>EGM</v>
      </c>
      <c r="H67" s="297" t="str">
        <f>VLOOKUP(Tableau254[[#This Row],[CA O&amp;M s/parc
BN 2023]],Tableau106[],6,FALSE)</f>
        <v>N</v>
      </c>
      <c r="I67" s="297" t="str">
        <f>VLOOKUP(Tableau254[[#This Row],[CA O&amp;M s/parc
BN 2023]],Tableau106[],9,FALSE)</f>
        <v>MaA</v>
      </c>
      <c r="J67" s="409">
        <v>23427.329320400051</v>
      </c>
      <c r="K67" s="120">
        <v>124.45666666666666</v>
      </c>
      <c r="L67" s="13">
        <v>15848</v>
      </c>
      <c r="M67" s="18">
        <f>Tableau254[[#This Row],[PROD en Mwh]]*Tableau254[[#This Row],[TARIF]]</f>
        <v>2915687.3161192555</v>
      </c>
    </row>
    <row r="68" spans="1:14">
      <c r="A68" s="293" t="s">
        <v>467</v>
      </c>
      <c r="B68" s="294" t="str">
        <f>VLOOKUP(Tableau254[[#This Row],[CA O&amp;M s/parc
BN 2023]],Tableau106[],3,FALSE)</f>
        <v>A420</v>
      </c>
      <c r="C68" s="294" t="str">
        <f>VLOOKUP(Tableau254[[#This Row],[CA O&amp;M s/parc
BN 2023]],Tableau106[],2,FALSE)</f>
        <v>FR28E02E</v>
      </c>
      <c r="D68" s="294" t="str">
        <f>VLOOKUP(Tableau254[[#This Row],[CA O&amp;M s/parc
BN 2023]],Tableau106[],8,FALSE)</f>
        <v>EOLIEN</v>
      </c>
      <c r="E68" s="295">
        <f>VLOOKUP(Tableau254[[#This Row],[CA O&amp;M s/parc
BN 2023]],Tableau106[],4,FALSE)</f>
        <v>17.7</v>
      </c>
      <c r="F68" s="296" t="str">
        <f>VLOOKUP(Tableau254[[#This Row],[CA O&amp;M s/parc
BN 2023]],Tableau106[],5,FALSE)</f>
        <v>GUIL</v>
      </c>
      <c r="G68" s="297" t="str">
        <f>VLOOKUP(Tableau254[[#This Row],[CA O&amp;M s/parc
BN 2023]],Tableau106[],7,FALSE)</f>
        <v>GROUPE</v>
      </c>
      <c r="H68" s="297" t="str">
        <f>VLOOKUP(Tableau254[[#This Row],[CA O&amp;M s/parc
BN 2023]],Tableau106[],6,FALSE)</f>
        <v>N</v>
      </c>
      <c r="I68" s="297" t="str">
        <f>VLOOKUP(Tableau254[[#This Row],[CA O&amp;M s/parc
BN 2023]],Tableau106[],9,FALSE)</f>
        <v>AlY</v>
      </c>
      <c r="J68" s="409">
        <v>47656.538799999995</v>
      </c>
      <c r="K68" s="120">
        <v>91.179999999999993</v>
      </c>
      <c r="L68" s="13"/>
      <c r="M68" s="18">
        <f>Tableau254[[#This Row],[PROD en Mwh]]*Tableau254[[#This Row],[TARIF]]</f>
        <v>4345323.2077839989</v>
      </c>
    </row>
    <row r="69" spans="1:14">
      <c r="A69" s="293" t="s">
        <v>547</v>
      </c>
      <c r="B69" s="294" t="str">
        <f>VLOOKUP(Tableau254[[#This Row],[CA O&amp;M s/parc
BN 2023]],Tableau106[],3,FALSE)</f>
        <v>F168</v>
      </c>
      <c r="C69" s="294" t="str">
        <f>VLOOKUP(Tableau254[[#This Row],[CA O&amp;M s/parc
BN 2023]],Tableau106[],2,FALSE)</f>
        <v>FR80E91E</v>
      </c>
      <c r="D69" s="294" t="str">
        <f>VLOOKUP(Tableau254[[#This Row],[CA O&amp;M s/parc
BN 2023]],Tableau106[],8,FALSE)</f>
        <v>EOLIEN</v>
      </c>
      <c r="E69" s="295">
        <f>VLOOKUP(Tableau254[[#This Row],[CA O&amp;M s/parc
BN 2023]],Tableau106[],4,FALSE)</f>
        <v>21</v>
      </c>
      <c r="F69" s="296" t="str">
        <f>VLOOKUP(Tableau254[[#This Row],[CA O&amp;M s/parc
BN 2023]],Tableau106[],5,FALSE)</f>
        <v>HAB1, HAB2</v>
      </c>
      <c r="G69" s="297" t="str">
        <f>VLOOKUP(Tableau254[[#This Row],[CA O&amp;M s/parc
BN 2023]],Tableau106[],7,FALSE)</f>
        <v>FUTUREN</v>
      </c>
      <c r="H69" s="297" t="str">
        <f>VLOOKUP(Tableau254[[#This Row],[CA O&amp;M s/parc
BN 2023]],Tableau106[],6,FALSE)</f>
        <v>N</v>
      </c>
      <c r="I69" s="297" t="str">
        <f>VLOOKUP(Tableau254[[#This Row],[CA O&amp;M s/parc
BN 2023]],Tableau106[],9,FALSE)</f>
        <v>NiD</v>
      </c>
      <c r="J69" s="409">
        <v>44209.713166666661</v>
      </c>
      <c r="K69" s="120">
        <v>95.97</v>
      </c>
      <c r="L69" s="13"/>
      <c r="M69" s="18">
        <f>Tableau254[[#This Row],[PROD en Mwh]]*Tableau254[[#This Row],[TARIF]]</f>
        <v>4242806.1726049995</v>
      </c>
    </row>
    <row r="70" spans="1:14">
      <c r="A70" s="293" t="s">
        <v>507</v>
      </c>
      <c r="B70" s="294" t="str">
        <f>VLOOKUP(Tableau254[[#This Row],[CA O&amp;M s/parc
BN 2023]],Tableau106[],3,FALSE)</f>
        <v>A286</v>
      </c>
      <c r="C70" s="294" t="str">
        <f>VLOOKUP(Tableau254[[#This Row],[CA O&amp;M s/parc
BN 2023]],Tableau106[],2,FALSE)</f>
        <v>FR28E03E</v>
      </c>
      <c r="D70" s="294" t="str">
        <f>VLOOKUP(Tableau254[[#This Row],[CA O&amp;M s/parc
BN 2023]],Tableau106[],8,FALSE)</f>
        <v>EOLIEN</v>
      </c>
      <c r="E70" s="295">
        <f>VLOOKUP(Tableau254[[#This Row],[CA O&amp;M s/parc
BN 2023]],Tableau106[],4,FALSE)</f>
        <v>13.2</v>
      </c>
      <c r="F70" s="296" t="str">
        <f>VLOOKUP(Tableau254[[#This Row],[CA O&amp;M s/parc
BN 2023]],Tableau106[],5,FALSE)</f>
        <v>FOGU</v>
      </c>
      <c r="G70" s="297" t="str">
        <f>VLOOKUP(Tableau254[[#This Row],[CA O&amp;M s/parc
BN 2023]],Tableau106[],7,FALSE)</f>
        <v>GROUPE</v>
      </c>
      <c r="H70" s="297" t="str">
        <f>VLOOKUP(Tableau254[[#This Row],[CA O&amp;M s/parc
BN 2023]],Tableau106[],6,FALSE)</f>
        <v>N</v>
      </c>
      <c r="I70" s="297" t="str">
        <f>VLOOKUP(Tableau254[[#This Row],[CA O&amp;M s/parc
BN 2023]],Tableau106[],9,FALSE)</f>
        <v>NiL</v>
      </c>
      <c r="J70" s="409">
        <v>32662.276000000002</v>
      </c>
      <c r="K70" s="120">
        <v>79.099000000000004</v>
      </c>
      <c r="L70" s="21"/>
      <c r="M70" s="18">
        <f>Tableau254[[#This Row],[PROD en Mwh]]*Tableau254[[#This Row],[TARIF]]</f>
        <v>2583553.3693240001</v>
      </c>
    </row>
    <row r="71" spans="1:14" s="6" customFormat="1">
      <c r="A71" s="293" t="s">
        <v>443</v>
      </c>
      <c r="B71" s="294" t="str">
        <f>VLOOKUP(Tableau254[[#This Row],[CA O&amp;M s/parc
BN 2023]],Tableau106[],3,FALSE)</f>
        <v>A051</v>
      </c>
      <c r="C71" s="294" t="str">
        <f>VLOOKUP(Tableau254[[#This Row],[CA O&amp;M s/parc
BN 2023]],Tableau106[],2,FALSE)</f>
        <v>FR85E99E</v>
      </c>
      <c r="D71" s="294" t="str">
        <f>VLOOKUP(Tableau254[[#This Row],[CA O&amp;M s/parc
BN 2023]],Tableau106[],8,FALSE)</f>
        <v>EOLIEN</v>
      </c>
      <c r="E71" s="295">
        <f>VLOOKUP(Tableau254[[#This Row],[CA O&amp;M s/parc
BN 2023]],Tableau106[],4,FALSE)</f>
        <v>12</v>
      </c>
      <c r="F71" s="296" t="str">
        <f>VLOOKUP(Tableau254[[#This Row],[CA O&amp;M s/parc
BN 2023]],Tableau106[],5,FALSE)</f>
        <v>JADE</v>
      </c>
      <c r="G71" s="297" t="str">
        <f>VLOOKUP(Tableau254[[#This Row],[CA O&amp;M s/parc
BN 2023]],Tableau106[],7,FALSE)</f>
        <v>GROUPE</v>
      </c>
      <c r="H71" s="297" t="str">
        <f>VLOOKUP(Tableau254[[#This Row],[CA O&amp;M s/parc
BN 2023]],Tableau106[],6,FALSE)</f>
        <v>N</v>
      </c>
      <c r="I71" s="297" t="str">
        <f>VLOOKUP(Tableau254[[#This Row],[CA O&amp;M s/parc
BN 2023]],Tableau106[],9,FALSE)</f>
        <v>AyB</v>
      </c>
      <c r="J71" s="409">
        <f>21247.9604736842-1200</f>
        <v>20047.960473684201</v>
      </c>
      <c r="K71" s="120">
        <v>119.07249999999999</v>
      </c>
      <c r="L71" s="21">
        <f>55000+214000+30000</f>
        <v>299000</v>
      </c>
      <c r="M71" s="18">
        <f>Tableau254[[#This Row],[PROD en Mwh]]*Tableau254[[#This Row],[TARIF]]</f>
        <v>2387160.773502762</v>
      </c>
      <c r="N71" s="6" t="s">
        <v>651</v>
      </c>
    </row>
    <row r="72" spans="1:14">
      <c r="A72" s="293" t="s">
        <v>464</v>
      </c>
      <c r="B72" s="294" t="str">
        <f>VLOOKUP(Tableau254[[#This Row],[CA O&amp;M s/parc
BN 2023]],Tableau106[],3,FALSE)</f>
        <v>A281</v>
      </c>
      <c r="C72" s="294" t="str">
        <f>VLOOKUP(Tableau254[[#This Row],[CA O&amp;M s/parc
BN 2023]],Tableau106[],2,FALSE)</f>
        <v>FR86E05E</v>
      </c>
      <c r="D72" s="294" t="str">
        <f>VLOOKUP(Tableau254[[#This Row],[CA O&amp;M s/parc
BN 2023]],Tableau106[],8,FALSE)</f>
        <v>EOLIEN</v>
      </c>
      <c r="E72" s="295">
        <f>VLOOKUP(Tableau254[[#This Row],[CA O&amp;M s/parc
BN 2023]],Tableau106[],4,FALSE)</f>
        <v>15</v>
      </c>
      <c r="F72" s="296" t="str">
        <f>VLOOKUP(Tableau254[[#This Row],[CA O&amp;M s/parc
BN 2023]],Tableau106[],5,FALSE)</f>
        <v>JAVI</v>
      </c>
      <c r="G72" s="297" t="str">
        <f>VLOOKUP(Tableau254[[#This Row],[CA O&amp;M s/parc
BN 2023]],Tableau106[],7,FALSE)</f>
        <v>PARTNER</v>
      </c>
      <c r="H72" s="297" t="str">
        <f>VLOOKUP(Tableau254[[#This Row],[CA O&amp;M s/parc
BN 2023]],Tableau106[],6,FALSE)</f>
        <v>S</v>
      </c>
      <c r="I72" s="297" t="str">
        <f>VLOOKUP(Tableau254[[#This Row],[CA O&amp;M s/parc
BN 2023]],Tableau106[],9,FALSE)</f>
        <v>PiM</v>
      </c>
      <c r="J72" s="409">
        <v>29043.242999999999</v>
      </c>
      <c r="K72" s="120">
        <v>79.033999999999992</v>
      </c>
      <c r="L72" s="21">
        <f>105000+445000</f>
        <v>550000</v>
      </c>
      <c r="M72" s="18">
        <f>Tableau254[[#This Row],[PROD en Mwh]]*Tableau254[[#This Row],[TARIF]]</f>
        <v>2295403.6672619996</v>
      </c>
    </row>
    <row r="73" spans="1:14">
      <c r="A73" s="293" t="s">
        <v>549</v>
      </c>
      <c r="B73" s="294" t="str">
        <f>VLOOKUP(Tableau254[[#This Row],[CA O&amp;M s/parc
BN 2023]],Tableau106[],3,FALSE)</f>
        <v>F156</v>
      </c>
      <c r="C73" s="294" t="str">
        <f>VLOOKUP(Tableau254[[#This Row],[CA O&amp;M s/parc
BN 2023]],Tableau106[],2,FALSE)</f>
        <v>FR34E10E</v>
      </c>
      <c r="D73" s="294" t="str">
        <f>VLOOKUP(Tableau254[[#This Row],[CA O&amp;M s/parc
BN 2023]],Tableau106[],8,FALSE)</f>
        <v>EOLIEN</v>
      </c>
      <c r="E73" s="295">
        <f>VLOOKUP(Tableau254[[#This Row],[CA O&amp;M s/parc
BN 2023]],Tableau106[],4,FALSE)</f>
        <v>6.3</v>
      </c>
      <c r="F73" s="296" t="str">
        <f>VLOOKUP(Tableau254[[#This Row],[CA O&amp;M s/parc
BN 2023]],Tableau106[],5,FALSE)</f>
        <v>JON2</v>
      </c>
      <c r="G73" s="297" t="str">
        <f>VLOOKUP(Tableau254[[#This Row],[CA O&amp;M s/parc
BN 2023]],Tableau106[],7,FALSE)</f>
        <v>FUTUREN</v>
      </c>
      <c r="H73" s="297" t="str">
        <f>VLOOKUP(Tableau254[[#This Row],[CA O&amp;M s/parc
BN 2023]],Tableau106[],6,FALSE)</f>
        <v>S</v>
      </c>
      <c r="I73" s="297" t="str">
        <f>VLOOKUP(Tableau254[[#This Row],[CA O&amp;M s/parc
BN 2023]],Tableau106[],9,FALSE)</f>
        <v>KéC</v>
      </c>
      <c r="J73" s="409">
        <v>10107.184666666666</v>
      </c>
      <c r="K73" s="120">
        <v>90.679999999999993</v>
      </c>
      <c r="L73" s="13"/>
      <c r="M73" s="18">
        <f>Tableau254[[#This Row],[PROD en Mwh]]*Tableau254[[#This Row],[TARIF]]</f>
        <v>916519.50557333324</v>
      </c>
    </row>
    <row r="74" spans="1:14">
      <c r="A74" s="293" t="s">
        <v>558</v>
      </c>
      <c r="B74" s="294" t="str">
        <f>VLOOKUP(Tableau254[[#This Row],[CA O&amp;M s/parc
BN 2023]],Tableau106[],3,FALSE)</f>
        <v>A540</v>
      </c>
      <c r="C74" s="294" t="str">
        <f>VLOOKUP(Tableau254[[#This Row],[CA O&amp;M s/parc
BN 2023]],Tableau106[],2,FALSE)</f>
        <v>FR56E01E</v>
      </c>
      <c r="D74" s="294" t="str">
        <f>VLOOKUP(Tableau254[[#This Row],[CA O&amp;M s/parc
BN 2023]],Tableau106[],8,FALSE)</f>
        <v>EOLIEN</v>
      </c>
      <c r="E74" s="295">
        <f>VLOOKUP(Tableau254[[#This Row],[CA O&amp;M s/parc
BN 2023]],Tableau106[],4,FALSE)</f>
        <v>12</v>
      </c>
      <c r="F74" s="296" t="str">
        <f>VLOOKUP(Tableau254[[#This Row],[CA O&amp;M s/parc
BN 2023]],Tableau106[],5,FALSE)</f>
        <v>LBDF</v>
      </c>
      <c r="G74" s="297" t="str">
        <f>VLOOKUP(Tableau254[[#This Row],[CA O&amp;M s/parc
BN 2023]],Tableau106[],7,FALSE)</f>
        <v>EGM</v>
      </c>
      <c r="H74" s="297" t="str">
        <f>VLOOKUP(Tableau254[[#This Row],[CA O&amp;M s/parc
BN 2023]],Tableau106[],6,FALSE)</f>
        <v>N</v>
      </c>
      <c r="I74" s="297" t="str">
        <f>VLOOKUP(Tableau254[[#This Row],[CA O&amp;M s/parc
BN 2023]],Tableau106[],9,FALSE)</f>
        <v>BoK</v>
      </c>
      <c r="J74" s="409">
        <v>17827.788620908679</v>
      </c>
      <c r="K74" s="120">
        <v>168.88416666666666</v>
      </c>
      <c r="L74" s="13">
        <v>24859</v>
      </c>
      <c r="M74" s="18">
        <f>Tableau254[[#This Row],[PROD en Mwh]]*Tableau254[[#This Row],[TARIF]]</f>
        <v>3010831.2247516448</v>
      </c>
    </row>
    <row r="75" spans="1:14">
      <c r="A75" s="293" t="s">
        <v>477</v>
      </c>
      <c r="B75" s="294" t="str">
        <f>VLOOKUP(Tableau254[[#This Row],[CA O&amp;M s/parc
BN 2023]],Tableau106[],3,FALSE)</f>
        <v>A531</v>
      </c>
      <c r="C75" s="294" t="str">
        <f>VLOOKUP(Tableau254[[#This Row],[CA O&amp;M s/parc
BN 2023]],Tableau106[],2,FALSE)</f>
        <v>FR62E01E</v>
      </c>
      <c r="D75" s="294" t="str">
        <f>VLOOKUP(Tableau254[[#This Row],[CA O&amp;M s/parc
BN 2023]],Tableau106[],8,FALSE)</f>
        <v>EOLIEN</v>
      </c>
      <c r="E75" s="295">
        <f>VLOOKUP(Tableau254[[#This Row],[CA O&amp;M s/parc
BN 2023]],Tableau106[],4,FALSE)</f>
        <v>6</v>
      </c>
      <c r="F75" s="296" t="str">
        <f>VLOOKUP(Tableau254[[#This Row],[CA O&amp;M s/parc
BN 2023]],Tableau106[],5,FALSE)</f>
        <v>HENI</v>
      </c>
      <c r="G75" s="297" t="str">
        <f>VLOOKUP(Tableau254[[#This Row],[CA O&amp;M s/parc
BN 2023]],Tableau106[],7,FALSE)</f>
        <v>GROUPE</v>
      </c>
      <c r="H75" s="297" t="str">
        <f>VLOOKUP(Tableau254[[#This Row],[CA O&amp;M s/parc
BN 2023]],Tableau106[],6,FALSE)</f>
        <v>N</v>
      </c>
      <c r="I75" s="297" t="str">
        <f>VLOOKUP(Tableau254[[#This Row],[CA O&amp;M s/parc
BN 2023]],Tableau106[],9,FALSE)</f>
        <v>NiL</v>
      </c>
      <c r="J75" s="409">
        <f>5384+(13267-5384)*(1-11.9%)</f>
        <v>12328.922999999999</v>
      </c>
      <c r="K75" s="120">
        <v>101.105</v>
      </c>
      <c r="L75" s="13"/>
      <c r="M75" s="18">
        <f>Tableau254[[#This Row],[PROD en Mwh]]*Tableau254[[#This Row],[TARIF]]</f>
        <v>1246515.7599149998</v>
      </c>
      <c r="N75" t="s">
        <v>652</v>
      </c>
    </row>
    <row r="76" spans="1:14">
      <c r="A76" s="293" t="s">
        <v>458</v>
      </c>
      <c r="B76" s="294" t="str">
        <f>VLOOKUP(Tableau254[[#This Row],[CA O&amp;M s/parc
BN 2023]],Tableau106[],3,FALSE)</f>
        <v>A540</v>
      </c>
      <c r="C76" s="294" t="str">
        <f>VLOOKUP(Tableau254[[#This Row],[CA O&amp;M s/parc
BN 2023]],Tableau106[],2,FALSE)</f>
        <v>FR14E03E</v>
      </c>
      <c r="D76" s="294" t="str">
        <f>VLOOKUP(Tableau254[[#This Row],[CA O&amp;M s/parc
BN 2023]],Tableau106[],8,FALSE)</f>
        <v>EOLIEN</v>
      </c>
      <c r="E76" s="295">
        <f>VLOOKUP(Tableau254[[#This Row],[CA O&amp;M s/parc
BN 2023]],Tableau106[],4,FALSE)</f>
        <v>8</v>
      </c>
      <c r="F76" s="296" t="str">
        <f>VLOOKUP(Tableau254[[#This Row],[CA O&amp;M s/parc
BN 2023]],Tableau106[],5,FALSE)</f>
        <v>HERO</v>
      </c>
      <c r="G76" s="297" t="str">
        <f>VLOOKUP(Tableau254[[#This Row],[CA O&amp;M s/parc
BN 2023]],Tableau106[],7,FALSE)</f>
        <v>EGM</v>
      </c>
      <c r="H76" s="297" t="str">
        <f>VLOOKUP(Tableau254[[#This Row],[CA O&amp;M s/parc
BN 2023]],Tableau106[],6,FALSE)</f>
        <v>N</v>
      </c>
      <c r="I76" s="297" t="str">
        <f>VLOOKUP(Tableau254[[#This Row],[CA O&amp;M s/parc
BN 2023]],Tableau106[],9,FALSE)</f>
        <v>DeN</v>
      </c>
      <c r="J76" s="409">
        <v>14066.546953377672</v>
      </c>
      <c r="K76" s="120">
        <v>168.32034999999999</v>
      </c>
      <c r="L76" s="13">
        <f>40263.31+112539.06</f>
        <v>152802.37</v>
      </c>
      <c r="M76" s="18">
        <f>Tableau254[[#This Row],[PROD en Mwh]]*Tableau254[[#This Row],[TARIF]]</f>
        <v>2367686.1064839633</v>
      </c>
    </row>
    <row r="77" spans="1:14">
      <c r="A77" s="293" t="s">
        <v>480</v>
      </c>
      <c r="B77" s="294" t="str">
        <f>VLOOKUP(Tableau254[[#This Row],[CA O&amp;M s/parc
BN 2023]],Tableau106[],3,FALSE)</f>
        <v>A540</v>
      </c>
      <c r="C77" s="294" t="str">
        <f>VLOOKUP(Tableau254[[#This Row],[CA O&amp;M s/parc
BN 2023]],Tableau106[],2,FALSE)</f>
        <v>FR35E02E</v>
      </c>
      <c r="D77" s="294" t="str">
        <f>VLOOKUP(Tableau254[[#This Row],[CA O&amp;M s/parc
BN 2023]],Tableau106[],8,FALSE)</f>
        <v>EOLIEN</v>
      </c>
      <c r="E77" s="295">
        <f>VLOOKUP(Tableau254[[#This Row],[CA O&amp;M s/parc
BN 2023]],Tableau106[],4,FALSE)</f>
        <v>10</v>
      </c>
      <c r="F77" s="296" t="str">
        <f>VLOOKUP(Tableau254[[#This Row],[CA O&amp;M s/parc
BN 2023]],Tableau106[],5,FALSE)</f>
        <v>NOUR</v>
      </c>
      <c r="G77" s="297" t="str">
        <f>VLOOKUP(Tableau254[[#This Row],[CA O&amp;M s/parc
BN 2023]],Tableau106[],7,FALSE)</f>
        <v>EGM</v>
      </c>
      <c r="H77" s="297" t="str">
        <f>VLOOKUP(Tableau254[[#This Row],[CA O&amp;M s/parc
BN 2023]],Tableau106[],6,FALSE)</f>
        <v>N</v>
      </c>
      <c r="I77" s="297" t="str">
        <f>VLOOKUP(Tableau254[[#This Row],[CA O&amp;M s/parc
BN 2023]],Tableau106[],9,FALSE)</f>
        <v>MaA</v>
      </c>
      <c r="J77" s="409">
        <v>16031.366977611669</v>
      </c>
      <c r="K77" s="120">
        <v>168.40322500000002</v>
      </c>
      <c r="L77" s="13">
        <v>9311</v>
      </c>
      <c r="M77" s="18">
        <f>Tableau254[[#This Row],[PROD en Mwh]]*Tableau254[[#This Row],[TARIF]]</f>
        <v>2699733.9001883082</v>
      </c>
    </row>
    <row r="78" spans="1:14">
      <c r="A78" s="293" t="s">
        <v>519</v>
      </c>
      <c r="B78" s="294" t="str">
        <f>VLOOKUP(Tableau254[[#This Row],[CA O&amp;M s/parc
BN 2023]],Tableau106[],3,FALSE)</f>
        <v>A071</v>
      </c>
      <c r="C78" s="294" t="str">
        <f>VLOOKUP(Tableau254[[#This Row],[CA O&amp;M s/parc
BN 2023]],Tableau106[],2,FALSE)</f>
        <v>FR97S87E</v>
      </c>
      <c r="D78" s="294" t="str">
        <f>VLOOKUP(Tableau254[[#This Row],[CA O&amp;M s/parc
BN 2023]],Tableau106[],8,FALSE)</f>
        <v>SOLAIRE DOM</v>
      </c>
      <c r="E78" s="295">
        <f>VLOOKUP(Tableau254[[#This Row],[CA O&amp;M s/parc
BN 2023]],Tableau106[],4,FALSE)</f>
        <v>10.452</v>
      </c>
      <c r="F78" s="296" t="str">
        <f>VLOOKUP(Tableau254[[#This Row],[CA O&amp;M s/parc
BN 2023]],Tableau106[],5,FALSE)</f>
        <v>ROSE</v>
      </c>
      <c r="G78" s="297" t="str">
        <f>VLOOKUP(Tableau254[[#This Row],[CA O&amp;M s/parc
BN 2023]],Tableau106[],7,FALSE)</f>
        <v>GROUPE</v>
      </c>
      <c r="H78" s="297" t="str">
        <f>VLOOKUP(Tableau254[[#This Row],[CA O&amp;M s/parc
BN 2023]],Tableau106[],6,FALSE)</f>
        <v>DOM</v>
      </c>
      <c r="I78" s="297" t="str">
        <f>VLOOKUP(Tableau254[[#This Row],[CA O&amp;M s/parc
BN 2023]],Tableau106[],9,FALSE)</f>
        <v>BéK</v>
      </c>
      <c r="J78" s="409">
        <v>11822.40453846154</v>
      </c>
      <c r="K78" s="120">
        <v>549.44399999999996</v>
      </c>
      <c r="L78" s="21">
        <f>154253+24000</f>
        <v>178253</v>
      </c>
      <c r="M78" s="18">
        <f>Tableau254[[#This Row],[PROD en Mwh]]*Tableau254[[#This Row],[TARIF]]</f>
        <v>6495749.2392304623</v>
      </c>
      <c r="N78" t="s">
        <v>653</v>
      </c>
    </row>
    <row r="79" spans="1:14">
      <c r="A79" s="293" t="s">
        <v>520</v>
      </c>
      <c r="B79" s="294" t="str">
        <f>VLOOKUP(Tableau254[[#This Row],[CA O&amp;M s/parc
BN 2023]],Tableau106[],3,FALSE)</f>
        <v>A257</v>
      </c>
      <c r="C79" s="294" t="str">
        <f>VLOOKUP(Tableau254[[#This Row],[CA O&amp;M s/parc
BN 2023]],Tableau106[],2,FALSE)</f>
        <v>FR01S06E</v>
      </c>
      <c r="D79" s="294" t="str">
        <f>VLOOKUP(Tableau254[[#This Row],[CA O&amp;M s/parc
BN 2023]],Tableau106[],8,FALSE)</f>
        <v>SOLAIRE</v>
      </c>
      <c r="E79" s="295">
        <f>VLOOKUP(Tableau254[[#This Row],[CA O&amp;M s/parc
BN 2023]],Tableau106[],4,FALSE)</f>
        <v>2.9</v>
      </c>
      <c r="F79" s="296" t="str">
        <f>VLOOKUP(Tableau254[[#This Row],[CA O&amp;M s/parc
BN 2023]],Tableau106[],5,FALSE)</f>
        <v>LAGN</v>
      </c>
      <c r="G79" s="297" t="str">
        <f>VLOOKUP(Tableau254[[#This Row],[CA O&amp;M s/parc
BN 2023]],Tableau106[],7,FALSE)</f>
        <v>GROUPE</v>
      </c>
      <c r="H79" s="297" t="str">
        <f>VLOOKUP(Tableau254[[#This Row],[CA O&amp;M s/parc
BN 2023]],Tableau106[],6,FALSE)</f>
        <v>S</v>
      </c>
      <c r="I79" s="297" t="str">
        <f>VLOOKUP(Tableau254[[#This Row],[CA O&amp;M s/parc
BN 2023]],Tableau106[],9,FALSE)</f>
        <v>ArB</v>
      </c>
      <c r="J79" s="409">
        <v>3142.5889999999999</v>
      </c>
      <c r="K79" s="120">
        <v>70.308999999999997</v>
      </c>
      <c r="L79" s="21"/>
      <c r="M79" s="18">
        <f>Tableau254[[#This Row],[PROD en Mwh]]*Tableau254[[#This Row],[TARIF]]</f>
        <v>220952.29000099999</v>
      </c>
    </row>
    <row r="80" spans="1:14">
      <c r="A80" s="293" t="s">
        <v>499</v>
      </c>
      <c r="B80" s="294" t="str">
        <f>VLOOKUP(Tableau254[[#This Row],[CA O&amp;M s/parc
BN 2023]],Tableau106[],3,FALSE)</f>
        <v>A540</v>
      </c>
      <c r="C80" s="294" t="str">
        <f>VLOOKUP(Tableau254[[#This Row],[CA O&amp;M s/parc
BN 2023]],Tableau106[],2,FALSE)</f>
        <v>FR22E03E</v>
      </c>
      <c r="D80" s="294" t="str">
        <f>VLOOKUP(Tableau254[[#This Row],[CA O&amp;M s/parc
BN 2023]],Tableau106[],8,FALSE)</f>
        <v>EOLIEN</v>
      </c>
      <c r="E80" s="295">
        <f>VLOOKUP(Tableau254[[#This Row],[CA O&amp;M s/parc
BN 2023]],Tableau106[],4,FALSE)</f>
        <v>10</v>
      </c>
      <c r="F80" s="296" t="str">
        <f>VLOOKUP(Tableau254[[#This Row],[CA O&amp;M s/parc
BN 2023]],Tableau106[],5,FALSE)</f>
        <v>LDTE</v>
      </c>
      <c r="G80" s="297" t="str">
        <f>VLOOKUP(Tableau254[[#This Row],[CA O&amp;M s/parc
BN 2023]],Tableau106[],7,FALSE)</f>
        <v>EGM</v>
      </c>
      <c r="H80" s="297" t="str">
        <f>VLOOKUP(Tableau254[[#This Row],[CA O&amp;M s/parc
BN 2023]],Tableau106[],6,FALSE)</f>
        <v>N</v>
      </c>
      <c r="I80" s="297" t="str">
        <f>VLOOKUP(Tableau254[[#This Row],[CA O&amp;M s/parc
BN 2023]],Tableau106[],9,FALSE)</f>
        <v>BoK</v>
      </c>
      <c r="J80" s="409">
        <v>14408.864361404983</v>
      </c>
      <c r="K80" s="120">
        <v>124.75333333333333</v>
      </c>
      <c r="L80" s="13"/>
      <c r="M80" s="18">
        <f>Tableau254[[#This Row],[PROD en Mwh]]*Tableau254[[#This Row],[TARIF]]</f>
        <v>1797553.8586331429</v>
      </c>
    </row>
    <row r="81" spans="1:14">
      <c r="A81" s="293" t="s">
        <v>546</v>
      </c>
      <c r="B81" s="294" t="str">
        <f>VLOOKUP(Tableau254[[#This Row],[CA O&amp;M s/parc
BN 2023]],Tableau106[],3,FALSE)</f>
        <v>A541</v>
      </c>
      <c r="C81" s="294" t="str">
        <f>VLOOKUP(Tableau254[[#This Row],[CA O&amp;M s/parc
BN 2023]],Tableau106[],2,FALSE)</f>
        <v>FR55E04E</v>
      </c>
      <c r="D81" s="294" t="str">
        <f>VLOOKUP(Tableau254[[#This Row],[CA O&amp;M s/parc
BN 2023]],Tableau106[],8,FALSE)</f>
        <v>EOLIEN</v>
      </c>
      <c r="E81" s="295">
        <f>VLOOKUP(Tableau254[[#This Row],[CA O&amp;M s/parc
BN 2023]],Tableau106[],4,FALSE)</f>
        <v>11.5</v>
      </c>
      <c r="F81" s="296" t="str">
        <f>VLOOKUP(Tableau254[[#This Row],[CA O&amp;M s/parc
BN 2023]],Tableau106[],5,FALSE)</f>
        <v>LANE</v>
      </c>
      <c r="G81" s="297" t="str">
        <f>VLOOKUP(Tableau254[[#This Row],[CA O&amp;M s/parc
BN 2023]],Tableau106[],7,FALSE)</f>
        <v>EGM</v>
      </c>
      <c r="H81" s="297" t="str">
        <f>VLOOKUP(Tableau254[[#This Row],[CA O&amp;M s/parc
BN 2023]],Tableau106[],6,FALSE)</f>
        <v>N</v>
      </c>
      <c r="I81" s="297" t="str">
        <f>VLOOKUP(Tableau254[[#This Row],[CA O&amp;M s/parc
BN 2023]],Tableau106[],9,FALSE)</f>
        <v>MaA</v>
      </c>
      <c r="J81" s="409">
        <v>17520.723097135971</v>
      </c>
      <c r="K81" s="120">
        <v>168.13607500000001</v>
      </c>
      <c r="L81" s="13"/>
      <c r="M81" s="18">
        <f>Tableau254[[#This Row],[PROD en Mwh]]*Tableau254[[#This Row],[TARIF]]</f>
        <v>2945865.612714286</v>
      </c>
    </row>
    <row r="82" spans="1:14">
      <c r="A82" s="293" t="s">
        <v>522</v>
      </c>
      <c r="B82" s="294" t="str">
        <f>VLOOKUP(Tableau254[[#This Row],[CA O&amp;M s/parc
BN 2023]],Tableau106[],3,FALSE)</f>
        <v>A258</v>
      </c>
      <c r="C82" s="294" t="str">
        <f>VLOOKUP(Tableau254[[#This Row],[CA O&amp;M s/parc
BN 2023]],Tableau106[],2,FALSE)</f>
        <v>FR05S02E</v>
      </c>
      <c r="D82" s="294" t="str">
        <f>VLOOKUP(Tableau254[[#This Row],[CA O&amp;M s/parc
BN 2023]],Tableau106[],8,FALSE)</f>
        <v>SOLAIRE</v>
      </c>
      <c r="E82" s="295">
        <f>VLOOKUP(Tableau254[[#This Row],[CA O&amp;M s/parc
BN 2023]],Tableau106[],4,FALSE)</f>
        <v>19.8</v>
      </c>
      <c r="F82" s="296" t="str">
        <f>VLOOKUP(Tableau254[[#This Row],[CA O&amp;M s/parc
BN 2023]],Tableau106[],5,FALSE)</f>
        <v>LAZE</v>
      </c>
      <c r="G82" s="297" t="str">
        <f>VLOOKUP(Tableau254[[#This Row],[CA O&amp;M s/parc
BN 2023]],Tableau106[],7,FALSE)</f>
        <v>GROUPE</v>
      </c>
      <c r="H82" s="297" t="str">
        <f>VLOOKUP(Tableau254[[#This Row],[CA O&amp;M s/parc
BN 2023]],Tableau106[],6,FALSE)</f>
        <v>S</v>
      </c>
      <c r="I82" s="297" t="str">
        <f>VLOOKUP(Tableau254[[#This Row],[CA O&amp;M s/parc
BN 2023]],Tableau106[],9,FALSE)</f>
        <v>ArB</v>
      </c>
      <c r="J82" s="409">
        <v>24810</v>
      </c>
      <c r="K82" s="120">
        <v>170.94416666666666</v>
      </c>
      <c r="L82" s="13"/>
      <c r="M82" s="18">
        <f>Tableau254[[#This Row],[PROD en Mwh]]*Tableau254[[#This Row],[TARIF]]</f>
        <v>4241124.7749999994</v>
      </c>
    </row>
    <row r="83" spans="1:14">
      <c r="A83" s="293" t="s">
        <v>523</v>
      </c>
      <c r="B83" s="294" t="str">
        <f>VLOOKUP(Tableau254[[#This Row],[CA O&amp;M s/parc
BN 2023]],Tableau106[],3,FALSE)</f>
        <v>A272</v>
      </c>
      <c r="C83" s="294" t="str">
        <f>VLOOKUP(Tableau254[[#This Row],[CA O&amp;M s/parc
BN 2023]],Tableau106[],2,FALSE)</f>
        <v>FR07S04E</v>
      </c>
      <c r="D83" s="294" t="str">
        <f>VLOOKUP(Tableau254[[#This Row],[CA O&amp;M s/parc
BN 2023]],Tableau106[],8,FALSE)</f>
        <v>SOLAIRE</v>
      </c>
      <c r="E83" s="295">
        <f>VLOOKUP(Tableau254[[#This Row],[CA O&amp;M s/parc
BN 2023]],Tableau106[],4,FALSE)</f>
        <v>8.1999999999999993</v>
      </c>
      <c r="F83" s="296" t="str">
        <f>VLOOKUP(Tableau254[[#This Row],[CA O&amp;M s/parc
BN 2023]],Tableau106[],5,FALSE)</f>
        <v>PZIN</v>
      </c>
      <c r="G83" s="297" t="str">
        <f>VLOOKUP(Tableau254[[#This Row],[CA O&amp;M s/parc
BN 2023]],Tableau106[],7,FALSE)</f>
        <v>GROUPE</v>
      </c>
      <c r="H83" s="297" t="str">
        <f>VLOOKUP(Tableau254[[#This Row],[CA O&amp;M s/parc
BN 2023]],Tableau106[],6,FALSE)</f>
        <v>S</v>
      </c>
      <c r="I83" s="297" t="str">
        <f>VLOOKUP(Tableau254[[#This Row],[CA O&amp;M s/parc
BN 2023]],Tableau106[],9,FALSE)</f>
        <v>ArB</v>
      </c>
      <c r="J83" s="409">
        <v>10062.513999999999</v>
      </c>
      <c r="K83" s="120">
        <v>171.54749999999999</v>
      </c>
      <c r="L83" s="21"/>
      <c r="M83" s="18">
        <f>Tableau254[[#This Row],[PROD en Mwh]]*Tableau254[[#This Row],[TARIF]]</f>
        <v>1726199.1204149998</v>
      </c>
    </row>
    <row r="84" spans="1:14">
      <c r="A84" s="293" t="s">
        <v>609</v>
      </c>
      <c r="B84" s="294" t="str">
        <f>VLOOKUP(Tableau254[[#This Row],[CA O&amp;M s/parc
BN 2023]],Tableau106[],3,FALSE)</f>
        <v>A540</v>
      </c>
      <c r="C84" s="294" t="str">
        <f>VLOOKUP(Tableau254[[#This Row],[CA O&amp;M s/parc
BN 2023]],Tableau106[],2,FALSE)</f>
        <v>FR56E06E</v>
      </c>
      <c r="D84" s="294" t="str">
        <f>VLOOKUP(Tableau254[[#This Row],[CA O&amp;M s/parc
BN 2023]],Tableau106[],8,FALSE)</f>
        <v>EOLIEN</v>
      </c>
      <c r="E84" s="295">
        <f>VLOOKUP(Tableau254[[#This Row],[CA O&amp;M s/parc
BN 2023]],Tableau106[],4,FALSE)</f>
        <v>6.85</v>
      </c>
      <c r="F84" s="296" t="str">
        <f>VLOOKUP(Tableau254[[#This Row],[CA O&amp;M s/parc
BN 2023]],Tableau106[],5,FALSE)</f>
        <v>RODU</v>
      </c>
      <c r="G84" s="297" t="str">
        <f>VLOOKUP(Tableau254[[#This Row],[CA O&amp;M s/parc
BN 2023]],Tableau106[],7,FALSE)</f>
        <v>EGM</v>
      </c>
      <c r="H84" s="297" t="str">
        <f>VLOOKUP(Tableau254[[#This Row],[CA O&amp;M s/parc
BN 2023]],Tableau106[],6,FALSE)</f>
        <v>N</v>
      </c>
      <c r="I84" s="297" t="str">
        <f>VLOOKUP(Tableau254[[#This Row],[CA O&amp;M s/parc
BN 2023]],Tableau106[],9,FALSE)</f>
        <v>DeN</v>
      </c>
      <c r="J84" s="409">
        <v>9281.8262376835028</v>
      </c>
      <c r="K84" s="120">
        <v>124.24666666666667</v>
      </c>
      <c r="L84" s="13"/>
      <c r="M84" s="18">
        <f>Tableau254[[#This Row],[PROD en Mwh]]*Tableau254[[#This Row],[TARIF]]</f>
        <v>1153235.970611383</v>
      </c>
    </row>
    <row r="85" spans="1:14">
      <c r="A85" s="293" t="s">
        <v>606</v>
      </c>
      <c r="B85" s="294" t="str">
        <f>VLOOKUP(Tableau254[[#This Row],[CA O&amp;M s/parc
BN 2023]],Tableau106[],3,FALSE)</f>
        <v>A540</v>
      </c>
      <c r="C85" s="294" t="str">
        <f>VLOOKUP(Tableau254[[#This Row],[CA O&amp;M s/parc
BN 2023]],Tableau106[],2,FALSE)</f>
        <v>FR56E03E</v>
      </c>
      <c r="D85" s="294" t="str">
        <f>VLOOKUP(Tableau254[[#This Row],[CA O&amp;M s/parc
BN 2023]],Tableau106[],8,FALSE)</f>
        <v>EOLIEN</v>
      </c>
      <c r="E85" s="295">
        <f>VLOOKUP(Tableau254[[#This Row],[CA O&amp;M s/parc
BN 2023]],Tableau106[],4,FALSE)</f>
        <v>4.8499999999999996</v>
      </c>
      <c r="F85" s="296" t="str">
        <f>VLOOKUP(Tableau254[[#This Row],[CA O&amp;M s/parc
BN 2023]],Tableau106[],5,FALSE)</f>
        <v>LERO</v>
      </c>
      <c r="G85" s="297" t="str">
        <f>VLOOKUP(Tableau254[[#This Row],[CA O&amp;M s/parc
BN 2023]],Tableau106[],7,FALSE)</f>
        <v>EGM</v>
      </c>
      <c r="H85" s="297" t="str">
        <f>VLOOKUP(Tableau254[[#This Row],[CA O&amp;M s/parc
BN 2023]],Tableau106[],6,FALSE)</f>
        <v>N</v>
      </c>
      <c r="I85" s="297" t="str">
        <f>VLOOKUP(Tableau254[[#This Row],[CA O&amp;M s/parc
BN 2023]],Tableau106[],9,FALSE)</f>
        <v>DeN</v>
      </c>
      <c r="J85" s="409">
        <v>7016.1644567369094</v>
      </c>
      <c r="K85" s="120">
        <v>124.74499999999999</v>
      </c>
      <c r="L85" s="21"/>
      <c r="M85" s="18">
        <f>Tableau254[[#This Row],[PROD en Mwh]]*Tableau254[[#This Row],[TARIF]]</f>
        <v>875231.43515564571</v>
      </c>
    </row>
    <row r="86" spans="1:14">
      <c r="A86" s="293" t="s">
        <v>192</v>
      </c>
      <c r="B86" s="294" t="str">
        <f>VLOOKUP(Tableau254[[#This Row],[CA O&amp;M s/parc
BN 2023]],Tableau106[],3,FALSE)</f>
        <v>F247</v>
      </c>
      <c r="C86" s="294" t="str">
        <f>VLOOKUP(Tableau254[[#This Row],[CA O&amp;M s/parc
BN 2023]],Tableau106[],2,FALSE)</f>
        <v>FR10E02E</v>
      </c>
      <c r="D86" s="294" t="str">
        <f>VLOOKUP(Tableau254[[#This Row],[CA O&amp;M s/parc
BN 2023]],Tableau106[],8,FALSE)</f>
        <v>EOLIEN</v>
      </c>
      <c r="E86" s="295">
        <f>VLOOKUP(Tableau254[[#This Row],[CA O&amp;M s/parc
BN 2023]],Tableau106[],4,FALSE)</f>
        <v>37.950000000000003</v>
      </c>
      <c r="F86" s="296" t="str">
        <f>VLOOKUP(Tableau254[[#This Row],[CA O&amp;M s/parc
BN 2023]],Tableau106[],5,FALSE)</f>
        <v>COT1, COT2, COT3, COT4</v>
      </c>
      <c r="G86" s="297" t="str">
        <f>VLOOKUP(Tableau254[[#This Row],[CA O&amp;M s/parc
BN 2023]],Tableau106[],7,FALSE)</f>
        <v>FUTUREN</v>
      </c>
      <c r="H86" s="297" t="str">
        <f>VLOOKUP(Tableau254[[#This Row],[CA O&amp;M s/parc
BN 2023]],Tableau106[],6,FALSE)</f>
        <v>N</v>
      </c>
      <c r="I86" s="297" t="str">
        <f>VLOOKUP(Tableau254[[#This Row],[CA O&amp;M s/parc
BN 2023]],Tableau106[],9,FALSE)</f>
        <v>MéS</v>
      </c>
      <c r="J86" s="409">
        <v>79159.391000000003</v>
      </c>
      <c r="K86" s="120">
        <v>90.390999999999991</v>
      </c>
      <c r="L86" s="21"/>
      <c r="M86" s="18">
        <f>Tableau254[[#This Row],[PROD en Mwh]]*Tableau254[[#This Row],[TARIF]]</f>
        <v>7155296.5118809994</v>
      </c>
    </row>
    <row r="87" spans="1:14">
      <c r="A87" s="293" t="s">
        <v>194</v>
      </c>
      <c r="B87" s="294" t="str">
        <f>VLOOKUP(Tableau254[[#This Row],[CA O&amp;M s/parc
BN 2023]],Tableau106[],3,FALSE)</f>
        <v>F046</v>
      </c>
      <c r="C87" s="294" t="str">
        <f>VLOOKUP(Tableau254[[#This Row],[CA O&amp;M s/parc
BN 2023]],Tableau106[],2,FALSE)</f>
        <v>FR10E03E</v>
      </c>
      <c r="D87" s="294" t="str">
        <f>VLOOKUP(Tableau254[[#This Row],[CA O&amp;M s/parc
BN 2023]],Tableau106[],8,FALSE)</f>
        <v>EOLIEN</v>
      </c>
      <c r="E87" s="295">
        <f>VLOOKUP(Tableau254[[#This Row],[CA O&amp;M s/parc
BN 2023]],Tableau106[],4,FALSE)</f>
        <v>13.2</v>
      </c>
      <c r="F87" s="296" t="str">
        <f>VLOOKUP(Tableau254[[#This Row],[CA O&amp;M s/parc
BN 2023]],Tableau106[],5,FALSE)</f>
        <v>LEMO</v>
      </c>
      <c r="G87" s="297" t="str">
        <f>VLOOKUP(Tableau254[[#This Row],[CA O&amp;M s/parc
BN 2023]],Tableau106[],7,FALSE)</f>
        <v>FUTUREN</v>
      </c>
      <c r="H87" s="297" t="str">
        <f>VLOOKUP(Tableau254[[#This Row],[CA O&amp;M s/parc
BN 2023]],Tableau106[],6,FALSE)</f>
        <v>N</v>
      </c>
      <c r="I87" s="297" t="str">
        <f>VLOOKUP(Tableau254[[#This Row],[CA O&amp;M s/parc
BN 2023]],Tableau106[],9,FALSE)</f>
        <v>MéS</v>
      </c>
      <c r="J87" s="409">
        <v>27983.532499999994</v>
      </c>
      <c r="K87" s="120">
        <v>94.62</v>
      </c>
      <c r="L87" s="13"/>
      <c r="M87" s="18">
        <f>Tableau254[[#This Row],[PROD en Mwh]]*Tableau254[[#This Row],[TARIF]]</f>
        <v>2647801.8451499995</v>
      </c>
    </row>
    <row r="88" spans="1:14">
      <c r="A88" s="293" t="s">
        <v>195</v>
      </c>
      <c r="B88" s="294" t="str">
        <f>VLOOKUP(Tableau254[[#This Row],[CA O&amp;M s/parc
BN 2023]],Tableau106[],3,FALSE)</f>
        <v>F034</v>
      </c>
      <c r="C88" s="294" t="str">
        <f>VLOOKUP(Tableau254[[#This Row],[CA O&amp;M s/parc
BN 2023]],Tableau106[],2,FALSE)</f>
        <v>FR12E94E</v>
      </c>
      <c r="D88" s="294" t="str">
        <f>VLOOKUP(Tableau254[[#This Row],[CA O&amp;M s/parc
BN 2023]],Tableau106[],8,FALSE)</f>
        <v>EOLIEN</v>
      </c>
      <c r="E88" s="295">
        <f>VLOOKUP(Tableau254[[#This Row],[CA O&amp;M s/parc
BN 2023]],Tableau106[],4,FALSE)</f>
        <v>11.5</v>
      </c>
      <c r="F88" s="296" t="str">
        <f>VLOOKUP(Tableau254[[#This Row],[CA O&amp;M s/parc
BN 2023]],Tableau106[],5,FALSE)</f>
        <v>PLOS</v>
      </c>
      <c r="G88" s="297" t="str">
        <f>VLOOKUP(Tableau254[[#This Row],[CA O&amp;M s/parc
BN 2023]],Tableau106[],7,FALSE)</f>
        <v>FUTUREN</v>
      </c>
      <c r="H88" s="297" t="str">
        <f>VLOOKUP(Tableau254[[#This Row],[CA O&amp;M s/parc
BN 2023]],Tableau106[],6,FALSE)</f>
        <v>S</v>
      </c>
      <c r="I88" s="297" t="str">
        <f>VLOOKUP(Tableau254[[#This Row],[CA O&amp;M s/parc
BN 2023]],Tableau106[],9,FALSE)</f>
        <v>OdP</v>
      </c>
      <c r="J88" s="409">
        <v>27550.859466666669</v>
      </c>
      <c r="K88" s="120">
        <v>81.299999999999983</v>
      </c>
      <c r="L88" s="13"/>
      <c r="M88" s="18">
        <f>Tableau254[[#This Row],[PROD en Mwh]]*Tableau254[[#This Row],[TARIF]]</f>
        <v>2239884.8746399996</v>
      </c>
    </row>
    <row r="89" spans="1:14">
      <c r="A89" s="293" t="s">
        <v>573</v>
      </c>
      <c r="B89" s="294" t="str">
        <f>VLOOKUP(Tableau254[[#This Row],[CA O&amp;M s/parc
BN 2023]],Tableau106[],3,FALSE)</f>
        <v>F037</v>
      </c>
      <c r="C89" s="294" t="str">
        <f>VLOOKUP(Tableau254[[#This Row],[CA O&amp;M s/parc
BN 2023]],Tableau106[],2,FALSE)</f>
        <v>FR14E05E</v>
      </c>
      <c r="D89" s="294" t="str">
        <f>VLOOKUP(Tableau254[[#This Row],[CA O&amp;M s/parc
BN 2023]],Tableau106[],8,FALSE)</f>
        <v>EOLIEN</v>
      </c>
      <c r="E89" s="295">
        <f>VLOOKUP(Tableau254[[#This Row],[CA O&amp;M s/parc
BN 2023]],Tableau106[],4,FALSE)</f>
        <v>10</v>
      </c>
      <c r="F89" s="296" t="str">
        <f>VLOOKUP(Tableau254[[#This Row],[CA O&amp;M s/parc
BN 2023]],Tableau106[],5,FALSE)</f>
        <v>SABL</v>
      </c>
      <c r="G89" s="297" t="str">
        <f>VLOOKUP(Tableau254[[#This Row],[CA O&amp;M s/parc
BN 2023]],Tableau106[],7,FALSE)</f>
        <v>FUTUREN</v>
      </c>
      <c r="H89" s="297" t="str">
        <f>VLOOKUP(Tableau254[[#This Row],[CA O&amp;M s/parc
BN 2023]],Tableau106[],6,FALSE)</f>
        <v>N</v>
      </c>
      <c r="I89" s="297" t="str">
        <f>VLOOKUP(Tableau254[[#This Row],[CA O&amp;M s/parc
BN 2023]],Tableau106[],9,FALSE)</f>
        <v>AnN</v>
      </c>
      <c r="J89" s="409">
        <v>19796.386066666666</v>
      </c>
      <c r="K89" s="120">
        <v>104.40999999999998</v>
      </c>
      <c r="L89" s="13">
        <f>10891.78+10945.62</f>
        <v>21837.4</v>
      </c>
      <c r="M89" s="18">
        <f>Tableau254[[#This Row],[PROD en Mwh]]*Tableau254[[#This Row],[TARIF]]</f>
        <v>2066940.6692206662</v>
      </c>
    </row>
    <row r="90" spans="1:14">
      <c r="A90" s="293" t="s">
        <v>579</v>
      </c>
      <c r="B90" s="294" t="str">
        <f>VLOOKUP(Tableau254[[#This Row],[CA O&amp;M s/parc
BN 2023]],Tableau106[],3,FALSE)</f>
        <v>A899</v>
      </c>
      <c r="C90" s="294" t="str">
        <f>VLOOKUP(Tableau254[[#This Row],[CA O&amp;M s/parc
BN 2023]],Tableau106[],2,FALSE)</f>
        <v>FR25E01E</v>
      </c>
      <c r="D90" s="294" t="str">
        <f>VLOOKUP(Tableau254[[#This Row],[CA O&amp;M s/parc
BN 2023]],Tableau106[],8,FALSE)</f>
        <v>EOLIEN</v>
      </c>
      <c r="E90" s="295">
        <f>VLOOKUP(Tableau254[[#This Row],[CA O&amp;M s/parc
BN 2023]],Tableau106[],4,FALSE)</f>
        <v>20</v>
      </c>
      <c r="F90" s="296" t="str">
        <f>VLOOKUP(Tableau254[[#This Row],[CA O&amp;M s/parc
BN 2023]],Tableau106[],5,FALSE)</f>
        <v>LOMO</v>
      </c>
      <c r="G90" s="297" t="str">
        <f>VLOOKUP(Tableau254[[#This Row],[CA O&amp;M s/parc
BN 2023]],Tableau106[],7,FALSE)</f>
        <v>GROUPE</v>
      </c>
      <c r="H90" s="297" t="str">
        <f>VLOOKUP(Tableau254[[#This Row],[CA O&amp;M s/parc
BN 2023]],Tableau106[],6,FALSE)</f>
        <v>N</v>
      </c>
      <c r="I90" s="297" t="str">
        <f>VLOOKUP(Tableau254[[#This Row],[CA O&amp;M s/parc
BN 2023]],Tableau106[],9,FALSE)</f>
        <v>LoH</v>
      </c>
      <c r="J90" s="409">
        <f>35631.0686902222*0.995</f>
        <v>35452.913346771093</v>
      </c>
      <c r="K90" s="120">
        <v>195.69729199999998</v>
      </c>
      <c r="L90" s="13">
        <v>51000</v>
      </c>
      <c r="M90" s="18">
        <f>Tableau254[[#This Row],[PROD en Mwh]]*Tableau254[[#This Row],[TARIF]]</f>
        <v>6938039.1354737589</v>
      </c>
      <c r="N90" t="s">
        <v>654</v>
      </c>
    </row>
    <row r="91" spans="1:14">
      <c r="A91" s="293" t="s">
        <v>497</v>
      </c>
      <c r="B91" s="294" t="str">
        <f>VLOOKUP(Tableau254[[#This Row],[CA O&amp;M s/parc
BN 2023]],Tableau106[],3,FALSE)</f>
        <v>A895</v>
      </c>
      <c r="C91" s="294" t="str">
        <f>VLOOKUP(Tableau254[[#This Row],[CA O&amp;M s/parc
BN 2023]],Tableau106[],2,FALSE)</f>
        <v>FR80E97E</v>
      </c>
      <c r="D91" s="294" t="str">
        <f>VLOOKUP(Tableau254[[#This Row],[CA O&amp;M s/parc
BN 2023]],Tableau106[],8,FALSE)</f>
        <v>EOLIEN</v>
      </c>
      <c r="E91" s="295">
        <f>VLOOKUP(Tableau254[[#This Row],[CA O&amp;M s/parc
BN 2023]],Tableau106[],4,FALSE)</f>
        <v>10</v>
      </c>
      <c r="F91" s="296" t="str">
        <f>VLOOKUP(Tableau254[[#This Row],[CA O&amp;M s/parc
BN 2023]],Tableau106[],5,FALSE)</f>
        <v>LEPI</v>
      </c>
      <c r="G91" s="297" t="str">
        <f>VLOOKUP(Tableau254[[#This Row],[CA O&amp;M s/parc
BN 2023]],Tableau106[],7,FALSE)</f>
        <v>GROUPE</v>
      </c>
      <c r="H91" s="297" t="str">
        <f>VLOOKUP(Tableau254[[#This Row],[CA O&amp;M s/parc
BN 2023]],Tableau106[],6,FALSE)</f>
        <v>N</v>
      </c>
      <c r="I91" s="297" t="str">
        <f>VLOOKUP(Tableau254[[#This Row],[CA O&amp;M s/parc
BN 2023]],Tableau106[],9,FALSE)</f>
        <v>NiD</v>
      </c>
      <c r="J91" s="409">
        <v>18094.784812499998</v>
      </c>
      <c r="K91" s="120">
        <v>45</v>
      </c>
      <c r="L91" s="21"/>
      <c r="M91" s="18">
        <f>Tableau254[[#This Row],[PROD en Mwh]]*Tableau254[[#This Row],[TARIF]]</f>
        <v>814265.31656249997</v>
      </c>
    </row>
    <row r="92" spans="1:14">
      <c r="A92" s="293" t="s">
        <v>450</v>
      </c>
      <c r="B92" s="294" t="str">
        <f>VLOOKUP(Tableau254[[#This Row],[CA O&amp;M s/parc
BN 2023]],Tableau106[],3,FALSE)</f>
        <v>A279</v>
      </c>
      <c r="C92" s="294" t="str">
        <f>VLOOKUP(Tableau254[[#This Row],[CA O&amp;M s/parc
BN 2023]],Tableau106[],2,FALSE)</f>
        <v>FR51E07E</v>
      </c>
      <c r="D92" s="294" t="str">
        <f>VLOOKUP(Tableau254[[#This Row],[CA O&amp;M s/parc
BN 2023]],Tableau106[],8,FALSE)</f>
        <v>EOLIEN</v>
      </c>
      <c r="E92" s="295">
        <f>VLOOKUP(Tableau254[[#This Row],[CA O&amp;M s/parc
BN 2023]],Tableau106[],4,FALSE)</f>
        <v>43.2</v>
      </c>
      <c r="F92" s="296" t="str">
        <f>VLOOKUP(Tableau254[[#This Row],[CA O&amp;M s/parc
BN 2023]],Tableau106[],5,FALSE)</f>
        <v>LORO</v>
      </c>
      <c r="G92" s="297" t="str">
        <f>VLOOKUP(Tableau254[[#This Row],[CA O&amp;M s/parc
BN 2023]],Tableau106[],7,FALSE)</f>
        <v>GROUPE</v>
      </c>
      <c r="H92" s="297" t="str">
        <f>VLOOKUP(Tableau254[[#This Row],[CA O&amp;M s/parc
BN 2023]],Tableau106[],6,FALSE)</f>
        <v>N</v>
      </c>
      <c r="I92" s="297" t="str">
        <f>VLOOKUP(Tableau254[[#This Row],[CA O&amp;M s/parc
BN 2023]],Tableau106[],9,FALSE)</f>
        <v>BaB</v>
      </c>
      <c r="J92" s="409">
        <v>87629.061000000002</v>
      </c>
      <c r="K92" s="120">
        <v>71.906000000000006</v>
      </c>
      <c r="L92" s="21"/>
      <c r="M92" s="18">
        <f>Tableau254[[#This Row],[PROD en Mwh]]*Tableau254[[#This Row],[TARIF]]</f>
        <v>6301055.2602660004</v>
      </c>
    </row>
    <row r="93" spans="1:14">
      <c r="A93" s="293" t="s">
        <v>452</v>
      </c>
      <c r="B93" s="294" t="str">
        <f>VLOOKUP(Tableau254[[#This Row],[CA O&amp;M s/parc
BN 2023]],Tableau106[],3,FALSE)</f>
        <v>A896</v>
      </c>
      <c r="C93" s="294" t="str">
        <f>VLOOKUP(Tableau254[[#This Row],[CA O&amp;M s/parc
BN 2023]],Tableau106[],2,FALSE)</f>
        <v>FR48E99E</v>
      </c>
      <c r="D93" s="294" t="str">
        <f>VLOOKUP(Tableau254[[#This Row],[CA O&amp;M s/parc
BN 2023]],Tableau106[],8,FALSE)</f>
        <v>EOLIEN</v>
      </c>
      <c r="E93" s="295">
        <f>VLOOKUP(Tableau254[[#This Row],[CA O&amp;M s/parc
BN 2023]],Tableau106[],4,FALSE)</f>
        <v>14</v>
      </c>
      <c r="F93" s="296" t="str">
        <f>VLOOKUP(Tableau254[[#This Row],[CA O&amp;M s/parc
BN 2023]],Tableau106[],5,FALSE)</f>
        <v>LOPV</v>
      </c>
      <c r="G93" s="297" t="str">
        <f>VLOOKUP(Tableau254[[#This Row],[CA O&amp;M s/parc
BN 2023]],Tableau106[],7,FALSE)</f>
        <v>GROUPE</v>
      </c>
      <c r="H93" s="297" t="str">
        <f>VLOOKUP(Tableau254[[#This Row],[CA O&amp;M s/parc
BN 2023]],Tableau106[],6,FALSE)</f>
        <v>S</v>
      </c>
      <c r="I93" s="297" t="str">
        <f>VLOOKUP(Tableau254[[#This Row],[CA O&amp;M s/parc
BN 2023]],Tableau106[],9,FALSE)</f>
        <v>ThC</v>
      </c>
      <c r="J93" s="409">
        <v>25692.053062499999</v>
      </c>
      <c r="K93" s="120">
        <v>53.1</v>
      </c>
      <c r="L93" s="21">
        <v>40000</v>
      </c>
      <c r="M93" s="18">
        <f>Tableau254[[#This Row],[PROD en Mwh]]*Tableau254[[#This Row],[TARIF]]</f>
        <v>1364248.01761875</v>
      </c>
      <c r="N93" t="s">
        <v>655</v>
      </c>
    </row>
    <row r="94" spans="1:14">
      <c r="A94" s="293" t="s">
        <v>533</v>
      </c>
      <c r="B94" s="294" t="str">
        <f>VLOOKUP(Tableau254[[#This Row],[CA O&amp;M s/parc
BN 2023]],Tableau106[],3,FALSE)</f>
        <v>A257</v>
      </c>
      <c r="C94" s="294" t="str">
        <f>VLOOKUP(Tableau254[[#This Row],[CA O&amp;M s/parc
BN 2023]],Tableau106[],2,FALSE)</f>
        <v>FR01S02E</v>
      </c>
      <c r="D94" s="294" t="str">
        <f>VLOOKUP(Tableau254[[#This Row],[CA O&amp;M s/parc
BN 2023]],Tableau106[],8,FALSE)</f>
        <v>SOLAIRE</v>
      </c>
      <c r="E94" s="295">
        <f>VLOOKUP(Tableau254[[#This Row],[CA O&amp;M s/parc
BN 2023]],Tableau106[],4,FALSE)</f>
        <v>4.8</v>
      </c>
      <c r="F94" s="296" t="str">
        <f>VLOOKUP(Tableau254[[#This Row],[CA O&amp;M s/parc
BN 2023]],Tableau106[],5,FALSE)</f>
        <v>LOYE</v>
      </c>
      <c r="G94" s="297" t="str">
        <f>VLOOKUP(Tableau254[[#This Row],[CA O&amp;M s/parc
BN 2023]],Tableau106[],7,FALSE)</f>
        <v>GROUPE</v>
      </c>
      <c r="H94" s="297" t="str">
        <f>VLOOKUP(Tableau254[[#This Row],[CA O&amp;M s/parc
BN 2023]],Tableau106[],6,FALSE)</f>
        <v>S</v>
      </c>
      <c r="I94" s="297" t="str">
        <f>VLOOKUP(Tableau254[[#This Row],[CA O&amp;M s/parc
BN 2023]],Tableau106[],9,FALSE)</f>
        <v>LoG</v>
      </c>
      <c r="J94" s="409">
        <v>5538.5147999999999</v>
      </c>
      <c r="K94" s="120">
        <v>75.7</v>
      </c>
      <c r="L94" s="13"/>
      <c r="M94" s="18">
        <f>Tableau254[[#This Row],[PROD en Mwh]]*Tableau254[[#This Row],[TARIF]]</f>
        <v>419265.57036000001</v>
      </c>
    </row>
    <row r="95" spans="1:14">
      <c r="A95" s="293" t="s">
        <v>469</v>
      </c>
      <c r="B95" s="294" t="str">
        <f>VLOOKUP(Tableau254[[#This Row],[CA O&amp;M s/parc
BN 2023]],Tableau106[],3,FALSE)</f>
        <v>A039</v>
      </c>
      <c r="C95" s="294" t="str">
        <f>VLOOKUP(Tableau254[[#This Row],[CA O&amp;M s/parc
BN 2023]],Tableau106[],2,FALSE)</f>
        <v>FR11E99E</v>
      </c>
      <c r="D95" s="294" t="str">
        <f>VLOOKUP(Tableau254[[#This Row],[CA O&amp;M s/parc
BN 2023]],Tableau106[],8,FALSE)</f>
        <v>EOLIEN</v>
      </c>
      <c r="E95" s="295">
        <f>VLOOKUP(Tableau254[[#This Row],[CA O&amp;M s/parc
BN 2023]],Tableau106[],4,FALSE)</f>
        <v>12</v>
      </c>
      <c r="F95" s="296" t="str">
        <f>VLOOKUP(Tableau254[[#This Row],[CA O&amp;M s/parc
BN 2023]],Tableau106[],5,FALSE)</f>
        <v>LUCO</v>
      </c>
      <c r="G95" s="297" t="str">
        <f>VLOOKUP(Tableau254[[#This Row],[CA O&amp;M s/parc
BN 2023]],Tableau106[],7,FALSE)</f>
        <v>GROUPE</v>
      </c>
      <c r="H95" s="297" t="str">
        <f>VLOOKUP(Tableau254[[#This Row],[CA O&amp;M s/parc
BN 2023]],Tableau106[],6,FALSE)</f>
        <v>S</v>
      </c>
      <c r="I95" s="297" t="str">
        <f>VLOOKUP(Tableau254[[#This Row],[CA O&amp;M s/parc
BN 2023]],Tableau106[],9,FALSE)</f>
        <v>SaH</v>
      </c>
      <c r="J95" s="409">
        <v>26154.122199999998</v>
      </c>
      <c r="K95" s="120">
        <v>80</v>
      </c>
      <c r="L95" s="21">
        <v>1640.98</v>
      </c>
      <c r="M95" s="18">
        <f>Tableau254[[#This Row],[PROD en Mwh]]*Tableau254[[#This Row],[TARIF]]</f>
        <v>2092329.7759999998</v>
      </c>
    </row>
    <row r="96" spans="1:14">
      <c r="A96" s="293" t="s">
        <v>400</v>
      </c>
      <c r="B96" s="294" t="str">
        <f>VLOOKUP(Tableau254[[#This Row],[CA O&amp;M s/parc
BN 2023]],Tableau106[],3,FALSE)</f>
        <v>A272</v>
      </c>
      <c r="C96" s="294" t="str">
        <f>VLOOKUP(Tableau254[[#This Row],[CA O&amp;M s/parc
BN 2023]],Tableau106[],2,FALSE)</f>
        <v>FR21S02E</v>
      </c>
      <c r="D96" s="294" t="str">
        <f>VLOOKUP(Tableau254[[#This Row],[CA O&amp;M s/parc
BN 2023]],Tableau106[],8,FALSE)</f>
        <v>SOLAIRE</v>
      </c>
      <c r="E96" s="295">
        <f>VLOOKUP(Tableau254[[#This Row],[CA O&amp;M s/parc
BN 2023]],Tableau106[],4,FALSE)</f>
        <v>8.4</v>
      </c>
      <c r="F96" s="296" t="str">
        <f>VLOOKUP(Tableau254[[#This Row],[CA O&amp;M s/parc
BN 2023]],Tableau106[],5,FALSE)</f>
        <v>LUX1</v>
      </c>
      <c r="G96" s="297" t="str">
        <f>VLOOKUP(Tableau254[[#This Row],[CA O&amp;M s/parc
BN 2023]],Tableau106[],7,FALSE)</f>
        <v>GROUPE</v>
      </c>
      <c r="H96" s="297" t="str">
        <f>VLOOKUP(Tableau254[[#This Row],[CA O&amp;M s/parc
BN 2023]],Tableau106[],6,FALSE)</f>
        <v>N</v>
      </c>
      <c r="I96" s="297" t="str">
        <f>VLOOKUP(Tableau254[[#This Row],[CA O&amp;M s/parc
BN 2023]],Tableau106[],9,FALSE)</f>
        <v>ZaA</v>
      </c>
      <c r="J96" s="409">
        <v>8770.5216999999993</v>
      </c>
      <c r="K96" s="120">
        <v>170.94416666666666</v>
      </c>
      <c r="L96" s="13"/>
      <c r="M96" s="18">
        <f>Tableau254[[#This Row],[PROD en Mwh]]*Tableau254[[#This Row],[TARIF]]</f>
        <v>1499269.5232384165</v>
      </c>
    </row>
    <row r="97" spans="1:14">
      <c r="A97" s="293" t="s">
        <v>599</v>
      </c>
      <c r="B97" s="294" t="str">
        <f>VLOOKUP(Tableau254[[#This Row],[CA O&amp;M s/parc
BN 2023]],Tableau106[],3,FALSE)</f>
        <v>A541</v>
      </c>
      <c r="C97" s="294" t="str">
        <f>VLOOKUP(Tableau254[[#This Row],[CA O&amp;M s/parc
BN 2023]],Tableau106[],2,FALSE)</f>
        <v>FR85E02E</v>
      </c>
      <c r="D97" s="294" t="str">
        <f>VLOOKUP(Tableau254[[#This Row],[CA O&amp;M s/parc
BN 2023]],Tableau106[],8,FALSE)</f>
        <v>EOLIEN</v>
      </c>
      <c r="E97" s="295">
        <f>VLOOKUP(Tableau254[[#This Row],[CA O&amp;M s/parc
BN 2023]],Tableau106[],4,FALSE)</f>
        <v>8</v>
      </c>
      <c r="F97" s="296" t="str">
        <f>VLOOKUP(Tableau254[[#This Row],[CA O&amp;M s/parc
BN 2023]],Tableau106[],5,FALSE)</f>
        <v>MACH</v>
      </c>
      <c r="G97" s="297" t="str">
        <f>VLOOKUP(Tableau254[[#This Row],[CA O&amp;M s/parc
BN 2023]],Tableau106[],7,FALSE)</f>
        <v>EGM</v>
      </c>
      <c r="H97" s="297" t="str">
        <f>VLOOKUP(Tableau254[[#This Row],[CA O&amp;M s/parc
BN 2023]],Tableau106[],6,FALSE)</f>
        <v>N</v>
      </c>
      <c r="I97" s="297" t="str">
        <f>VLOOKUP(Tableau254[[#This Row],[CA O&amp;M s/parc
BN 2023]],Tableau106[],9,FALSE)</f>
        <v>BoK</v>
      </c>
      <c r="J97" s="409">
        <v>15482.79121819928</v>
      </c>
      <c r="K97" s="120">
        <v>168.46692500000003</v>
      </c>
      <c r="L97" s="21"/>
      <c r="M97" s="18">
        <f>Tableau254[[#This Row],[PROD en Mwh]]*Tableau254[[#This Row],[TARIF]]</f>
        <v>2608338.226947037</v>
      </c>
    </row>
    <row r="98" spans="1:14">
      <c r="A98" s="293" t="s">
        <v>214</v>
      </c>
      <c r="B98" s="294" t="str">
        <f>VLOOKUP(Tableau254[[#This Row],[CA O&amp;M s/parc
BN 2023]],Tableau106[],3,FALSE)</f>
        <v>F240</v>
      </c>
      <c r="C98" s="294" t="str">
        <f>VLOOKUP(Tableau254[[#This Row],[CA O&amp;M s/parc
BN 2023]],Tableau106[],2,FALSE)</f>
        <v>FR80E93E</v>
      </c>
      <c r="D98" s="294" t="str">
        <f>VLOOKUP(Tableau254[[#This Row],[CA O&amp;M s/parc
BN 2023]],Tableau106[],8,FALSE)</f>
        <v>EOLIEN</v>
      </c>
      <c r="E98" s="295">
        <f>VLOOKUP(Tableau254[[#This Row],[CA O&amp;M s/parc
BN 2023]],Tableau106[],4,FALSE)</f>
        <v>15</v>
      </c>
      <c r="F98" s="296" t="str">
        <f>VLOOKUP(Tableau254[[#This Row],[CA O&amp;M s/parc
BN 2023]],Tableau106[],5,FALSE)</f>
        <v>MAG1, MAG3</v>
      </c>
      <c r="G98" s="297" t="str">
        <f>VLOOKUP(Tableau254[[#This Row],[CA O&amp;M s/parc
BN 2023]],Tableau106[],7,FALSE)</f>
        <v>FUTUREN</v>
      </c>
      <c r="H98" s="297" t="str">
        <f>VLOOKUP(Tableau254[[#This Row],[CA O&amp;M s/parc
BN 2023]],Tableau106[],6,FALSE)</f>
        <v>N</v>
      </c>
      <c r="I98" s="297" t="str">
        <f>VLOOKUP(Tableau254[[#This Row],[CA O&amp;M s/parc
BN 2023]],Tableau106[],9,FALSE)</f>
        <v>AlY</v>
      </c>
      <c r="J98" s="409">
        <f>29599.2019*(1-0.085)</f>
        <v>27083.269738500003</v>
      </c>
      <c r="K98" s="120">
        <v>97.59</v>
      </c>
      <c r="L98" s="13">
        <f>21000+29550</f>
        <v>50550</v>
      </c>
      <c r="M98" s="18">
        <f>Tableau254[[#This Row],[PROD en Mwh]]*Tableau254[[#This Row],[TARIF]]</f>
        <v>2643056.2937802156</v>
      </c>
    </row>
    <row r="99" spans="1:14">
      <c r="A99" s="293" t="s">
        <v>536</v>
      </c>
      <c r="B99" s="294" t="str">
        <f>VLOOKUP(Tableau254[[#This Row],[CA O&amp;M s/parc
BN 2023]],Tableau106[],3,FALSE)</f>
        <v>A134</v>
      </c>
      <c r="C99" s="294" t="str">
        <f>VLOOKUP(Tableau254[[#This Row],[CA O&amp;M s/parc
BN 2023]],Tableau106[],2,FALSE)</f>
        <v>FR04S99E</v>
      </c>
      <c r="D99" s="294" t="str">
        <f>VLOOKUP(Tableau254[[#This Row],[CA O&amp;M s/parc
BN 2023]],Tableau106[],8,FALSE)</f>
        <v>SOLAIRE</v>
      </c>
      <c r="E99" s="295">
        <f>VLOOKUP(Tableau254[[#This Row],[CA O&amp;M s/parc
BN 2023]],Tableau106[],4,FALSE)</f>
        <v>4.0999999999999996</v>
      </c>
      <c r="F99" s="296" t="str">
        <f>VLOOKUP(Tableau254[[#This Row],[CA O&amp;M s/parc
BN 2023]],Tableau106[],5,FALSE)</f>
        <v>MANO</v>
      </c>
      <c r="G99" s="294" t="str">
        <f>VLOOKUP(Tableau254[[#This Row],[CA O&amp;M s/parc
BN 2023]],Tableau106[],7,FALSE)</f>
        <v>GROUPE</v>
      </c>
      <c r="H99" s="294" t="str">
        <f>VLOOKUP(Tableau254[[#This Row],[CA O&amp;M s/parc
BN 2023]],Tableau106[],6,FALSE)</f>
        <v>S</v>
      </c>
      <c r="I99" s="294" t="str">
        <f>VLOOKUP(Tableau254[[#This Row],[CA O&amp;M s/parc
BN 2023]],Tableau106[],9,FALSE)</f>
        <v>ArB</v>
      </c>
      <c r="J99" s="409">
        <v>5778.2403333333341</v>
      </c>
      <c r="K99" s="120">
        <v>417.69200000000001</v>
      </c>
      <c r="L99" s="13"/>
      <c r="M99" s="18">
        <f>Tableau254[[#This Row],[PROD en Mwh]]*Tableau254[[#This Row],[TARIF]]</f>
        <v>2413524.7613106668</v>
      </c>
    </row>
    <row r="100" spans="1:14">
      <c r="A100" s="293" t="s">
        <v>568</v>
      </c>
      <c r="B100" s="294" t="str">
        <f>VLOOKUP(Tableau254[[#This Row],[CA O&amp;M s/parc
BN 2023]],Tableau106[],3,FALSE)</f>
        <v>A100</v>
      </c>
      <c r="C100" s="294" t="str">
        <f>VLOOKUP(Tableau254[[#This Row],[CA O&amp;M s/parc
BN 2023]],Tableau106[],2,FALSE)</f>
        <v>FR34E05E</v>
      </c>
      <c r="D100" s="294" t="str">
        <f>VLOOKUP(Tableau254[[#This Row],[CA O&amp;M s/parc
BN 2023]],Tableau106[],8,FALSE)</f>
        <v>EOLIEN</v>
      </c>
      <c r="E100" s="295">
        <f>VLOOKUP(Tableau254[[#This Row],[CA O&amp;M s/parc
BN 2023]],Tableau106[],4,FALSE)</f>
        <v>14.5</v>
      </c>
      <c r="F100" s="296" t="str">
        <f>VLOOKUP(Tableau254[[#This Row],[CA O&amp;M s/parc
BN 2023]],Tableau106[],5,FALSE)</f>
        <v>JONC</v>
      </c>
      <c r="G100" s="297" t="str">
        <f>VLOOKUP(Tableau254[[#This Row],[CA O&amp;M s/parc
BN 2023]],Tableau106[],7,FALSE)</f>
        <v>GROUPE</v>
      </c>
      <c r="H100" s="297" t="str">
        <f>VLOOKUP(Tableau254[[#This Row],[CA O&amp;M s/parc
BN 2023]],Tableau106[],6,FALSE)</f>
        <v>S</v>
      </c>
      <c r="I100" s="297" t="str">
        <f>VLOOKUP(Tableau254[[#This Row],[CA O&amp;M s/parc
BN 2023]],Tableau106[],9,FALSE)</f>
        <v>KéC</v>
      </c>
      <c r="J100" s="409">
        <f>23240.1328333333*(1-7.17%)</f>
        <v>21573.815309183305</v>
      </c>
      <c r="K100" s="120">
        <v>95.131</v>
      </c>
      <c r="L100" s="13">
        <v>0</v>
      </c>
      <c r="M100" s="18">
        <f>Tableau254[[#This Row],[PROD en Mwh]]*Tableau254[[#This Row],[TARIF]]</f>
        <v>2052338.6241779169</v>
      </c>
      <c r="N100" t="s">
        <v>1550</v>
      </c>
    </row>
    <row r="101" spans="1:14">
      <c r="A101" s="293" t="s">
        <v>537</v>
      </c>
      <c r="B101" s="294" t="str">
        <f>VLOOKUP(Tableau254[[#This Row],[CA O&amp;M s/parc
BN 2023]],Tableau106[],3,FALSE)</f>
        <v>A389</v>
      </c>
      <c r="C101" s="294" t="str">
        <f>VLOOKUP(Tableau254[[#This Row],[CA O&amp;M s/parc
BN 2023]],Tableau106[],2,FALSE)</f>
        <v>FR89S02E</v>
      </c>
      <c r="D101" s="294" t="str">
        <f>VLOOKUP(Tableau254[[#This Row],[CA O&amp;M s/parc
BN 2023]],Tableau106[],8,FALSE)</f>
        <v>SOLAIRE</v>
      </c>
      <c r="E101" s="295">
        <f>VLOOKUP(Tableau254[[#This Row],[CA O&amp;M s/parc
BN 2023]],Tableau106[],4,FALSE)</f>
        <v>20</v>
      </c>
      <c r="F101" s="296" t="str">
        <f>VLOOKUP(Tableau254[[#This Row],[CA O&amp;M s/parc
BN 2023]],Tableau106[],5,FALSE)</f>
        <v>MA22</v>
      </c>
      <c r="G101" s="297" t="str">
        <f>VLOOKUP(Tableau254[[#This Row],[CA O&amp;M s/parc
BN 2023]],Tableau106[],7,FALSE)</f>
        <v>GROUPE</v>
      </c>
      <c r="H101" s="297" t="str">
        <f>VLOOKUP(Tableau254[[#This Row],[CA O&amp;M s/parc
BN 2023]],Tableau106[],6,FALSE)</f>
        <v>S</v>
      </c>
      <c r="I101" s="297" t="str">
        <f>VLOOKUP(Tableau254[[#This Row],[CA O&amp;M s/parc
BN 2023]],Tableau106[],9,FALSE)</f>
        <v>LoG</v>
      </c>
      <c r="J101" s="495">
        <v>21234.839</v>
      </c>
      <c r="K101" s="120">
        <v>361.91399999999999</v>
      </c>
      <c r="L101" s="13">
        <v>132000</v>
      </c>
      <c r="M101" s="18">
        <f>Tableau254[[#This Row],[PROD en Mwh]]*Tableau254[[#This Row],[TARIF]]</f>
        <v>7685185.5218460001</v>
      </c>
    </row>
    <row r="102" spans="1:14">
      <c r="A102" s="293" t="s">
        <v>475</v>
      </c>
      <c r="B102" s="294" t="str">
        <f>VLOOKUP(Tableau254[[#This Row],[CA O&amp;M s/parc
BN 2023]],Tableau106[],3,FALSE)</f>
        <v>A540</v>
      </c>
      <c r="C102" s="294" t="str">
        <f>VLOOKUP(Tableau254[[#This Row],[CA O&amp;M s/parc
BN 2023]],Tableau106[],2,FALSE)</f>
        <v>FR56E04E</v>
      </c>
      <c r="D102" s="294" t="str">
        <f>VLOOKUP(Tableau254[[#This Row],[CA O&amp;M s/parc
BN 2023]],Tableau106[],8,FALSE)</f>
        <v>EOLIEN</v>
      </c>
      <c r="E102" s="295">
        <f>VLOOKUP(Tableau254[[#This Row],[CA O&amp;M s/parc
BN 2023]],Tableau106[],4,FALSE)</f>
        <v>10</v>
      </c>
      <c r="F102" s="296" t="str">
        <f>VLOOKUP(Tableau254[[#This Row],[CA O&amp;M s/parc
BN 2023]],Tableau106[],5,FALSE)</f>
        <v>MAUR</v>
      </c>
      <c r="G102" s="297" t="str">
        <f>VLOOKUP(Tableau254[[#This Row],[CA O&amp;M s/parc
BN 2023]],Tableau106[],7,FALSE)</f>
        <v>EGM</v>
      </c>
      <c r="H102" s="297" t="str">
        <f>VLOOKUP(Tableau254[[#This Row],[CA O&amp;M s/parc
BN 2023]],Tableau106[],6,FALSE)</f>
        <v>N</v>
      </c>
      <c r="I102" s="297" t="str">
        <f>VLOOKUP(Tableau254[[#This Row],[CA O&amp;M s/parc
BN 2023]],Tableau106[],9,FALSE)</f>
        <v>DeN</v>
      </c>
      <c r="J102" s="409">
        <v>14975.695489193886</v>
      </c>
      <c r="K102" s="120">
        <v>168.46237500000004</v>
      </c>
      <c r="L102" s="13">
        <f>10065.83</f>
        <v>10065.83</v>
      </c>
      <c r="M102" s="18">
        <f>Tableau254[[#This Row],[PROD en Mwh]]*Tableau254[[#This Row],[TARIF]]</f>
        <v>2522841.2293863893</v>
      </c>
    </row>
    <row r="103" spans="1:14">
      <c r="A103" s="293" t="s">
        <v>539</v>
      </c>
      <c r="B103" s="294" t="str">
        <f>VLOOKUP(Tableau254[[#This Row],[CA O&amp;M s/parc
BN 2023]],Tableau106[],3,FALSE)</f>
        <v>A295</v>
      </c>
      <c r="C103" s="294" t="str">
        <f>VLOOKUP(Tableau254[[#This Row],[CA O&amp;M s/parc
BN 2023]],Tableau106[],2,FALSE)</f>
        <v>FR43S04E</v>
      </c>
      <c r="D103" s="294" t="str">
        <f>VLOOKUP(Tableau254[[#This Row],[CA O&amp;M s/parc
BN 2023]],Tableau106[],8,FALSE)</f>
        <v>SOLAIRE</v>
      </c>
      <c r="E103" s="295">
        <f>VLOOKUP(Tableau254[[#This Row],[CA O&amp;M s/parc
BN 2023]],Tableau106[],4,FALSE)</f>
        <v>2.8</v>
      </c>
      <c r="F103" s="296" t="str">
        <f>VLOOKUP(Tableau254[[#This Row],[CA O&amp;M s/parc
BN 2023]],Tableau106[],5,FALSE)</f>
        <v>MSTV</v>
      </c>
      <c r="G103" s="297" t="str">
        <f>VLOOKUP(Tableau254[[#This Row],[CA O&amp;M s/parc
BN 2023]],Tableau106[],7,FALSE)</f>
        <v>GROUPE</v>
      </c>
      <c r="H103" s="297" t="str">
        <f>VLOOKUP(Tableau254[[#This Row],[CA O&amp;M s/parc
BN 2023]],Tableau106[],6,FALSE)</f>
        <v>S</v>
      </c>
      <c r="I103" s="297" t="str">
        <f>VLOOKUP(Tableau254[[#This Row],[CA O&amp;M s/parc
BN 2023]],Tableau106[],9,FALSE)</f>
        <v>ArB</v>
      </c>
      <c r="J103" s="409">
        <v>3234</v>
      </c>
      <c r="K103" s="120">
        <v>170.8183333333333</v>
      </c>
      <c r="L103" s="13"/>
      <c r="M103" s="18">
        <f>Tableau254[[#This Row],[PROD en Mwh]]*Tableau254[[#This Row],[TARIF]]</f>
        <v>552426.48999999987</v>
      </c>
    </row>
    <row r="104" spans="1:14">
      <c r="A104" s="293" t="s">
        <v>228</v>
      </c>
      <c r="B104" s="294" t="str">
        <f>VLOOKUP(Tableau254[[#This Row],[CA O&amp;M s/parc
BN 2023]],Tableau106[],3,FALSE)</f>
        <v>F159</v>
      </c>
      <c r="C104" s="294" t="str">
        <f>VLOOKUP(Tableau254[[#This Row],[CA O&amp;M s/parc
BN 2023]],Tableau106[],2,FALSE)</f>
        <v>FR02E13E</v>
      </c>
      <c r="D104" s="294" t="str">
        <f>VLOOKUP(Tableau254[[#This Row],[CA O&amp;M s/parc
BN 2023]],Tableau106[],8,FALSE)</f>
        <v>EOLIEN</v>
      </c>
      <c r="E104" s="295">
        <f>VLOOKUP(Tableau254[[#This Row],[CA O&amp;M s/parc
BN 2023]],Tableau106[],4,FALSE)</f>
        <v>12.8</v>
      </c>
      <c r="F104" s="296" t="str">
        <f>VLOOKUP(Tableau254[[#This Row],[CA O&amp;M s/parc
BN 2023]],Tableau106[],5,FALSE)</f>
        <v>MAZU</v>
      </c>
      <c r="G104" s="297" t="str">
        <f>VLOOKUP(Tableau254[[#This Row],[CA O&amp;M s/parc
BN 2023]],Tableau106[],7,FALSE)</f>
        <v>FUTUREN</v>
      </c>
      <c r="H104" s="297" t="str">
        <f>VLOOKUP(Tableau254[[#This Row],[CA O&amp;M s/parc
BN 2023]],Tableau106[],6,FALSE)</f>
        <v>N</v>
      </c>
      <c r="I104" s="297" t="str">
        <f>VLOOKUP(Tableau254[[#This Row],[CA O&amp;M s/parc
BN 2023]],Tableau106[],9,FALSE)</f>
        <v>NiD</v>
      </c>
      <c r="J104" s="409">
        <v>28549.341999999997</v>
      </c>
      <c r="K104" s="120">
        <v>90.421999999999997</v>
      </c>
      <c r="L104" s="13">
        <v>212</v>
      </c>
      <c r="M104" s="18">
        <f>Tableau254[[#This Row],[PROD en Mwh]]*Tableau254[[#This Row],[TARIF]]</f>
        <v>2581488.6023239996</v>
      </c>
    </row>
    <row r="105" spans="1:14">
      <c r="A105" s="293" t="s">
        <v>531</v>
      </c>
      <c r="B105" s="294" t="str">
        <f>VLOOKUP(Tableau254[[#This Row],[CA O&amp;M s/parc
BN 2023]],Tableau106[],3,FALSE)</f>
        <v>A432</v>
      </c>
      <c r="C105" s="294" t="str">
        <f>VLOOKUP(Tableau254[[#This Row],[CA O&amp;M s/parc
BN 2023]],Tableau106[],2,FALSE)</f>
        <v>FR07E97E</v>
      </c>
      <c r="D105" s="294" t="str">
        <f>VLOOKUP(Tableau254[[#This Row],[CA O&amp;M s/parc
BN 2023]],Tableau106[],8,FALSE)</f>
        <v>EOLIEN</v>
      </c>
      <c r="E105" s="295">
        <f>VLOOKUP(Tableau254[[#This Row],[CA O&amp;M s/parc
BN 2023]],Tableau106[],4,FALSE)</f>
        <v>56.4</v>
      </c>
      <c r="F105" s="296" t="str">
        <f>VLOOKUP(Tableau254[[#This Row],[CA O&amp;M s/parc
BN 2023]],Tableau106[],5,FALSE)</f>
        <v>MTAR</v>
      </c>
      <c r="G105" s="297" t="str">
        <f>VLOOKUP(Tableau254[[#This Row],[CA O&amp;M s/parc
BN 2023]],Tableau106[],7,FALSE)</f>
        <v>GROUPE</v>
      </c>
      <c r="H105" s="297" t="str">
        <f>VLOOKUP(Tableau254[[#This Row],[CA O&amp;M s/parc
BN 2023]],Tableau106[],6,FALSE)</f>
        <v>S</v>
      </c>
      <c r="I105" s="297" t="str">
        <f>VLOOKUP(Tableau254[[#This Row],[CA O&amp;M s/parc
BN 2023]],Tableau106[],9,FALSE)</f>
        <v>StE</v>
      </c>
      <c r="J105" s="409">
        <f>118064.5062*(1-1.02%)</f>
        <v>116860.24823676</v>
      </c>
      <c r="K105" s="120">
        <v>94.292000000000002</v>
      </c>
      <c r="L105" s="21">
        <v>0</v>
      </c>
      <c r="M105" s="18">
        <f>Tableau254[[#This Row],[PROD en Mwh]]*Tableau254[[#This Row],[TARIF]]</f>
        <v>11018986.526740575</v>
      </c>
      <c r="N105" t="s">
        <v>656</v>
      </c>
    </row>
    <row r="106" spans="1:14">
      <c r="A106" s="293" t="s">
        <v>543</v>
      </c>
      <c r="B106" s="294" t="str">
        <f>VLOOKUP(Tableau254[[#This Row],[CA O&amp;M s/parc
BN 2023]],Tableau106[],3,FALSE)</f>
        <v>A902</v>
      </c>
      <c r="C106" s="294" t="str">
        <f>VLOOKUP(Tableau254[[#This Row],[CA O&amp;M s/parc
BN 2023]],Tableau106[],2,FALSE)</f>
        <v>FR17S01E</v>
      </c>
      <c r="D106" s="294" t="str">
        <f>VLOOKUP(Tableau254[[#This Row],[CA O&amp;M s/parc
BN 2023]],Tableau106[],8,FALSE)</f>
        <v>SOLAIRE</v>
      </c>
      <c r="E106" s="295">
        <f>VLOOKUP(Tableau254[[#This Row],[CA O&amp;M s/parc
BN 2023]],Tableau106[],4,FALSE)</f>
        <v>5.5</v>
      </c>
      <c r="F106" s="296" t="str">
        <f>VLOOKUP(Tableau254[[#This Row],[CA O&amp;M s/parc
BN 2023]],Tableau106[],5,FALSE)</f>
        <v>MDR1</v>
      </c>
      <c r="G106" s="297" t="str">
        <f>VLOOKUP(Tableau254[[#This Row],[CA O&amp;M s/parc
BN 2023]],Tableau106[],7,FALSE)</f>
        <v>GROUPE</v>
      </c>
      <c r="H106" s="297" t="str">
        <f>VLOOKUP(Tableau254[[#This Row],[CA O&amp;M s/parc
BN 2023]],Tableau106[],6,FALSE)</f>
        <v>N</v>
      </c>
      <c r="I106" s="297" t="str">
        <f>VLOOKUP(Tableau254[[#This Row],[CA O&amp;M s/parc
BN 2023]],Tableau106[],9,FALSE)</f>
        <v>BaA</v>
      </c>
      <c r="J106" s="409">
        <v>6976.0665833333342</v>
      </c>
      <c r="K106" s="120">
        <v>354.00900000000001</v>
      </c>
      <c r="L106" s="21"/>
      <c r="M106" s="18">
        <f>Tableau254[[#This Row],[PROD en Mwh]]*Tableau254[[#This Row],[TARIF]]</f>
        <v>2469590.3550992506</v>
      </c>
    </row>
    <row r="107" spans="1:14">
      <c r="A107" s="293" t="s">
        <v>513</v>
      </c>
      <c r="B107" s="294" t="str">
        <f>VLOOKUP(Tableau254[[#This Row],[CA O&amp;M s/parc
BN 2023]],Tableau106[],3,FALSE)</f>
        <v>A540</v>
      </c>
      <c r="C107" s="294" t="str">
        <f>VLOOKUP(Tableau254[[#This Row],[CA O&amp;M s/parc
BN 2023]],Tableau106[],2,FALSE)</f>
        <v>FR15E03E</v>
      </c>
      <c r="D107" s="294" t="str">
        <f>VLOOKUP(Tableau254[[#This Row],[CA O&amp;M s/parc
BN 2023]],Tableau106[],8,FALSE)</f>
        <v>EOLIEN</v>
      </c>
      <c r="E107" s="295">
        <f>VLOOKUP(Tableau254[[#This Row],[CA O&amp;M s/parc
BN 2023]],Tableau106[],4,FALSE)</f>
        <v>12</v>
      </c>
      <c r="F107" s="296" t="str">
        <f>VLOOKUP(Tableau254[[#This Row],[CA O&amp;M s/parc
BN 2023]],Tableau106[],5,FALSE)</f>
        <v>MTL1</v>
      </c>
      <c r="G107" s="297" t="str">
        <f>VLOOKUP(Tableau254[[#This Row],[CA O&amp;M s/parc
BN 2023]],Tableau106[],7,FALSE)</f>
        <v>EGM</v>
      </c>
      <c r="H107" s="297" t="str">
        <f>VLOOKUP(Tableau254[[#This Row],[CA O&amp;M s/parc
BN 2023]],Tableau106[],6,FALSE)</f>
        <v>S</v>
      </c>
      <c r="I107" s="297" t="str">
        <f>VLOOKUP(Tableau254[[#This Row],[CA O&amp;M s/parc
BN 2023]],Tableau106[],9,FALSE)</f>
        <v>AuE</v>
      </c>
      <c r="J107" s="409">
        <v>22746.309653997796</v>
      </c>
      <c r="K107" s="120">
        <v>168.36097500000002</v>
      </c>
      <c r="L107" s="13"/>
      <c r="M107" s="18">
        <f>Tableau254[[#This Row],[PROD en Mwh]]*Tableau254[[#This Row],[TARIF]]</f>
        <v>3829590.8709989823</v>
      </c>
      <c r="N107" t="s">
        <v>490</v>
      </c>
    </row>
    <row r="108" spans="1:14">
      <c r="A108" s="293" t="s">
        <v>236</v>
      </c>
      <c r="B108" s="294" t="str">
        <f>VLOOKUP(Tableau254[[#This Row],[CA O&amp;M s/parc
BN 2023]],Tableau106[],3,FALSE)</f>
        <v>F140</v>
      </c>
      <c r="C108" s="294" t="str">
        <f>VLOOKUP(Tableau254[[#This Row],[CA O&amp;M s/parc
BN 2023]],Tableau106[],2,FALSE)</f>
        <v>FR57E06E</v>
      </c>
      <c r="D108" s="294" t="str">
        <f>VLOOKUP(Tableau254[[#This Row],[CA O&amp;M s/parc
BN 2023]],Tableau106[],8,FALSE)</f>
        <v>EOLIEN</v>
      </c>
      <c r="E108" s="295">
        <f>VLOOKUP(Tableau254[[#This Row],[CA O&amp;M s/parc
BN 2023]],Tableau106[],4,FALSE)</f>
        <v>15.4</v>
      </c>
      <c r="F108" s="296" t="str">
        <f>VLOOKUP(Tableau254[[#This Row],[CA O&amp;M s/parc
BN 2023]],Tableau106[],5,FALSE)</f>
        <v>MOTT</v>
      </c>
      <c r="G108" s="297" t="str">
        <f>VLOOKUP(Tableau254[[#This Row],[CA O&amp;M s/parc
BN 2023]],Tableau106[],7,FALSE)</f>
        <v>FUTUREN</v>
      </c>
      <c r="H108" s="297" t="str">
        <f>VLOOKUP(Tableau254[[#This Row],[CA O&amp;M s/parc
BN 2023]],Tableau106[],6,FALSE)</f>
        <v>N</v>
      </c>
      <c r="I108" s="297" t="str">
        <f>VLOOKUP(Tableau254[[#This Row],[CA O&amp;M s/parc
BN 2023]],Tableau106[],9,FALSE)</f>
        <v>NiL</v>
      </c>
      <c r="J108" s="409">
        <v>33191.455999999998</v>
      </c>
      <c r="K108" s="120">
        <v>79.372</v>
      </c>
      <c r="L108" s="13">
        <v>387000</v>
      </c>
      <c r="M108" s="18">
        <f>Tableau254[[#This Row],[PROD en Mwh]]*Tableau254[[#This Row],[TARIF]]</f>
        <v>2634472.2456319998</v>
      </c>
    </row>
    <row r="109" spans="1:14">
      <c r="A109" s="293" t="s">
        <v>238</v>
      </c>
      <c r="B109" s="294" t="str">
        <f>VLOOKUP(Tableau254[[#This Row],[CA O&amp;M s/parc
BN 2023]],Tableau106[],3,FALSE)</f>
        <v>F036</v>
      </c>
      <c r="C109" s="294" t="str">
        <f>VLOOKUP(Tableau254[[#This Row],[CA O&amp;M s/parc
BN 2023]],Tableau106[],2,FALSE)</f>
        <v>FR80E95E</v>
      </c>
      <c r="D109" s="294" t="str">
        <f>VLOOKUP(Tableau254[[#This Row],[CA O&amp;M s/parc
BN 2023]],Tableau106[],8,FALSE)</f>
        <v>EOLIEN</v>
      </c>
      <c r="E109" s="295">
        <f>VLOOKUP(Tableau254[[#This Row],[CA O&amp;M s/parc
BN 2023]],Tableau106[],4,FALSE)</f>
        <v>12</v>
      </c>
      <c r="F109" s="296" t="str">
        <f>VLOOKUP(Tableau254[[#This Row],[CA O&amp;M s/parc
BN 2023]],Tableau106[],5,FALSE)</f>
        <v>MODF</v>
      </c>
      <c r="G109" s="297" t="str">
        <f>VLOOKUP(Tableau254[[#This Row],[CA O&amp;M s/parc
BN 2023]],Tableau106[],7,FALSE)</f>
        <v>FUTUREN</v>
      </c>
      <c r="H109" s="297" t="str">
        <f>VLOOKUP(Tableau254[[#This Row],[CA O&amp;M s/parc
BN 2023]],Tableau106[],6,FALSE)</f>
        <v>N</v>
      </c>
      <c r="I109" s="297" t="str">
        <f>VLOOKUP(Tableau254[[#This Row],[CA O&amp;M s/parc
BN 2023]],Tableau106[],9,FALSE)</f>
        <v>NiD</v>
      </c>
      <c r="J109" s="409">
        <v>21963.001733333331</v>
      </c>
      <c r="K109" s="120">
        <v>196.96391666666668</v>
      </c>
      <c r="L109" s="13"/>
      <c r="M109" s="18">
        <f>Tableau254[[#This Row],[PROD en Mwh]]*Tableau254[[#This Row],[TARIF]]</f>
        <v>4325918.8431541221</v>
      </c>
    </row>
    <row r="110" spans="1:14">
      <c r="A110" s="293" t="s">
        <v>240</v>
      </c>
      <c r="B110" s="294" t="str">
        <f>VLOOKUP(Tableau254[[#This Row],[CA O&amp;M s/parc
BN 2023]],Tableau106[],3,FALSE)</f>
        <v>F208</v>
      </c>
      <c r="C110" s="294" t="str">
        <f>VLOOKUP(Tableau254[[#This Row],[CA O&amp;M s/parc
BN 2023]],Tableau106[],2,FALSE)</f>
        <v>FR17E05E</v>
      </c>
      <c r="D110" s="294" t="str">
        <f>VLOOKUP(Tableau254[[#This Row],[CA O&amp;M s/parc
BN 2023]],Tableau106[],8,FALSE)</f>
        <v>EOLIEN</v>
      </c>
      <c r="E110" s="295">
        <f>VLOOKUP(Tableau254[[#This Row],[CA O&amp;M s/parc
BN 2023]],Tableau106[],4,FALSE)</f>
        <v>21</v>
      </c>
      <c r="F110" s="296" t="str">
        <f>VLOOKUP(Tableau254[[#This Row],[CA O&amp;M s/parc
BN 2023]],Tableau106[],5,FALSE)</f>
        <v>NAC1, NAC2</v>
      </c>
      <c r="G110" s="297" t="str">
        <f>VLOOKUP(Tableau254[[#This Row],[CA O&amp;M s/parc
BN 2023]],Tableau106[],7,FALSE)</f>
        <v>FUTUREN</v>
      </c>
      <c r="H110" s="297" t="str">
        <f>VLOOKUP(Tableau254[[#This Row],[CA O&amp;M s/parc
BN 2023]],Tableau106[],6,FALSE)</f>
        <v>S</v>
      </c>
      <c r="I110" s="297" t="str">
        <f>VLOOKUP(Tableau254[[#This Row],[CA O&amp;M s/parc
BN 2023]],Tableau106[],9,FALSE)</f>
        <v>NoS</v>
      </c>
      <c r="J110" s="409">
        <v>51994.37225</v>
      </c>
      <c r="K110" s="120">
        <v>91.174000000000007</v>
      </c>
      <c r="L110" s="21"/>
      <c r="M110" s="18">
        <f>Tableau254[[#This Row],[PROD en Mwh]]*Tableau254[[#This Row],[TARIF]]</f>
        <v>4740534.8955215001</v>
      </c>
    </row>
    <row r="111" spans="1:14">
      <c r="A111" s="293" t="s">
        <v>548</v>
      </c>
      <c r="B111" s="294" t="str">
        <f>VLOOKUP(Tableau254[[#This Row],[CA O&amp;M s/parc
BN 2023]],Tableau106[],3,FALSE)</f>
        <v>A119</v>
      </c>
      <c r="C111" s="294" t="str">
        <f>VLOOKUP(Tableau254[[#This Row],[CA O&amp;M s/parc
BN 2023]],Tableau106[],2,FALSE)</f>
        <v>FR11S97E</v>
      </c>
      <c r="D111" s="294" t="str">
        <f>VLOOKUP(Tableau254[[#This Row],[CA O&amp;M s/parc
BN 2023]],Tableau106[],8,FALSE)</f>
        <v>SOLAIRE</v>
      </c>
      <c r="E111" s="295">
        <f>VLOOKUP(Tableau254[[#This Row],[CA O&amp;M s/parc
BN 2023]],Tableau106[],4,FALSE)</f>
        <v>7</v>
      </c>
      <c r="F111" s="296" t="str">
        <f>VLOOKUP(Tableau254[[#This Row],[CA O&amp;M s/parc
BN 2023]],Tableau106[],5,FALSE)</f>
        <v>NARB</v>
      </c>
      <c r="G111" s="297" t="str">
        <f>VLOOKUP(Tableau254[[#This Row],[CA O&amp;M s/parc
BN 2023]],Tableau106[],7,FALSE)</f>
        <v>GROUPE</v>
      </c>
      <c r="H111" s="297" t="str">
        <f>VLOOKUP(Tableau254[[#This Row],[CA O&amp;M s/parc
BN 2023]],Tableau106[],6,FALSE)</f>
        <v>S</v>
      </c>
      <c r="I111" s="297" t="str">
        <f>VLOOKUP(Tableau254[[#This Row],[CA O&amp;M s/parc
BN 2023]],Tableau106[],9,FALSE)</f>
        <v>BaA</v>
      </c>
      <c r="J111" s="409">
        <v>8941.7382142857132</v>
      </c>
      <c r="K111" s="120">
        <v>378.70800000000003</v>
      </c>
      <c r="L111" s="13"/>
      <c r="M111" s="18">
        <f>Tableau254[[#This Row],[PROD en Mwh]]*Tableau254[[#This Row],[TARIF]]</f>
        <v>3386307.7956557139</v>
      </c>
    </row>
    <row r="112" spans="1:14">
      <c r="A112" s="293" t="s">
        <v>594</v>
      </c>
      <c r="B112" s="294" t="str">
        <f>VLOOKUP(Tableau254[[#This Row],[CA O&amp;M s/parc
BN 2023]],Tableau106[],3,FALSE)</f>
        <v>A938</v>
      </c>
      <c r="C112" s="294" t="str">
        <f>VLOOKUP(Tableau254[[#This Row],[CA O&amp;M s/parc
BN 2023]],Tableau106[],2,FALSE)</f>
        <v>FR34E81E</v>
      </c>
      <c r="D112" s="294" t="str">
        <f>VLOOKUP(Tableau254[[#This Row],[CA O&amp;M s/parc
BN 2023]],Tableau106[],8,FALSE)</f>
        <v>EOLIEN</v>
      </c>
      <c r="E112" s="295">
        <f>VLOOKUP(Tableau254[[#This Row],[CA O&amp;M s/parc
BN 2023]],Tableau106[],4,FALSE)</f>
        <v>6</v>
      </c>
      <c r="F112" s="296" t="str">
        <f>VLOOKUP(Tableau254[[#This Row],[CA O&amp;M s/parc
BN 2023]],Tableau106[],5,FALSE)</f>
        <v>TRFR</v>
      </c>
      <c r="G112" s="297" t="str">
        <f>VLOOKUP(Tableau254[[#This Row],[CA O&amp;M s/parc
BN 2023]],Tableau106[],7,FALSE)</f>
        <v>FUTUREN</v>
      </c>
      <c r="H112" s="297" t="str">
        <f>VLOOKUP(Tableau254[[#This Row],[CA O&amp;M s/parc
BN 2023]],Tableau106[],6,FALSE)</f>
        <v>S</v>
      </c>
      <c r="I112" s="297" t="str">
        <f>VLOOKUP(Tableau254[[#This Row],[CA O&amp;M s/parc
BN 2023]],Tableau106[],9,FALSE)</f>
        <v>KéD</v>
      </c>
      <c r="J112" s="495">
        <v>13643.73</v>
      </c>
      <c r="K112" s="120">
        <v>124.29666666666667</v>
      </c>
      <c r="L112" s="13">
        <v>40000</v>
      </c>
      <c r="M112" s="18">
        <f>Tableau254[[#This Row],[PROD en Mwh]]*Tableau254[[#This Row],[TARIF]]</f>
        <v>1695870.1598999999</v>
      </c>
      <c r="N112" t="s">
        <v>657</v>
      </c>
    </row>
    <row r="113" spans="1:14">
      <c r="A113" s="293" t="s">
        <v>601</v>
      </c>
      <c r="B113" s="294" t="str">
        <f>VLOOKUP(Tableau254[[#This Row],[CA O&amp;M s/parc
BN 2023]],Tableau106[],3,FALSE)</f>
        <v>A936</v>
      </c>
      <c r="C113" s="294" t="str">
        <f>VLOOKUP(Tableau254[[#This Row],[CA O&amp;M s/parc
BN 2023]],Tableau106[],2,FALSE)</f>
        <v>FR34E83E</v>
      </c>
      <c r="D113" s="294" t="str">
        <f>VLOOKUP(Tableau254[[#This Row],[CA O&amp;M s/parc
BN 2023]],Tableau106[],8,FALSE)</f>
        <v>EOLIEN</v>
      </c>
      <c r="E113" s="295">
        <f>VLOOKUP(Tableau254[[#This Row],[CA O&amp;M s/parc
BN 2023]],Tableau106[],4,FALSE)</f>
        <v>8</v>
      </c>
      <c r="F113" s="296" t="str">
        <f>VLOOKUP(Tableau254[[#This Row],[CA O&amp;M s/parc
BN 2023]],Tableau106[],5,FALSE)</f>
        <v>LAPI</v>
      </c>
      <c r="G113" s="297" t="str">
        <f>VLOOKUP(Tableau254[[#This Row],[CA O&amp;M s/parc
BN 2023]],Tableau106[],7,FALSE)</f>
        <v>FUTUREN</v>
      </c>
      <c r="H113" s="297" t="str">
        <f>VLOOKUP(Tableau254[[#This Row],[CA O&amp;M s/parc
BN 2023]],Tableau106[],6,FALSE)</f>
        <v>S</v>
      </c>
      <c r="I113" s="297" t="str">
        <f>VLOOKUP(Tableau254[[#This Row],[CA O&amp;M s/parc
BN 2023]],Tableau106[],9,FALSE)</f>
        <v>KéD</v>
      </c>
      <c r="J113" s="495">
        <v>15724.722</v>
      </c>
      <c r="K113" s="120">
        <v>124.26166666666666</v>
      </c>
      <c r="L113" s="13">
        <v>30000</v>
      </c>
      <c r="M113" s="18">
        <f>Tableau254[[#This Row],[PROD en Mwh]]*Tableau254[[#This Row],[TARIF]]</f>
        <v>1953980.1635899998</v>
      </c>
      <c r="N113" t="s">
        <v>657</v>
      </c>
    </row>
    <row r="114" spans="1:14">
      <c r="A114" s="293" t="s">
        <v>626</v>
      </c>
      <c r="B114" s="294" t="str">
        <f>VLOOKUP(Tableau254[[#This Row],[CA O&amp;M s/parc
BN 2023]],Tableau106[],3,FALSE)</f>
        <v>A937</v>
      </c>
      <c r="C114" s="294" t="str">
        <f>VLOOKUP(Tableau254[[#This Row],[CA O&amp;M s/parc
BN 2023]],Tableau106[],2,FALSE)</f>
        <v>FR34E82E</v>
      </c>
      <c r="D114" s="294" t="str">
        <f>VLOOKUP(Tableau254[[#This Row],[CA O&amp;M s/parc
BN 2023]],Tableau106[],8,FALSE)</f>
        <v>EOLIEN</v>
      </c>
      <c r="E114" s="295">
        <f>VLOOKUP(Tableau254[[#This Row],[CA O&amp;M s/parc
BN 2023]],Tableau106[],4,FALSE)</f>
        <v>6</v>
      </c>
      <c r="F114" s="296" t="str">
        <f>VLOOKUP(Tableau254[[#This Row],[CA O&amp;M s/parc
BN 2023]],Tableau106[],5,FALSE)</f>
        <v>NIPL</v>
      </c>
      <c r="G114" s="297" t="str">
        <f>VLOOKUP(Tableau254[[#This Row],[CA O&amp;M s/parc
BN 2023]],Tableau106[],7,FALSE)</f>
        <v>FUTUREN</v>
      </c>
      <c r="H114" s="297" t="str">
        <f>VLOOKUP(Tableau254[[#This Row],[CA O&amp;M s/parc
BN 2023]],Tableau106[],6,FALSE)</f>
        <v>S</v>
      </c>
      <c r="I114" s="297" t="str">
        <f>VLOOKUP(Tableau254[[#This Row],[CA O&amp;M s/parc
BN 2023]],Tableau106[],9,FALSE)</f>
        <v>KéD</v>
      </c>
      <c r="J114" s="495">
        <v>11454.871999999999</v>
      </c>
      <c r="K114" s="120">
        <v>124.18833333333333</v>
      </c>
      <c r="L114" s="13">
        <v>30000</v>
      </c>
      <c r="M114" s="18">
        <f>Tableau254[[#This Row],[PROD en Mwh]]*Tableau254[[#This Row],[TARIF]]</f>
        <v>1422561.4622266665</v>
      </c>
      <c r="N114" t="s">
        <v>657</v>
      </c>
    </row>
    <row r="115" spans="1:14">
      <c r="A115" s="293" t="s">
        <v>595</v>
      </c>
      <c r="B115" s="294" t="str">
        <f>VLOOKUP(Tableau254[[#This Row],[CA O&amp;M s/parc
BN 2023]],Tableau106[],3,FALSE)</f>
        <v>A935</v>
      </c>
      <c r="C115" s="294" t="str">
        <f>VLOOKUP(Tableau254[[#This Row],[CA O&amp;M s/parc
BN 2023]],Tableau106[],2,FALSE)</f>
        <v>FR34E84E</v>
      </c>
      <c r="D115" s="294" t="str">
        <f>VLOOKUP(Tableau254[[#This Row],[CA O&amp;M s/parc
BN 2023]],Tableau106[],8,FALSE)</f>
        <v>EOLIEN</v>
      </c>
      <c r="E115" s="295">
        <f>VLOOKUP(Tableau254[[#This Row],[CA O&amp;M s/parc
BN 2023]],Tableau106[],4,FALSE)</f>
        <v>6</v>
      </c>
      <c r="F115" s="296" t="str">
        <f>VLOOKUP(Tableau254[[#This Row],[CA O&amp;M s/parc
BN 2023]],Tableau106[],5,FALSE)</f>
        <v>PEMO</v>
      </c>
      <c r="G115" s="297" t="str">
        <f>VLOOKUP(Tableau254[[#This Row],[CA O&amp;M s/parc
BN 2023]],Tableau106[],7,FALSE)</f>
        <v>FUTUREN</v>
      </c>
      <c r="H115" s="297" t="str">
        <f>VLOOKUP(Tableau254[[#This Row],[CA O&amp;M s/parc
BN 2023]],Tableau106[],6,FALSE)</f>
        <v>S</v>
      </c>
      <c r="I115" s="297" t="str">
        <f>VLOOKUP(Tableau254[[#This Row],[CA O&amp;M s/parc
BN 2023]],Tableau106[],9,FALSE)</f>
        <v>KéD</v>
      </c>
      <c r="J115" s="495">
        <v>13016.066000000001</v>
      </c>
      <c r="K115" s="120">
        <v>124.23166666666667</v>
      </c>
      <c r="L115" s="13">
        <v>30000</v>
      </c>
      <c r="M115" s="18">
        <f>Tableau254[[#This Row],[PROD en Mwh]]*Tableau254[[#This Row],[TARIF]]</f>
        <v>1617007.5726233334</v>
      </c>
      <c r="N115" t="s">
        <v>657</v>
      </c>
    </row>
    <row r="116" spans="1:14">
      <c r="A116" s="293" t="s">
        <v>478</v>
      </c>
      <c r="B116" s="294" t="str">
        <f>VLOOKUP(Tableau254[[#This Row],[CA O&amp;M s/parc
BN 2023]],Tableau106[],3,FALSE)</f>
        <v>A530</v>
      </c>
      <c r="C116" s="294" t="str">
        <f>VLOOKUP(Tableau254[[#This Row],[CA O&amp;M s/parc
BN 2023]],Tableau106[],2,FALSE)</f>
        <v>FR57E02E</v>
      </c>
      <c r="D116" s="294" t="str">
        <f>VLOOKUP(Tableau254[[#This Row],[CA O&amp;M s/parc
BN 2023]],Tableau106[],8,FALSE)</f>
        <v>EOLIEN</v>
      </c>
      <c r="E116" s="295">
        <f>VLOOKUP(Tableau254[[#This Row],[CA O&amp;M s/parc
BN 2023]],Tableau106[],4,FALSE)</f>
        <v>12</v>
      </c>
      <c r="F116" s="296" t="str">
        <f>VLOOKUP(Tableau254[[#This Row],[CA O&amp;M s/parc
BN 2023]],Tableau106[],5,FALSE)</f>
        <v>NIED</v>
      </c>
      <c r="G116" s="297" t="str">
        <f>VLOOKUP(Tableau254[[#This Row],[CA O&amp;M s/parc
BN 2023]],Tableau106[],7,FALSE)</f>
        <v>GROUPE</v>
      </c>
      <c r="H116" s="297" t="str">
        <f>VLOOKUP(Tableau254[[#This Row],[CA O&amp;M s/parc
BN 2023]],Tableau106[],6,FALSE)</f>
        <v>N</v>
      </c>
      <c r="I116" s="297" t="str">
        <f>VLOOKUP(Tableau254[[#This Row],[CA O&amp;M s/parc
BN 2023]],Tableau106[],9,FALSE)</f>
        <v>HuB</v>
      </c>
      <c r="J116" s="409">
        <f>20807.7395*9/12</f>
        <v>15605.804624999999</v>
      </c>
      <c r="K116" s="120">
        <v>168.53</v>
      </c>
      <c r="L116" s="21"/>
      <c r="M116" s="18">
        <f>Tableau254[[#This Row],[PROD en Mwh]]*Tableau254[[#This Row],[TARIF]]</f>
        <v>2630046.25345125</v>
      </c>
    </row>
    <row r="117" spans="1:14">
      <c r="A117" s="293" t="s">
        <v>403</v>
      </c>
      <c r="B117" s="294" t="str">
        <f>VLOOKUP(Tableau254[[#This Row],[CA O&amp;M s/parc
BN 2023]],Tableau106[],3,FALSE)</f>
        <v>A258</v>
      </c>
      <c r="C117" s="294" t="str">
        <f>VLOOKUP(Tableau254[[#This Row],[CA O&amp;M s/parc
BN 2023]],Tableau106[],2,FALSE)</f>
        <v>FR01S04E</v>
      </c>
      <c r="D117" s="294" t="str">
        <f>VLOOKUP(Tableau254[[#This Row],[CA O&amp;M s/parc
BN 2023]],Tableau106[],8,FALSE)</f>
        <v>SOLAIRE</v>
      </c>
      <c r="E117" s="295">
        <f>VLOOKUP(Tableau254[[#This Row],[CA O&amp;M s/parc
BN 2023]],Tableau106[],4,FALSE)</f>
        <v>13.4</v>
      </c>
      <c r="F117" s="296" t="str">
        <f>VLOOKUP(Tableau254[[#This Row],[CA O&amp;M s/parc
BN 2023]],Tableau106[],5,FALSE)</f>
        <v>NIEV</v>
      </c>
      <c r="G117" s="297" t="str">
        <f>VLOOKUP(Tableau254[[#This Row],[CA O&amp;M s/parc
BN 2023]],Tableau106[],7,FALSE)</f>
        <v>GROUPE</v>
      </c>
      <c r="H117" s="297" t="str">
        <f>VLOOKUP(Tableau254[[#This Row],[CA O&amp;M s/parc
BN 2023]],Tableau106[],6,FALSE)</f>
        <v>S</v>
      </c>
      <c r="I117" s="297" t="str">
        <f>VLOOKUP(Tableau254[[#This Row],[CA O&amp;M s/parc
BN 2023]],Tableau106[],9,FALSE)</f>
        <v>ZaA</v>
      </c>
      <c r="J117" s="409">
        <v>15396.948000000002</v>
      </c>
      <c r="K117" s="120">
        <v>91</v>
      </c>
      <c r="L117" s="21"/>
      <c r="M117" s="18">
        <f>Tableau254[[#This Row],[PROD en Mwh]]*Tableau254[[#This Row],[TARIF]]</f>
        <v>1401122.2680000002</v>
      </c>
    </row>
    <row r="118" spans="1:14">
      <c r="A118" s="293" t="s">
        <v>551</v>
      </c>
      <c r="B118" s="294" t="str">
        <f>VLOOKUP(Tableau254[[#This Row],[CA O&amp;M s/parc
BN 2023]],Tableau106[],3,FALSE)</f>
        <v>A313</v>
      </c>
      <c r="C118" s="294" t="str">
        <f>VLOOKUP(Tableau254[[#This Row],[CA O&amp;M s/parc
BN 2023]],Tableau106[],2,FALSE)</f>
        <v>FR89S16E</v>
      </c>
      <c r="D118" s="294" t="str">
        <f>VLOOKUP(Tableau254[[#This Row],[CA O&amp;M s/parc
BN 2023]],Tableau106[],8,FALSE)</f>
        <v>SOLAIRE</v>
      </c>
      <c r="E118" s="295">
        <f>VLOOKUP(Tableau254[[#This Row],[CA O&amp;M s/parc
BN 2023]],Tableau106[],4,FALSE)</f>
        <v>3.8</v>
      </c>
      <c r="F118" s="296" t="str">
        <f>VLOOKUP(Tableau254[[#This Row],[CA O&amp;M s/parc
BN 2023]],Tableau106[],5,FALSE)</f>
        <v>NITR</v>
      </c>
      <c r="G118" s="297" t="str">
        <f>VLOOKUP(Tableau254[[#This Row],[CA O&amp;M s/parc
BN 2023]],Tableau106[],7,FALSE)</f>
        <v>GROUPE</v>
      </c>
      <c r="H118" s="297" t="str">
        <f>VLOOKUP(Tableau254[[#This Row],[CA O&amp;M s/parc
BN 2023]],Tableau106[],6,FALSE)</f>
        <v>N</v>
      </c>
      <c r="I118" s="297" t="str">
        <f>VLOOKUP(Tableau254[[#This Row],[CA O&amp;M s/parc
BN 2023]],Tableau106[],9,FALSE)</f>
        <v>LoG</v>
      </c>
      <c r="J118" s="409">
        <v>3656</v>
      </c>
      <c r="K118" s="120">
        <v>175.09</v>
      </c>
      <c r="L118" s="13"/>
      <c r="M118" s="18">
        <f>Tableau254[[#This Row],[PROD en Mwh]]*Tableau254[[#This Row],[TARIF]]</f>
        <v>640129.04</v>
      </c>
    </row>
    <row r="119" spans="1:14">
      <c r="A119" s="293" t="s">
        <v>529</v>
      </c>
      <c r="B119" s="294" t="str">
        <f>VLOOKUP(Tableau254[[#This Row],[CA O&amp;M s/parc
BN 2023]],Tableau106[],3,FALSE)</f>
        <v>A540</v>
      </c>
      <c r="C119" s="294" t="str">
        <f>VLOOKUP(Tableau254[[#This Row],[CA O&amp;M s/parc
BN 2023]],Tableau106[],2,FALSE)</f>
        <v>FR80E01E</v>
      </c>
      <c r="D119" s="294" t="str">
        <f>VLOOKUP(Tableau254[[#This Row],[CA O&amp;M s/parc
BN 2023]],Tableau106[],8,FALSE)</f>
        <v>EOLIEN</v>
      </c>
      <c r="E119" s="295">
        <f>VLOOKUP(Tableau254[[#This Row],[CA O&amp;M s/parc
BN 2023]],Tableau106[],4,FALSE)</f>
        <v>8</v>
      </c>
      <c r="F119" s="296" t="str">
        <f>VLOOKUP(Tableau254[[#This Row],[CA O&amp;M s/parc
BN 2023]],Tableau106[],5,FALSE)</f>
        <v>NURL</v>
      </c>
      <c r="G119" s="297" t="str">
        <f>VLOOKUP(Tableau254[[#This Row],[CA O&amp;M s/parc
BN 2023]],Tableau106[],7,FALSE)</f>
        <v>EGM</v>
      </c>
      <c r="H119" s="297" t="str">
        <f>VLOOKUP(Tableau254[[#This Row],[CA O&amp;M s/parc
BN 2023]],Tableau106[],6,FALSE)</f>
        <v>N</v>
      </c>
      <c r="I119" s="297" t="str">
        <f>VLOOKUP(Tableau254[[#This Row],[CA O&amp;M s/parc
BN 2023]],Tableau106[],9,FALSE)</f>
        <v>NoS</v>
      </c>
      <c r="J119" s="409">
        <v>18834.739289914349</v>
      </c>
      <c r="K119" s="120">
        <v>103.057</v>
      </c>
      <c r="L119" s="13"/>
      <c r="M119" s="18">
        <f>Tableau254[[#This Row],[PROD en Mwh]]*Tableau254[[#This Row],[TARIF]]</f>
        <v>1941051.7270007031</v>
      </c>
    </row>
    <row r="120" spans="1:14">
      <c r="A120" s="293" t="s">
        <v>555</v>
      </c>
      <c r="B120" s="294" t="str">
        <f>VLOOKUP(Tableau254[[#This Row],[CA O&amp;M s/parc
BN 2023]],Tableau106[],3,FALSE)</f>
        <v>A374</v>
      </c>
      <c r="C120" s="294" t="str">
        <f>VLOOKUP(Tableau254[[#This Row],[CA O&amp;M s/parc
BN 2023]],Tableau106[],2,FALSE)</f>
        <v>FR68S02E</v>
      </c>
      <c r="D120" s="294" t="str">
        <f>VLOOKUP(Tableau254[[#This Row],[CA O&amp;M s/parc
BN 2023]],Tableau106[],8,FALSE)</f>
        <v>SOLAIRE</v>
      </c>
      <c r="E120" s="295">
        <f>VLOOKUP(Tableau254[[#This Row],[CA O&amp;M s/parc
BN 2023]],Tableau106[],4,FALSE)</f>
        <v>15.5</v>
      </c>
      <c r="F120" s="296" t="str">
        <f>VLOOKUP(Tableau254[[#This Row],[CA O&amp;M s/parc
BN 2023]],Tableau106[],5,FALSE)</f>
        <v>OTTM</v>
      </c>
      <c r="G120" s="297" t="str">
        <f>VLOOKUP(Tableau254[[#This Row],[CA O&amp;M s/parc
BN 2023]],Tableau106[],7,FALSE)</f>
        <v>GROUPE</v>
      </c>
      <c r="H120" s="297" t="str">
        <f>VLOOKUP(Tableau254[[#This Row],[CA O&amp;M s/parc
BN 2023]],Tableau106[],6,FALSE)</f>
        <v>N</v>
      </c>
      <c r="I120" s="297" t="str">
        <f>VLOOKUP(Tableau254[[#This Row],[CA O&amp;M s/parc
BN 2023]],Tableau106[],9,FALSE)</f>
        <v>ZaA</v>
      </c>
      <c r="J120" s="409">
        <v>15782</v>
      </c>
      <c r="K120" s="120">
        <v>170.8183333333333</v>
      </c>
      <c r="L120" s="13"/>
      <c r="M120" s="18">
        <f>Tableau254[[#This Row],[PROD en Mwh]]*Tableau254[[#This Row],[TARIF]]</f>
        <v>2695854.9366666661</v>
      </c>
    </row>
    <row r="121" spans="1:14">
      <c r="A121" s="293" t="s">
        <v>438</v>
      </c>
      <c r="B121" s="294" t="str">
        <f>VLOOKUP(Tableau254[[#This Row],[CA O&amp;M s/parc
BN 2023]],Tableau106[],3,FALSE)</f>
        <v>A044</v>
      </c>
      <c r="C121" s="294" t="str">
        <f>VLOOKUP(Tableau254[[#This Row],[CA O&amp;M s/parc
BN 2023]],Tableau106[],2,FALSE)</f>
        <v>FR34E99E</v>
      </c>
      <c r="D121" s="294" t="str">
        <f>VLOOKUP(Tableau254[[#This Row],[CA O&amp;M s/parc
BN 2023]],Tableau106[],8,FALSE)</f>
        <v>EOLIEN</v>
      </c>
      <c r="E121" s="295">
        <f>VLOOKUP(Tableau254[[#This Row],[CA O&amp;M s/parc
BN 2023]],Tableau106[],4,FALSE)</f>
        <v>8.1</v>
      </c>
      <c r="F121" s="296" t="str">
        <f>VLOOKUP(Tableau254[[#This Row],[CA O&amp;M s/parc
BN 2023]],Tableau106[],5,FALSE)</f>
        <v>OUPI</v>
      </c>
      <c r="G121" s="297" t="str">
        <f>VLOOKUP(Tableau254[[#This Row],[CA O&amp;M s/parc
BN 2023]],Tableau106[],7,FALSE)</f>
        <v>GROUPE</v>
      </c>
      <c r="H121" s="297" t="str">
        <f>VLOOKUP(Tableau254[[#This Row],[CA O&amp;M s/parc
BN 2023]],Tableau106[],6,FALSE)</f>
        <v>S</v>
      </c>
      <c r="I121" s="297" t="str">
        <f>VLOOKUP(Tableau254[[#This Row],[CA O&amp;M s/parc
BN 2023]],Tableau106[],9,FALSE)</f>
        <v>SaH</v>
      </c>
      <c r="J121" s="409">
        <v>5907.0540000000001</v>
      </c>
      <c r="K121" s="120">
        <v>143</v>
      </c>
      <c r="L121" s="21">
        <v>0</v>
      </c>
      <c r="M121" s="18">
        <f>Tableau254[[#This Row],[PROD en Mwh]]*Tableau254[[#This Row],[TARIF]]</f>
        <v>844708.72200000007</v>
      </c>
    </row>
    <row r="122" spans="1:14">
      <c r="A122" s="293" t="s">
        <v>658</v>
      </c>
      <c r="B122" s="294" t="str">
        <f>VLOOKUP(Tableau254[[#This Row],[CA O&amp;M s/parc
BN 2023]],Tableau106[],3,FALSE)</f>
        <v>A044</v>
      </c>
      <c r="C122" s="294" t="str">
        <f>VLOOKUP(Tableau254[[#This Row],[CA O&amp;M s/parc
BN 2023]],Tableau106[],2,FALSE)</f>
        <v>FR34E99E</v>
      </c>
      <c r="D122" s="294" t="str">
        <f>VLOOKUP(Tableau254[[#This Row],[CA O&amp;M s/parc
BN 2023]],Tableau106[],8,FALSE)</f>
        <v>EOLIEN</v>
      </c>
      <c r="E122" s="295">
        <f>VLOOKUP(Tableau254[[#This Row],[CA O&amp;M s/parc
BN 2023]],Tableau106[],4,FALSE)</f>
        <v>20.7</v>
      </c>
      <c r="F122" s="297" t="str">
        <f>VLOOKUP(Tableau254[[#This Row],[CA O&amp;M s/parc
BN 2023]],Tableau106[],5,FALSE)</f>
        <v>OUP2</v>
      </c>
      <c r="G122" s="294" t="str">
        <f>VLOOKUP(Tableau254[[#This Row],[CA O&amp;M s/parc
BN 2023]],Tableau106[],7,FALSE)</f>
        <v>GROUPE</v>
      </c>
      <c r="H122" s="294" t="str">
        <f>VLOOKUP(Tableau254[[#This Row],[CA O&amp;M s/parc
BN 2023]],Tableau106[],6,FALSE)</f>
        <v>S</v>
      </c>
      <c r="I122" s="294" t="str">
        <f>VLOOKUP(Tableau254[[#This Row],[CA O&amp;M s/parc
BN 2023]],Tableau106[],9,FALSE)</f>
        <v>SaH</v>
      </c>
      <c r="J122" s="413">
        <f>56000/3</f>
        <v>18666.666666666668</v>
      </c>
      <c r="K122" s="397">
        <v>64.5</v>
      </c>
      <c r="L122" s="21">
        <v>0</v>
      </c>
      <c r="M122" s="18">
        <f>Tableau254[[#This Row],[PROD en Mwh]]*Tableau254[[#This Row],[TARIF]]</f>
        <v>1204000</v>
      </c>
    </row>
    <row r="123" spans="1:14">
      <c r="A123" s="293" t="s">
        <v>492</v>
      </c>
      <c r="B123" s="294" t="str">
        <f>VLOOKUP(Tableau254[[#This Row],[CA O&amp;M s/parc
BN 2023]],Tableau106[],3,FALSE)</f>
        <v>A540</v>
      </c>
      <c r="C123" s="294" t="str">
        <f>VLOOKUP(Tableau254[[#This Row],[CA O&amp;M s/parc
BN 2023]],Tableau106[],2,FALSE)</f>
        <v>FR79E01E</v>
      </c>
      <c r="D123" s="294" t="str">
        <f>VLOOKUP(Tableau254[[#This Row],[CA O&amp;M s/parc
BN 2023]],Tableau106[],8,FALSE)</f>
        <v>EOLIEN</v>
      </c>
      <c r="E123" s="295">
        <f>VLOOKUP(Tableau254[[#This Row],[CA O&amp;M s/parc
BN 2023]],Tableau106[],4,FALSE)</f>
        <v>12</v>
      </c>
      <c r="F123" s="296" t="str">
        <f>VLOOKUP(Tableau254[[#This Row],[CA O&amp;M s/parc
BN 2023]],Tableau106[],5,FALSE)</f>
        <v>PAMP</v>
      </c>
      <c r="G123" s="297" t="str">
        <f>VLOOKUP(Tableau254[[#This Row],[CA O&amp;M s/parc
BN 2023]],Tableau106[],7,FALSE)</f>
        <v>EGM</v>
      </c>
      <c r="H123" s="297" t="str">
        <f>VLOOKUP(Tableau254[[#This Row],[CA O&amp;M s/parc
BN 2023]],Tableau106[],6,FALSE)</f>
        <v>N</v>
      </c>
      <c r="I123" s="297" t="str">
        <f>VLOOKUP(Tableau254[[#This Row],[CA O&amp;M s/parc
BN 2023]],Tableau106[],9,FALSE)</f>
        <v>DeN</v>
      </c>
      <c r="J123" s="409">
        <v>23227.769097592496</v>
      </c>
      <c r="K123" s="120">
        <v>99.236999999999995</v>
      </c>
      <c r="L123" s="21">
        <f>49999.29</f>
        <v>49999.29</v>
      </c>
      <c r="M123" s="18">
        <f>Tableau254[[#This Row],[PROD en Mwh]]*Tableau254[[#This Row],[TARIF]]</f>
        <v>2305054.1219377862</v>
      </c>
    </row>
    <row r="124" spans="1:14">
      <c r="A124" s="293" t="s">
        <v>534</v>
      </c>
      <c r="B124" s="294" t="str">
        <f>VLOOKUP(Tableau254[[#This Row],[CA O&amp;M s/parc
BN 2023]],Tableau106[],3,FALSE)</f>
        <v>A418</v>
      </c>
      <c r="C124" s="294" t="str">
        <f>VLOOKUP(Tableau254[[#This Row],[CA O&amp;M s/parc
BN 2023]],Tableau106[],2,FALSE)</f>
        <v>FR51E08E</v>
      </c>
      <c r="D124" s="294" t="str">
        <f>VLOOKUP(Tableau254[[#This Row],[CA O&amp;M s/parc
BN 2023]],Tableau106[],8,FALSE)</f>
        <v>EOLIEN</v>
      </c>
      <c r="E124" s="295">
        <f>VLOOKUP(Tableau254[[#This Row],[CA O&amp;M s/parc
BN 2023]],Tableau106[],4,FALSE)</f>
        <v>21.6</v>
      </c>
      <c r="F124" s="296" t="str">
        <f>VLOOKUP(Tableau254[[#This Row],[CA O&amp;M s/parc
BN 2023]],Tableau106[],5,FALSE)</f>
        <v>PAAN</v>
      </c>
      <c r="G124" s="297" t="str">
        <f>VLOOKUP(Tableau254[[#This Row],[CA O&amp;M s/parc
BN 2023]],Tableau106[],7,FALSE)</f>
        <v>GROUPE</v>
      </c>
      <c r="H124" s="297" t="str">
        <f>VLOOKUP(Tableau254[[#This Row],[CA O&amp;M s/parc
BN 2023]],Tableau106[],6,FALSE)</f>
        <v>N</v>
      </c>
      <c r="I124" s="297" t="str">
        <f>VLOOKUP(Tableau254[[#This Row],[CA O&amp;M s/parc
BN 2023]],Tableau106[],9,FALSE)</f>
        <v>AlY</v>
      </c>
      <c r="J124" s="409">
        <v>52951.481749999999</v>
      </c>
      <c r="K124" s="120">
        <v>90.512</v>
      </c>
      <c r="L124" s="13">
        <v>162542</v>
      </c>
      <c r="M124" s="18">
        <f>Tableau254[[#This Row],[PROD en Mwh]]*Tableau254[[#This Row],[TARIF]]</f>
        <v>4792744.5161560001</v>
      </c>
    </row>
    <row r="125" spans="1:14">
      <c r="A125" s="299" t="s">
        <v>559</v>
      </c>
      <c r="B125" s="294" t="str">
        <f>VLOOKUP(Tableau254[[#This Row],[CA O&amp;M s/parc
BN 2023]],Tableau106[],3,FALSE)</f>
        <v>A960</v>
      </c>
      <c r="C125" s="294" t="str">
        <f>VLOOKUP(Tableau254[[#This Row],[CA O&amp;M s/parc
BN 2023]],Tableau106[],2,FALSE)</f>
        <v>FRD1E01E</v>
      </c>
      <c r="D125" s="300" t="str">
        <f>VLOOKUP(Tableau254[[#This Row],[CA O&amp;M s/parc
BN 2023]],Tableau106[],8,FALSE)</f>
        <v>EOLIEN DOM</v>
      </c>
      <c r="E125" s="295">
        <f>VLOOKUP(Tableau254[[#This Row],[CA O&amp;M s/parc
BN 2023]],Tableau106[],4,FALSE)</f>
        <v>9</v>
      </c>
      <c r="F125" s="297" t="str">
        <f>VLOOKUP(Tableau254[[#This Row],[CA O&amp;M s/parc
BN 2023]],Tableau106[],5,FALSE)</f>
        <v>PCR1</v>
      </c>
      <c r="G125" s="294" t="str">
        <f>VLOOKUP(Tableau254[[#This Row],[CA O&amp;M s/parc
BN 2023]],Tableau106[],7,FALSE)</f>
        <v>GROUPE</v>
      </c>
      <c r="H125" s="294" t="str">
        <f>VLOOKUP(Tableau254[[#This Row],[CA O&amp;M s/parc
BN 2023]],Tableau106[],6,FALSE)</f>
        <v>DOM</v>
      </c>
      <c r="I125" s="294" t="str">
        <f>VLOOKUP(Tableau254[[#This Row],[CA O&amp;M s/parc
BN 2023]],Tableau106[],9,FALSE)</f>
        <v>DoJ</v>
      </c>
      <c r="J125" s="18">
        <v>14582.619261366661</v>
      </c>
      <c r="K125" s="120">
        <v>234.59399999999999</v>
      </c>
      <c r="L125" s="21"/>
      <c r="M125" s="18">
        <f>Tableau254[[#This Row],[PROD en Mwh]]*Tableau254[[#This Row],[TARIF]]</f>
        <v>3420994.9830010505</v>
      </c>
    </row>
    <row r="126" spans="1:14">
      <c r="A126" s="299" t="s">
        <v>562</v>
      </c>
      <c r="B126" s="294" t="str">
        <f>VLOOKUP(Tableau254[[#This Row],[CA O&amp;M s/parc
BN 2023]],Tableau106[],3,FALSE)</f>
        <v>A166</v>
      </c>
      <c r="C126" s="294" t="str">
        <f>VLOOKUP(Tableau254[[#This Row],[CA O&amp;M s/parc
BN 2023]],Tableau106[],2,FALSE)</f>
        <v>FR97S86E</v>
      </c>
      <c r="D126" s="300" t="str">
        <f>VLOOKUP(Tableau254[[#This Row],[CA O&amp;M s/parc
BN 2023]],Tableau106[],8,FALSE)</f>
        <v>SOLAIRE DOM</v>
      </c>
      <c r="E126" s="295">
        <f>VLOOKUP(Tableau254[[#This Row],[CA O&amp;M s/parc
BN 2023]],Tableau106[],4,FALSE)</f>
        <v>3.456</v>
      </c>
      <c r="F126" s="297" t="str">
        <f>VLOOKUP(Tableau254[[#This Row],[CA O&amp;M s/parc
BN 2023]],Tableau106[],5,FALSE)</f>
        <v>PIER</v>
      </c>
      <c r="G126" s="294" t="str">
        <f>VLOOKUP(Tableau254[[#This Row],[CA O&amp;M s/parc
BN 2023]],Tableau106[],7,FALSE)</f>
        <v>GROUPE</v>
      </c>
      <c r="H126" s="294" t="str">
        <f>VLOOKUP(Tableau254[[#This Row],[CA O&amp;M s/parc
BN 2023]],Tableau106[],6,FALSE)</f>
        <v>DOM</v>
      </c>
      <c r="I126" s="294" t="str">
        <f>VLOOKUP(Tableau254[[#This Row],[CA O&amp;M s/parc
BN 2023]],Tableau106[],9,FALSE)</f>
        <v>BéK</v>
      </c>
      <c r="J126" s="409">
        <v>5251.3455833333319</v>
      </c>
      <c r="K126" s="120">
        <v>537.52300000000002</v>
      </c>
      <c r="L126" s="21"/>
      <c r="M126" s="18">
        <f>Tableau254[[#This Row],[PROD en Mwh]]*Tableau254[[#This Row],[TARIF]]</f>
        <v>2822719.0319900825</v>
      </c>
    </row>
    <row r="127" spans="1:14">
      <c r="A127" s="299" t="s">
        <v>512</v>
      </c>
      <c r="B127" s="294" t="str">
        <f>VLOOKUP(Tableau254[[#This Row],[CA O&amp;M s/parc
BN 2023]],Tableau106[],3,FALSE)</f>
        <v>A551</v>
      </c>
      <c r="C127" s="294" t="str">
        <f>VLOOKUP(Tableau254[[#This Row],[CA O&amp;M s/parc
BN 2023]],Tableau106[],2,FALSE)</f>
        <v>FR59E02E</v>
      </c>
      <c r="D127" s="300" t="str">
        <f>VLOOKUP(Tableau254[[#This Row],[CA O&amp;M s/parc
BN 2023]],Tableau106[],8,FALSE)</f>
        <v>EOLIEN</v>
      </c>
      <c r="E127" s="295">
        <f>VLOOKUP(Tableau254[[#This Row],[CA O&amp;M s/parc
BN 2023]],Tableau106[],4,FALSE)</f>
        <v>12</v>
      </c>
      <c r="F127" s="297" t="str">
        <f>VLOOKUP(Tableau254[[#This Row],[CA O&amp;M s/parc
BN 2023]],Tableau106[],5,FALSE)</f>
        <v>PLES</v>
      </c>
      <c r="G127" s="294" t="str">
        <f>VLOOKUP(Tableau254[[#This Row],[CA O&amp;M s/parc
BN 2023]],Tableau106[],7,FALSE)</f>
        <v>ENDF</v>
      </c>
      <c r="H127" s="294" t="str">
        <f>VLOOKUP(Tableau254[[#This Row],[CA O&amp;M s/parc
BN 2023]],Tableau106[],6,FALSE)</f>
        <v>N</v>
      </c>
      <c r="I127" s="294" t="str">
        <f>VLOOKUP(Tableau254[[#This Row],[CA O&amp;M s/parc
BN 2023]],Tableau106[],9,FALSE)</f>
        <v>AnN</v>
      </c>
      <c r="J127" s="409">
        <v>27300.305326673461</v>
      </c>
      <c r="K127" s="120">
        <v>95.801000000000002</v>
      </c>
      <c r="L127" s="21"/>
      <c r="M127" s="18">
        <f>Tableau254[[#This Row],[PROD en Mwh]]*Tableau254[[#This Row],[TARIF]]</f>
        <v>2615396.5506006442</v>
      </c>
    </row>
    <row r="128" spans="1:14">
      <c r="A128" s="299" t="s">
        <v>556</v>
      </c>
      <c r="B128" s="294" t="str">
        <f>VLOOKUP(Tableau254[[#This Row],[CA O&amp;M s/parc
BN 2023]],Tableau106[],3,FALSE)</f>
        <v>A160</v>
      </c>
      <c r="C128" s="294" t="str">
        <f>VLOOKUP(Tableau254[[#This Row],[CA O&amp;M s/parc
BN 2023]],Tableau106[],2,FALSE)</f>
        <v>FR11E85E</v>
      </c>
      <c r="D128" s="300" t="str">
        <f>VLOOKUP(Tableau254[[#This Row],[CA O&amp;M s/parc
BN 2023]],Tableau106[],8,FALSE)</f>
        <v>EOLIEN</v>
      </c>
      <c r="E128" s="295">
        <f>VLOOKUP(Tableau254[[#This Row],[CA O&amp;M s/parc
BN 2023]],Tableau106[],4,FALSE)</f>
        <v>11.5</v>
      </c>
      <c r="F128" s="297" t="str">
        <f>VLOOKUP(Tableau254[[#This Row],[CA O&amp;M s/parc
BN 2023]],Tableau106[],5,FALSE)</f>
        <v>LUC2</v>
      </c>
      <c r="G128" s="294" t="str">
        <f>VLOOKUP(Tableau254[[#This Row],[CA O&amp;M s/parc
BN 2023]],Tableau106[],7,FALSE)</f>
        <v>FUTUREN</v>
      </c>
      <c r="H128" s="294" t="str">
        <f>VLOOKUP(Tableau254[[#This Row],[CA O&amp;M s/parc
BN 2023]],Tableau106[],6,FALSE)</f>
        <v>S</v>
      </c>
      <c r="I128" s="294" t="str">
        <f>VLOOKUP(Tableau254[[#This Row],[CA O&amp;M s/parc
BN 2023]],Tableau106[],9,FALSE)</f>
        <v>StE</v>
      </c>
      <c r="J128" s="409">
        <v>28426.825375</v>
      </c>
      <c r="K128" s="120">
        <v>96.259</v>
      </c>
      <c r="L128" s="21">
        <v>55057</v>
      </c>
      <c r="M128" s="18">
        <f>Tableau254[[#This Row],[PROD en Mwh]]*Tableau254[[#This Row],[TARIF]]</f>
        <v>2736337.7837721249</v>
      </c>
    </row>
    <row r="129" spans="1:14">
      <c r="A129" s="299" t="s">
        <v>560</v>
      </c>
      <c r="B129" s="294" t="str">
        <f>VLOOKUP(Tableau254[[#This Row],[CA O&amp;M s/parc
BN 2023]],Tableau106[],3,FALSE)</f>
        <v>A370</v>
      </c>
      <c r="C129" s="294" t="str">
        <f>VLOOKUP(Tableau254[[#This Row],[CA O&amp;M s/parc
BN 2023]],Tableau106[],2,FALSE)</f>
        <v>FR11E94E</v>
      </c>
      <c r="D129" s="300" t="str">
        <f>VLOOKUP(Tableau254[[#This Row],[CA O&amp;M s/parc
BN 2023]],Tableau106[],8,FALSE)</f>
        <v>EOLIEN</v>
      </c>
      <c r="E129" s="295">
        <f>VLOOKUP(Tableau254[[#This Row],[CA O&amp;M s/parc
BN 2023]],Tableau106[],4,FALSE)</f>
        <v>9.1999999999999993</v>
      </c>
      <c r="F129" s="297" t="str">
        <f>VLOOKUP(Tableau254[[#This Row],[CA O&amp;M s/parc
BN 2023]],Tableau106[],5,FALSE)</f>
        <v>PLGR</v>
      </c>
      <c r="G129" s="294" t="str">
        <f>VLOOKUP(Tableau254[[#This Row],[CA O&amp;M s/parc
BN 2023]],Tableau106[],7,FALSE)</f>
        <v>GROUPE</v>
      </c>
      <c r="H129" s="294" t="str">
        <f>VLOOKUP(Tableau254[[#This Row],[CA O&amp;M s/parc
BN 2023]],Tableau106[],6,FALSE)</f>
        <v>S</v>
      </c>
      <c r="I129" s="294" t="str">
        <f>VLOOKUP(Tableau254[[#This Row],[CA O&amp;M s/parc
BN 2023]],Tableau106[],9,FALSE)</f>
        <v>ThC</v>
      </c>
      <c r="J129" s="409">
        <v>26849.794272727268</v>
      </c>
      <c r="K129" s="120">
        <v>76.686000000000007</v>
      </c>
      <c r="L129" s="408">
        <v>0</v>
      </c>
      <c r="M129" s="18">
        <f>Tableau254[[#This Row],[PROD en Mwh]]*Tableau254[[#This Row],[TARIF]]</f>
        <v>2059003.3235983634</v>
      </c>
    </row>
    <row r="130" spans="1:14">
      <c r="A130" s="299" t="s">
        <v>456</v>
      </c>
      <c r="B130" s="294" t="str">
        <f>VLOOKUP(Tableau254[[#This Row],[CA O&amp;M s/parc
BN 2023]],Tableau106[],3,FALSE)</f>
        <v>F150</v>
      </c>
      <c r="C130" s="294" t="str">
        <f>VLOOKUP(Tableau254[[#This Row],[CA O&amp;M s/parc
BN 2023]],Tableau106[],2,FALSE)</f>
        <v>FR22E04E</v>
      </c>
      <c r="D130" s="300" t="str">
        <f>VLOOKUP(Tableau254[[#This Row],[CA O&amp;M s/parc
BN 2023]],Tableau106[],8,FALSE)</f>
        <v>EOLIEN</v>
      </c>
      <c r="E130" s="295">
        <f>VLOOKUP(Tableau254[[#This Row],[CA O&amp;M s/parc
BN 2023]],Tableau106[],4,FALSE)</f>
        <v>6.9</v>
      </c>
      <c r="F130" s="297" t="str">
        <f>VLOOKUP(Tableau254[[#This Row],[CA O&amp;M s/parc
BN 2023]],Tableau106[],5,FALSE)</f>
        <v>PLAT</v>
      </c>
      <c r="G130" s="294" t="str">
        <f>VLOOKUP(Tableau254[[#This Row],[CA O&amp;M s/parc
BN 2023]],Tableau106[],7,FALSE)</f>
        <v>FUTUREN</v>
      </c>
      <c r="H130" s="294" t="str">
        <f>VLOOKUP(Tableau254[[#This Row],[CA O&amp;M s/parc
BN 2023]],Tableau106[],6,FALSE)</f>
        <v>N</v>
      </c>
      <c r="I130" s="294" t="str">
        <f>VLOOKUP(Tableau254[[#This Row],[CA O&amp;M s/parc
BN 2023]],Tableau106[],9,FALSE)</f>
        <v>AlY</v>
      </c>
      <c r="J130" s="409">
        <v>10638.076854166666</v>
      </c>
      <c r="K130" s="120">
        <v>105.61</v>
      </c>
      <c r="L130" s="21"/>
      <c r="M130" s="18">
        <f>Tableau254[[#This Row],[PROD en Mwh]]*Tableau254[[#This Row],[TARIF]]</f>
        <v>1123487.2965685416</v>
      </c>
    </row>
    <row r="131" spans="1:14">
      <c r="A131" s="299" t="s">
        <v>521</v>
      </c>
      <c r="B131" s="294" t="str">
        <f>VLOOKUP(Tableau254[[#This Row],[CA O&amp;M s/parc
BN 2023]],Tableau106[],3,FALSE)</f>
        <v>A552</v>
      </c>
      <c r="C131" s="294" t="str">
        <f>VLOOKUP(Tableau254[[#This Row],[CA O&amp;M s/parc
BN 2023]],Tableau106[],2,FALSE)</f>
        <v>FR02E07E</v>
      </c>
      <c r="D131" s="300" t="str">
        <f>VLOOKUP(Tableau254[[#This Row],[CA O&amp;M s/parc
BN 2023]],Tableau106[],8,FALSE)</f>
        <v>EOLIEN</v>
      </c>
      <c r="E131" s="295">
        <f>VLOOKUP(Tableau254[[#This Row],[CA O&amp;M s/parc
BN 2023]],Tableau106[],4,FALSE)</f>
        <v>21</v>
      </c>
      <c r="F131" s="297" t="str">
        <f>VLOOKUP(Tableau254[[#This Row],[CA O&amp;M s/parc
BN 2023]],Tableau106[],5,FALSE)</f>
        <v>PLAN</v>
      </c>
      <c r="G131" s="294" t="str">
        <f>VLOOKUP(Tableau254[[#This Row],[CA O&amp;M s/parc
BN 2023]],Tableau106[],7,FALSE)</f>
        <v>ENDF</v>
      </c>
      <c r="H131" s="294" t="str">
        <f>VLOOKUP(Tableau254[[#This Row],[CA O&amp;M s/parc
BN 2023]],Tableau106[],6,FALSE)</f>
        <v>N</v>
      </c>
      <c r="I131" s="294" t="str">
        <f>VLOOKUP(Tableau254[[#This Row],[CA O&amp;M s/parc
BN 2023]],Tableau106[],9,FALSE)</f>
        <v>BoK</v>
      </c>
      <c r="J131" s="409">
        <v>52828.737999999998</v>
      </c>
      <c r="K131" s="120">
        <v>95.846000000000004</v>
      </c>
      <c r="L131" s="21"/>
      <c r="M131" s="18">
        <f>Tableau254[[#This Row],[PROD en Mwh]]*Tableau254[[#This Row],[TARIF]]</f>
        <v>5063423.2223479999</v>
      </c>
    </row>
    <row r="132" spans="1:14">
      <c r="A132" s="299" t="s">
        <v>566</v>
      </c>
      <c r="B132" s="294" t="str">
        <f>VLOOKUP(Tableau254[[#This Row],[CA O&amp;M s/parc
BN 2023]],Tableau106[],3,FALSE)</f>
        <v>A545</v>
      </c>
      <c r="C132" s="294" t="str">
        <f>VLOOKUP(Tableau254[[#This Row],[CA O&amp;M s/parc
BN 2023]],Tableau106[],2,FALSE)</f>
        <v>FR56E05E</v>
      </c>
      <c r="D132" s="300" t="str">
        <f>VLOOKUP(Tableau254[[#This Row],[CA O&amp;M s/parc
BN 2023]],Tableau106[],8,FALSE)</f>
        <v>EOLIEN</v>
      </c>
      <c r="E132" s="295">
        <f>VLOOKUP(Tableau254[[#This Row],[CA O&amp;M s/parc
BN 2023]],Tableau106[],4,FALSE)</f>
        <v>10</v>
      </c>
      <c r="F132" s="297" t="str">
        <f>VLOOKUP(Tableau254[[#This Row],[CA O&amp;M s/parc
BN 2023]],Tableau106[],5,FALSE)</f>
        <v>PLEU</v>
      </c>
      <c r="G132" s="294" t="str">
        <f>VLOOKUP(Tableau254[[#This Row],[CA O&amp;M s/parc
BN 2023]],Tableau106[],7,FALSE)</f>
        <v>EGM</v>
      </c>
      <c r="H132" s="294" t="str">
        <f>VLOOKUP(Tableau254[[#This Row],[CA O&amp;M s/parc
BN 2023]],Tableau106[],6,FALSE)</f>
        <v>N</v>
      </c>
      <c r="I132" s="294" t="str">
        <f>VLOOKUP(Tableau254[[#This Row],[CA O&amp;M s/parc
BN 2023]],Tableau106[],9,FALSE)</f>
        <v>MaA</v>
      </c>
      <c r="J132" s="409">
        <v>18473.27132362561</v>
      </c>
      <c r="K132" s="120">
        <v>124.61499999999999</v>
      </c>
      <c r="L132" s="21"/>
      <c r="M132" s="18">
        <f>Tableau254[[#This Row],[PROD en Mwh]]*Tableau254[[#This Row],[TARIF]]</f>
        <v>2302046.7059936053</v>
      </c>
    </row>
    <row r="133" spans="1:14">
      <c r="A133" s="299" t="s">
        <v>527</v>
      </c>
      <c r="B133" s="294" t="str">
        <f>VLOOKUP(Tableau254[[#This Row],[CA O&amp;M s/parc
BN 2023]],Tableau106[],3,FALSE)</f>
        <v>A150</v>
      </c>
      <c r="C133" s="294" t="str">
        <f>VLOOKUP(Tableau254[[#This Row],[CA O&amp;M s/parc
BN 2023]],Tableau106[],2,FALSE)</f>
        <v>FR51E01E</v>
      </c>
      <c r="D133" s="300" t="str">
        <f>VLOOKUP(Tableau254[[#This Row],[CA O&amp;M s/parc
BN 2023]],Tableau106[],8,FALSE)</f>
        <v>EOLIEN</v>
      </c>
      <c r="E133" s="295">
        <f>VLOOKUP(Tableau254[[#This Row],[CA O&amp;M s/parc
BN 2023]],Tableau106[],4,FALSE)</f>
        <v>12.3</v>
      </c>
      <c r="F133" s="297" t="str">
        <f>VLOOKUP(Tableau254[[#This Row],[CA O&amp;M s/parc
BN 2023]],Tableau106[],5,FALSE)</f>
        <v>PDC1, PDC2</v>
      </c>
      <c r="G133" s="294" t="str">
        <f>VLOOKUP(Tableau254[[#This Row],[CA O&amp;M s/parc
BN 2023]],Tableau106[],7,FALSE)</f>
        <v>FUTUREN</v>
      </c>
      <c r="H133" s="294" t="str">
        <f>VLOOKUP(Tableau254[[#This Row],[CA O&amp;M s/parc
BN 2023]],Tableau106[],6,FALSE)</f>
        <v>N</v>
      </c>
      <c r="I133" s="294" t="str">
        <f>VLOOKUP(Tableau254[[#This Row],[CA O&amp;M s/parc
BN 2023]],Tableau106[],9,FALSE)</f>
        <v>HuB</v>
      </c>
      <c r="J133" s="409">
        <v>23635.382000000001</v>
      </c>
      <c r="K133" s="120">
        <v>97.53</v>
      </c>
      <c r="L133" s="21"/>
      <c r="M133" s="18">
        <f>Tableau254[[#This Row],[PROD en Mwh]]*Tableau254[[#This Row],[TARIF]]</f>
        <v>2305158.8064600001</v>
      </c>
    </row>
    <row r="134" spans="1:14">
      <c r="A134" s="299" t="s">
        <v>588</v>
      </c>
      <c r="B134" s="294" t="str">
        <f>VLOOKUP(Tableau254[[#This Row],[CA O&amp;M s/parc
BN 2023]],Tableau106[],3,FALSE)</f>
        <v>A533</v>
      </c>
      <c r="C134" s="294" t="str">
        <f>VLOOKUP(Tableau254[[#This Row],[CA O&amp;M s/parc
BN 2023]],Tableau106[],2,FALSE)</f>
        <v>FR57E03E</v>
      </c>
      <c r="D134" s="300" t="str">
        <f>VLOOKUP(Tableau254[[#This Row],[CA O&amp;M s/parc
BN 2023]],Tableau106[],8,FALSE)</f>
        <v>EOLIEN</v>
      </c>
      <c r="E134" s="295">
        <f>VLOOKUP(Tableau254[[#This Row],[CA O&amp;M s/parc
BN 2023]],Tableau106[],4,FALSE)</f>
        <v>8</v>
      </c>
      <c r="F134" s="297" t="str">
        <f>VLOOKUP(Tableau254[[#This Row],[CA O&amp;M s/parc
BN 2023]],Tableau106[],5,FALSE)</f>
        <v>PDFE</v>
      </c>
      <c r="G134" s="294" t="str">
        <f>VLOOKUP(Tableau254[[#This Row],[CA O&amp;M s/parc
BN 2023]],Tableau106[],7,FALSE)</f>
        <v>GROUPE</v>
      </c>
      <c r="H134" s="294" t="str">
        <f>VLOOKUP(Tableau254[[#This Row],[CA O&amp;M s/parc
BN 2023]],Tableau106[],6,FALSE)</f>
        <v>N</v>
      </c>
      <c r="I134" s="294" t="str">
        <f>VLOOKUP(Tableau254[[#This Row],[CA O&amp;M s/parc
BN 2023]],Tableau106[],9,FALSE)</f>
        <v>AyB</v>
      </c>
      <c r="J134" s="409">
        <v>18016.001899999999</v>
      </c>
      <c r="K134" s="120">
        <v>197.23</v>
      </c>
      <c r="L134" s="21"/>
      <c r="M134" s="18">
        <f>Tableau254[[#This Row],[PROD en Mwh]]*Tableau254[[#This Row],[TARIF]]</f>
        <v>3553296.0547369998</v>
      </c>
    </row>
    <row r="135" spans="1:14">
      <c r="A135" s="299" t="s">
        <v>574</v>
      </c>
      <c r="B135" s="294" t="str">
        <f>VLOOKUP(Tableau254[[#This Row],[CA O&amp;M s/parc
BN 2023]],Tableau106[],3,FALSE)</f>
        <v>A041</v>
      </c>
      <c r="C135" s="294" t="str">
        <f>VLOOKUP(Tableau254[[#This Row],[CA O&amp;M s/parc
BN 2023]],Tableau106[],2,FALSE)</f>
        <v>FR97S92E</v>
      </c>
      <c r="D135" s="300" t="str">
        <f>VLOOKUP(Tableau254[[#This Row],[CA O&amp;M s/parc
BN 2023]],Tableau106[],8,FALSE)</f>
        <v>SOLAIRE DOM</v>
      </c>
      <c r="E135" s="295">
        <f>VLOOKUP(Tableau254[[#This Row],[CA O&amp;M s/parc
BN 2023]],Tableau106[],4,FALSE)</f>
        <v>4.5</v>
      </c>
      <c r="F135" s="297" t="str">
        <f>VLOOKUP(Tableau254[[#This Row],[CA O&amp;M s/parc
BN 2023]],Tableau106[],5,FALSE)</f>
        <v>POTI</v>
      </c>
      <c r="G135" s="294" t="str">
        <f>VLOOKUP(Tableau254[[#This Row],[CA O&amp;M s/parc
BN 2023]],Tableau106[],7,FALSE)</f>
        <v>GROUPE</v>
      </c>
      <c r="H135" s="294" t="str">
        <f>VLOOKUP(Tableau254[[#This Row],[CA O&amp;M s/parc
BN 2023]],Tableau106[],6,FALSE)</f>
        <v>DOM</v>
      </c>
      <c r="I135" s="294" t="str">
        <f>VLOOKUP(Tableau254[[#This Row],[CA O&amp;M s/parc
BN 2023]],Tableau106[],9,FALSE)</f>
        <v>DoJ</v>
      </c>
      <c r="J135" s="410">
        <v>3521.5182727272731</v>
      </c>
      <c r="K135" s="120">
        <v>511.67099999999999</v>
      </c>
      <c r="L135" s="21"/>
      <c r="M135" s="18">
        <f>Tableau254[[#This Row],[PROD en Mwh]]*Tableau254[[#This Row],[TARIF]]</f>
        <v>1801858.7761246366</v>
      </c>
      <c r="N135" t="s">
        <v>659</v>
      </c>
    </row>
    <row r="136" spans="1:14">
      <c r="A136" s="299" t="s">
        <v>286</v>
      </c>
      <c r="B136" s="294" t="str">
        <f>VLOOKUP(Tableau254[[#This Row],[CA O&amp;M s/parc
BN 2023]],Tableau106[],3,FALSE)</f>
        <v>A539</v>
      </c>
      <c r="C136" s="294" t="str">
        <f>VLOOKUP(Tableau254[[#This Row],[CA O&amp;M s/parc
BN 2023]],Tableau106[],2,FALSE)</f>
        <v>FR11E87E</v>
      </c>
      <c r="D136" s="300" t="str">
        <f>VLOOKUP(Tableau254[[#This Row],[CA O&amp;M s/parc
BN 2023]],Tableau106[],8,FALSE)</f>
        <v>EOLIEN</v>
      </c>
      <c r="E136" s="295">
        <f>VLOOKUP(Tableau254[[#This Row],[CA O&amp;M s/parc
BN 2023]],Tableau106[],4,FALSE)</f>
        <v>5.0999999999999996</v>
      </c>
      <c r="F136" s="297" t="str">
        <f>VLOOKUP(Tableau254[[#This Row],[CA O&amp;M s/parc
BN 2023]],Tableau106[],5,FALSE)</f>
        <v>POUZ</v>
      </c>
      <c r="G136" s="294" t="str">
        <f>VLOOKUP(Tableau254[[#This Row],[CA O&amp;M s/parc
BN 2023]],Tableau106[],7,FALSE)</f>
        <v>GROUPE</v>
      </c>
      <c r="H136" s="294" t="str">
        <f>VLOOKUP(Tableau254[[#This Row],[CA O&amp;M s/parc
BN 2023]],Tableau106[],6,FALSE)</f>
        <v>S</v>
      </c>
      <c r="I136" s="294" t="str">
        <f>VLOOKUP(Tableau254[[#This Row],[CA O&amp;M s/parc
BN 2023]],Tableau106[],9,FALSE)</f>
        <v>SaH</v>
      </c>
      <c r="J136" s="409">
        <v>13448.848111111112</v>
      </c>
      <c r="K136" s="120">
        <v>96.584000000000003</v>
      </c>
      <c r="L136" s="21">
        <v>0</v>
      </c>
      <c r="M136" s="18">
        <f>Tableau254[[#This Row],[PROD en Mwh]]*Tableau254[[#This Row],[TARIF]]</f>
        <v>1298943.5459635558</v>
      </c>
    </row>
    <row r="137" spans="1:14">
      <c r="A137" s="299" t="s">
        <v>577</v>
      </c>
      <c r="B137" s="294" t="str">
        <f>VLOOKUP(Tableau254[[#This Row],[CA O&amp;M s/parc
BN 2023]],Tableau106[],3,FALSE)</f>
        <v>A045</v>
      </c>
      <c r="C137" s="294" t="str">
        <f>VLOOKUP(Tableau254[[#This Row],[CA O&amp;M s/parc
BN 2023]],Tableau106[],2,FALSE)</f>
        <v>FR97S74E</v>
      </c>
      <c r="D137" s="300" t="str">
        <f>VLOOKUP(Tableau254[[#This Row],[CA O&amp;M s/parc
BN 2023]],Tableau106[],8,FALSE)</f>
        <v>SOLAIRE DOM</v>
      </c>
      <c r="E137" s="295">
        <f>VLOOKUP(Tableau254[[#This Row],[CA O&amp;M s/parc
BN 2023]],Tableau106[],4,FALSE)</f>
        <v>0.68200000000000005</v>
      </c>
      <c r="F137" s="297" t="str">
        <f>VLOOKUP(Tableau254[[#This Row],[CA O&amp;M s/parc
BN 2023]],Tableau106[],5,FALSE)</f>
        <v>PROV</v>
      </c>
      <c r="G137" s="294" t="str">
        <f>VLOOKUP(Tableau254[[#This Row],[CA O&amp;M s/parc
BN 2023]],Tableau106[],7,FALSE)</f>
        <v>GROUPE</v>
      </c>
      <c r="H137" s="294" t="str">
        <f>VLOOKUP(Tableau254[[#This Row],[CA O&amp;M s/parc
BN 2023]],Tableau106[],6,FALSE)</f>
        <v>DOM</v>
      </c>
      <c r="I137" s="294" t="str">
        <f>VLOOKUP(Tableau254[[#This Row],[CA O&amp;M s/parc
BN 2023]],Tableau106[],9,FALSE)</f>
        <v>DoJ</v>
      </c>
      <c r="J137" s="409">
        <v>705.62790909090904</v>
      </c>
      <c r="K137" s="120">
        <v>513.78099999999995</v>
      </c>
      <c r="L137" s="21"/>
      <c r="M137" s="18">
        <f>Tableau254[[#This Row],[PROD en Mwh]]*Tableau254[[#This Row],[TARIF]]</f>
        <v>362538.21276063629</v>
      </c>
    </row>
    <row r="138" spans="1:14">
      <c r="A138" s="299" t="s">
        <v>621</v>
      </c>
      <c r="B138" s="294" t="str">
        <f>VLOOKUP(Tableau254[[#This Row],[CA O&amp;M s/parc
BN 2023]],Tableau106[],3,FALSE)</f>
        <v>A540</v>
      </c>
      <c r="C138" s="294" t="str">
        <f>VLOOKUP(Tableau254[[#This Row],[CA O&amp;M s/parc
BN 2023]],Tableau106[],2,FALSE)</f>
        <v>FR55E05E</v>
      </c>
      <c r="D138" s="300" t="str">
        <f>VLOOKUP(Tableau254[[#This Row],[CA O&amp;M s/parc
BN 2023]],Tableau106[],8,FALSE)</f>
        <v>EOLIEN</v>
      </c>
      <c r="E138" s="295">
        <f>VLOOKUP(Tableau254[[#This Row],[CA O&amp;M s/parc
BN 2023]],Tableau106[],4,FALSE)</f>
        <v>12</v>
      </c>
      <c r="F138" s="297" t="str">
        <f>VLOOKUP(Tableau254[[#This Row],[CA O&amp;M s/parc
BN 2023]],Tableau106[],5,FALSE)</f>
        <v>RAM1</v>
      </c>
      <c r="G138" s="294" t="str">
        <f>VLOOKUP(Tableau254[[#This Row],[CA O&amp;M s/parc
BN 2023]],Tableau106[],7,FALSE)</f>
        <v>EGM</v>
      </c>
      <c r="H138" s="294" t="str">
        <f>VLOOKUP(Tableau254[[#This Row],[CA O&amp;M s/parc
BN 2023]],Tableau106[],6,FALSE)</f>
        <v>N</v>
      </c>
      <c r="I138" s="294" t="str">
        <f>VLOOKUP(Tableau254[[#This Row],[CA O&amp;M s/parc
BN 2023]],Tableau106[],9,FALSE)</f>
        <v>BaB</v>
      </c>
      <c r="J138" s="409">
        <v>21936.786496366705</v>
      </c>
      <c r="K138" s="120">
        <v>168.28037500000002</v>
      </c>
      <c r="L138" s="21">
        <v>60395</v>
      </c>
      <c r="M138" s="18">
        <f>Tableau254[[#This Row],[PROD en Mwh]]*Tableau254[[#This Row],[TARIF]]</f>
        <v>3691530.657903526</v>
      </c>
    </row>
    <row r="139" spans="1:14">
      <c r="A139" s="299" t="s">
        <v>624</v>
      </c>
      <c r="B139" s="294" t="str">
        <f>VLOOKUP(Tableau254[[#This Row],[CA O&amp;M s/parc
BN 2023]],Tableau106[],3,FALSE)</f>
        <v>A540</v>
      </c>
      <c r="C139" s="294" t="str">
        <f>VLOOKUP(Tableau254[[#This Row],[CA O&amp;M s/parc
BN 2023]],Tableau106[],2,FALSE)</f>
        <v>FR55E06E</v>
      </c>
      <c r="D139" s="300" t="str">
        <f>VLOOKUP(Tableau254[[#This Row],[CA O&amp;M s/parc
BN 2023]],Tableau106[],8,FALSE)</f>
        <v>EOLIEN</v>
      </c>
      <c r="E139" s="295">
        <f>VLOOKUP(Tableau254[[#This Row],[CA O&amp;M s/parc
BN 2023]],Tableau106[],4,FALSE)</f>
        <v>26</v>
      </c>
      <c r="F139" s="297" t="str">
        <f>VLOOKUP(Tableau254[[#This Row],[CA O&amp;M s/parc
BN 2023]],Tableau106[],5,FALSE)</f>
        <v>RAM2</v>
      </c>
      <c r="G139" s="294" t="str">
        <f>VLOOKUP(Tableau254[[#This Row],[CA O&amp;M s/parc
BN 2023]],Tableau106[],7,FALSE)</f>
        <v>EGM</v>
      </c>
      <c r="H139" s="294" t="str">
        <f>VLOOKUP(Tableau254[[#This Row],[CA O&amp;M s/parc
BN 2023]],Tableau106[],6,FALSE)</f>
        <v>N</v>
      </c>
      <c r="I139" s="294" t="str">
        <f>VLOOKUP(Tableau254[[#This Row],[CA O&amp;M s/parc
BN 2023]],Tableau106[],9,FALSE)</f>
        <v>BaB</v>
      </c>
      <c r="J139" s="409">
        <v>48670.136065390085</v>
      </c>
      <c r="K139" s="120">
        <v>123.73</v>
      </c>
      <c r="L139" s="21">
        <v>130856</v>
      </c>
      <c r="M139" s="18">
        <f>Tableau254[[#This Row],[PROD en Mwh]]*Tableau254[[#This Row],[TARIF]]</f>
        <v>6021955.9353707153</v>
      </c>
    </row>
    <row r="140" spans="1:14">
      <c r="A140" s="299" t="s">
        <v>511</v>
      </c>
      <c r="B140" s="294" t="str">
        <f>VLOOKUP(Tableau254[[#This Row],[CA O&amp;M s/parc
BN 2023]],Tableau106[],3,FALSE)</f>
        <v>A540</v>
      </c>
      <c r="C140" s="294" t="str">
        <f>VLOOKUP(Tableau254[[#This Row],[CA O&amp;M s/parc
BN 2023]],Tableau106[],2,FALSE)</f>
        <v>FR02E04E</v>
      </c>
      <c r="D140" s="300" t="str">
        <f>VLOOKUP(Tableau254[[#This Row],[CA O&amp;M s/parc
BN 2023]],Tableau106[],8,FALSE)</f>
        <v>EOLIEN</v>
      </c>
      <c r="E140" s="295">
        <f>VLOOKUP(Tableau254[[#This Row],[CA O&amp;M s/parc
BN 2023]],Tableau106[],4,FALSE)</f>
        <v>10</v>
      </c>
      <c r="F140" s="297" t="str">
        <f>VLOOKUP(Tableau254[[#This Row],[CA O&amp;M s/parc
BN 2023]],Tableau106[],5,FALSE)</f>
        <v>RIBE</v>
      </c>
      <c r="G140" s="294" t="str">
        <f>VLOOKUP(Tableau254[[#This Row],[CA O&amp;M s/parc
BN 2023]],Tableau106[],7,FALSE)</f>
        <v>EGM</v>
      </c>
      <c r="H140" s="294" t="str">
        <f>VLOOKUP(Tableau254[[#This Row],[CA O&amp;M s/parc
BN 2023]],Tableau106[],6,FALSE)</f>
        <v>N</v>
      </c>
      <c r="I140" s="294" t="str">
        <f>VLOOKUP(Tableau254[[#This Row],[CA O&amp;M s/parc
BN 2023]],Tableau106[],9,FALSE)</f>
        <v>NoS</v>
      </c>
      <c r="J140" s="409">
        <v>21509.261521722976</v>
      </c>
      <c r="K140" s="120">
        <v>168.1559</v>
      </c>
      <c r="L140" s="21"/>
      <c r="M140" s="18">
        <f>Tableau254[[#This Row],[PROD en Mwh]]*Tableau254[[#This Row],[TARIF]]</f>
        <v>3616909.2295206967</v>
      </c>
    </row>
    <row r="141" spans="1:14">
      <c r="A141" s="299" t="s">
        <v>617</v>
      </c>
      <c r="B141" s="294" t="str">
        <f>VLOOKUP(Tableau254[[#This Row],[CA O&amp;M s/parc
BN 2023]],Tableau106[],3,FALSE)</f>
        <v>A892</v>
      </c>
      <c r="C141" s="294" t="str">
        <f>VLOOKUP(Tableau254[[#This Row],[CA O&amp;M s/parc
BN 2023]],Tableau106[],2,FALSE)</f>
        <v>FR34E98E</v>
      </c>
      <c r="D141" s="300" t="str">
        <f>VLOOKUP(Tableau254[[#This Row],[CA O&amp;M s/parc
BN 2023]],Tableau106[],8,FALSE)</f>
        <v>EOLIEN</v>
      </c>
      <c r="E141" s="295">
        <f>VLOOKUP(Tableau254[[#This Row],[CA O&amp;M s/parc
BN 2023]],Tableau106[],4,FALSE)</f>
        <v>3.6</v>
      </c>
      <c r="F141" s="297" t="str">
        <f>VLOOKUP(Tableau254[[#This Row],[CA O&amp;M s/parc
BN 2023]],Tableau106[],5,FALSE)</f>
        <v>RIOL</v>
      </c>
      <c r="G141" s="294" t="str">
        <f>VLOOKUP(Tableau254[[#This Row],[CA O&amp;M s/parc
BN 2023]],Tableau106[],7,FALSE)</f>
        <v>GROUPE</v>
      </c>
      <c r="H141" s="294" t="str">
        <f>VLOOKUP(Tableau254[[#This Row],[CA O&amp;M s/parc
BN 2023]],Tableau106[],6,FALSE)</f>
        <v>S</v>
      </c>
      <c r="I141" s="294" t="str">
        <f>VLOOKUP(Tableau254[[#This Row],[CA O&amp;M s/parc
BN 2023]],Tableau106[],9,FALSE)</f>
        <v>SaH</v>
      </c>
      <c r="J141" s="409">
        <f>6969.70783333333-200</f>
        <v>6769.7078333333302</v>
      </c>
      <c r="K141" s="120">
        <v>123.99166666666666</v>
      </c>
      <c r="L141" s="21">
        <f>20000-444.78</f>
        <v>19555.22</v>
      </c>
      <c r="M141" s="18">
        <f>Tableau254[[#This Row],[PROD en Mwh]]*Tableau254[[#This Row],[TARIF]]</f>
        <v>839387.35710138851</v>
      </c>
    </row>
    <row r="142" spans="1:14">
      <c r="A142" s="299" t="s">
        <v>482</v>
      </c>
      <c r="B142" s="294" t="str">
        <f>VLOOKUP(Tableau254[[#This Row],[CA O&amp;M s/parc
BN 2023]],Tableau106[],3,FALSE)</f>
        <v>A418</v>
      </c>
      <c r="C142" s="294" t="str">
        <f>VLOOKUP(Tableau254[[#This Row],[CA O&amp;M s/parc
BN 2023]],Tableau106[],2,FALSE)</f>
        <v>FR87E03E</v>
      </c>
      <c r="D142" s="300" t="str">
        <f>VLOOKUP(Tableau254[[#This Row],[CA O&amp;M s/parc
BN 2023]],Tableau106[],8,FALSE)</f>
        <v>EOLIEN</v>
      </c>
      <c r="E142" s="295">
        <f>VLOOKUP(Tableau254[[#This Row],[CA O&amp;M s/parc
BN 2023]],Tableau106[],4,FALSE)</f>
        <v>15</v>
      </c>
      <c r="F142" s="297" t="str">
        <f>VLOOKUP(Tableau254[[#This Row],[CA O&amp;M s/parc
BN 2023]],Tableau106[],5,FALSE)</f>
        <v>ROUS</v>
      </c>
      <c r="G142" s="294" t="str">
        <f>VLOOKUP(Tableau254[[#This Row],[CA O&amp;M s/parc
BN 2023]],Tableau106[],7,FALSE)</f>
        <v>GROUPE</v>
      </c>
      <c r="H142" s="294" t="str">
        <f>VLOOKUP(Tableau254[[#This Row],[CA O&amp;M s/parc
BN 2023]],Tableau106[],6,FALSE)</f>
        <v>S</v>
      </c>
      <c r="I142" s="294" t="str">
        <f>VLOOKUP(Tableau254[[#This Row],[CA O&amp;M s/parc
BN 2023]],Tableau106[],9,FALSE)</f>
        <v>KéC</v>
      </c>
      <c r="J142" s="18">
        <v>29779.931</v>
      </c>
      <c r="K142" s="120">
        <v>79.033999999999992</v>
      </c>
      <c r="L142" s="21"/>
      <c r="M142" s="18">
        <f>Tableau254[[#This Row],[PROD en Mwh]]*Tableau254[[#This Row],[TARIF]]</f>
        <v>2353627.066654</v>
      </c>
    </row>
    <row r="143" spans="1:14">
      <c r="A143" s="299" t="s">
        <v>578</v>
      </c>
      <c r="B143" s="294" t="str">
        <f>VLOOKUP(Tableau254[[#This Row],[CA O&amp;M s/parc
BN 2023]],Tableau106[],3,FALSE)</f>
        <v>A544</v>
      </c>
      <c r="C143" s="294" t="str">
        <f>VLOOKUP(Tableau254[[#This Row],[CA O&amp;M s/parc
BN 2023]],Tableau106[],2,FALSE)</f>
        <v>FR55E07E</v>
      </c>
      <c r="D143" s="300" t="str">
        <f>VLOOKUP(Tableau254[[#This Row],[CA O&amp;M s/parc
BN 2023]],Tableau106[],8,FALSE)</f>
        <v>EOLIEN</v>
      </c>
      <c r="E143" s="295">
        <f>VLOOKUP(Tableau254[[#This Row],[CA O&amp;M s/parc
BN 2023]],Tableau106[],4,FALSE)</f>
        <v>12</v>
      </c>
      <c r="F143" s="297" t="str">
        <f>VLOOKUP(Tableau254[[#This Row],[CA O&amp;M s/parc
BN 2023]],Tableau106[],5,FALSE)</f>
        <v>STAU</v>
      </c>
      <c r="G143" s="294" t="str">
        <f>VLOOKUP(Tableau254[[#This Row],[CA O&amp;M s/parc
BN 2023]],Tableau106[],7,FALSE)</f>
        <v>EGM</v>
      </c>
      <c r="H143" s="294" t="str">
        <f>VLOOKUP(Tableau254[[#This Row],[CA O&amp;M s/parc
BN 2023]],Tableau106[],6,FALSE)</f>
        <v>N</v>
      </c>
      <c r="I143" s="294" t="str">
        <f>VLOOKUP(Tableau254[[#This Row],[CA O&amp;M s/parc
BN 2023]],Tableau106[],9,FALSE)</f>
        <v>NoS</v>
      </c>
      <c r="J143" s="409">
        <v>21210.114347967923</v>
      </c>
      <c r="K143" s="120">
        <v>118.03749999999998</v>
      </c>
      <c r="L143" s="21"/>
      <c r="M143" s="18">
        <f>Tableau254[[#This Row],[PROD en Mwh]]*Tableau254[[#This Row],[TARIF]]</f>
        <v>2503588.8723482634</v>
      </c>
    </row>
    <row r="144" spans="1:14">
      <c r="A144" s="299" t="s">
        <v>604</v>
      </c>
      <c r="B144" s="294" t="str">
        <f>VLOOKUP(Tableau254[[#This Row],[CA O&amp;M s/parc
BN 2023]],Tableau106[],3,FALSE)</f>
        <v>A066</v>
      </c>
      <c r="C144" s="294" t="str">
        <f>VLOOKUP(Tableau254[[#This Row],[CA O&amp;M s/parc
BN 2023]],Tableau106[],2,FALSE)</f>
        <v>FR97S99E</v>
      </c>
      <c r="D144" s="300" t="str">
        <f>VLOOKUP(Tableau254[[#This Row],[CA O&amp;M s/parc
BN 2023]],Tableau106[],8,FALSE)</f>
        <v>SOLAIRE DOM</v>
      </c>
      <c r="E144" s="295">
        <f>VLOOKUP(Tableau254[[#This Row],[CA O&amp;M s/parc
BN 2023]],Tableau106[],4,FALSE)</f>
        <v>3.6</v>
      </c>
      <c r="F144" s="297" t="str">
        <f>VLOOKUP(Tableau254[[#This Row],[CA O&amp;M s/parc
BN 2023]],Tableau106[],5,FALSE)</f>
        <v>SFR1</v>
      </c>
      <c r="G144" s="294" t="str">
        <f>VLOOKUP(Tableau254[[#This Row],[CA O&amp;M s/parc
BN 2023]],Tableau106[],7,FALSE)</f>
        <v>GROUPE</v>
      </c>
      <c r="H144" s="294" t="str">
        <f>VLOOKUP(Tableau254[[#This Row],[CA O&amp;M s/parc
BN 2023]],Tableau106[],6,FALSE)</f>
        <v>DOM</v>
      </c>
      <c r="I144" s="294" t="str">
        <f>VLOOKUP(Tableau254[[#This Row],[CA O&amp;M s/parc
BN 2023]],Tableau106[],9,FALSE)</f>
        <v>DoJ</v>
      </c>
      <c r="J144" s="409">
        <v>4827.023909090909</v>
      </c>
      <c r="K144" s="120">
        <v>416.68799999999999</v>
      </c>
      <c r="L144" s="21"/>
      <c r="M144" s="18">
        <f>Tableau254[[#This Row],[PROD en Mwh]]*Tableau254[[#This Row],[TARIF]]</f>
        <v>2011362.9386312726</v>
      </c>
    </row>
    <row r="145" spans="1:14">
      <c r="A145" s="299" t="s">
        <v>612</v>
      </c>
      <c r="B145" s="294" t="str">
        <f>VLOOKUP(Tableau254[[#This Row],[CA O&amp;M s/parc
BN 2023]],Tableau106[],3,FALSE)</f>
        <v>A540</v>
      </c>
      <c r="C145" s="294" t="str">
        <f>VLOOKUP(Tableau254[[#This Row],[CA O&amp;M s/parc
BN 2023]],Tableau106[],2,FALSE)</f>
        <v>FR56E07E</v>
      </c>
      <c r="D145" s="300" t="str">
        <f>VLOOKUP(Tableau254[[#This Row],[CA O&amp;M s/parc
BN 2023]],Tableau106[],8,FALSE)</f>
        <v>EOLIEN</v>
      </c>
      <c r="E145" s="295">
        <f>VLOOKUP(Tableau254[[#This Row],[CA O&amp;M s/parc
BN 2023]],Tableau106[],4,FALSE)</f>
        <v>8</v>
      </c>
      <c r="F145" s="297" t="str">
        <f>VLOOKUP(Tableau254[[#This Row],[CA O&amp;M s/parc
BN 2023]],Tableau106[],5,FALSE)</f>
        <v>STME</v>
      </c>
      <c r="G145" s="294" t="str">
        <f>VLOOKUP(Tableau254[[#This Row],[CA O&amp;M s/parc
BN 2023]],Tableau106[],7,FALSE)</f>
        <v>EGM</v>
      </c>
      <c r="H145" s="294" t="str">
        <f>VLOOKUP(Tableau254[[#This Row],[CA O&amp;M s/parc
BN 2023]],Tableau106[],6,FALSE)</f>
        <v>N</v>
      </c>
      <c r="I145" s="294" t="str">
        <f>VLOOKUP(Tableau254[[#This Row],[CA O&amp;M s/parc
BN 2023]],Tableau106[],9,FALSE)</f>
        <v>DeN</v>
      </c>
      <c r="J145" s="409">
        <v>11172.222513460983</v>
      </c>
      <c r="K145" s="120">
        <v>124.59333333333332</v>
      </c>
      <c r="L145" s="21">
        <v>40064.32</v>
      </c>
      <c r="M145" s="18">
        <f>Tableau254[[#This Row],[PROD en Mwh]]*Tableau254[[#This Row],[TARIF]]</f>
        <v>1391984.4436938153</v>
      </c>
    </row>
    <row r="146" spans="1:14">
      <c r="A146" s="299" t="s">
        <v>589</v>
      </c>
      <c r="B146" s="294" t="str">
        <f>VLOOKUP(Tableau254[[#This Row],[CA O&amp;M s/parc
BN 2023]],Tableau106[],3,FALSE)</f>
        <v>A135</v>
      </c>
      <c r="C146" s="294" t="str">
        <f>VLOOKUP(Tableau254[[#This Row],[CA O&amp;M s/parc
BN 2023]],Tableau106[],2,FALSE)</f>
        <v>FR04S98E</v>
      </c>
      <c r="D146" s="300" t="str">
        <f>VLOOKUP(Tableau254[[#This Row],[CA O&amp;M s/parc
BN 2023]],Tableau106[],8,FALSE)</f>
        <v>SOLAIRE</v>
      </c>
      <c r="E146" s="295">
        <f>VLOOKUP(Tableau254[[#This Row],[CA O&amp;M s/parc
BN 2023]],Tableau106[],4,FALSE)</f>
        <v>5.2350000000000003</v>
      </c>
      <c r="F146" s="297" t="str">
        <f>VLOOKUP(Tableau254[[#This Row],[CA O&amp;M s/parc
BN 2023]],Tableau106[],5,FALSE)</f>
        <v>STUL</v>
      </c>
      <c r="G146" s="294" t="str">
        <f>VLOOKUP(Tableau254[[#This Row],[CA O&amp;M s/parc
BN 2023]],Tableau106[],7,FALSE)</f>
        <v>GROUPE</v>
      </c>
      <c r="H146" s="294" t="str">
        <f>VLOOKUP(Tableau254[[#This Row],[CA O&amp;M s/parc
BN 2023]],Tableau106[],6,FALSE)</f>
        <v>S</v>
      </c>
      <c r="I146" s="294" t="str">
        <f>VLOOKUP(Tableau254[[#This Row],[CA O&amp;M s/parc
BN 2023]],Tableau106[],9,FALSE)</f>
        <v>ArB</v>
      </c>
      <c r="J146" s="409">
        <v>7344.8464999999987</v>
      </c>
      <c r="K146" s="120">
        <v>394.62099999999998</v>
      </c>
      <c r="L146" s="21"/>
      <c r="M146" s="18">
        <f>Tableau254[[#This Row],[PROD en Mwh]]*Tableau254[[#This Row],[TARIF]]</f>
        <v>2898430.6706764991</v>
      </c>
    </row>
    <row r="147" spans="1:14">
      <c r="A147" s="299" t="s">
        <v>607</v>
      </c>
      <c r="B147" s="294" t="str">
        <f>VLOOKUP(Tableau254[[#This Row],[CA O&amp;M s/parc
BN 2023]],Tableau106[],3,FALSE)</f>
        <v>A353</v>
      </c>
      <c r="C147" s="294" t="str">
        <f>VLOOKUP(Tableau254[[#This Row],[CA O&amp;M s/parc
BN 2023]],Tableau106[],2,FALSE)</f>
        <v>FR34S01E</v>
      </c>
      <c r="D147" s="300" t="str">
        <f>VLOOKUP(Tableau254[[#This Row],[CA O&amp;M s/parc
BN 2023]],Tableau106[],8,FALSE)</f>
        <v>SOLAIRE</v>
      </c>
      <c r="E147" s="295">
        <f>VLOOKUP(Tableau254[[#This Row],[CA O&amp;M s/parc
BN 2023]],Tableau106[],4,FALSE)</f>
        <v>10.664</v>
      </c>
      <c r="F147" s="297" t="str">
        <f>VLOOKUP(Tableau254[[#This Row],[CA O&amp;M s/parc
BN 2023]],Tableau106[],5,FALSE)</f>
        <v>SPAR</v>
      </c>
      <c r="G147" s="294" t="str">
        <f>VLOOKUP(Tableau254[[#This Row],[CA O&amp;M s/parc
BN 2023]],Tableau106[],7,FALSE)</f>
        <v>GROUPE</v>
      </c>
      <c r="H147" s="294" t="str">
        <f>VLOOKUP(Tableau254[[#This Row],[CA O&amp;M s/parc
BN 2023]],Tableau106[],6,FALSE)</f>
        <v>S</v>
      </c>
      <c r="I147" s="294" t="str">
        <f>VLOOKUP(Tableau254[[#This Row],[CA O&amp;M s/parc
BN 2023]],Tableau106[],9,FALSE)</f>
        <v>BaA</v>
      </c>
      <c r="J147" s="409">
        <v>15088.637666666666</v>
      </c>
      <c r="K147" s="120">
        <v>59.140999999999998</v>
      </c>
      <c r="L147" s="21"/>
      <c r="M147" s="18">
        <f>Tableau254[[#This Row],[PROD en Mwh]]*Tableau254[[#This Row],[TARIF]]</f>
        <v>892357.12024433329</v>
      </c>
    </row>
    <row r="148" spans="1:14">
      <c r="A148" s="299" t="s">
        <v>317</v>
      </c>
      <c r="B148" s="294" t="str">
        <f>VLOOKUP(Tableau254[[#This Row],[CA O&amp;M s/parc
BN 2023]],Tableau106[],3,FALSE)</f>
        <v>F040</v>
      </c>
      <c r="C148" s="294" t="str">
        <f>VLOOKUP(Tableau254[[#This Row],[CA O&amp;M s/parc
BN 2023]],Tableau106[],2,FALSE)</f>
        <v>FR14E04E</v>
      </c>
      <c r="D148" s="300" t="str">
        <f>VLOOKUP(Tableau254[[#This Row],[CA O&amp;M s/parc
BN 2023]],Tableau106[],8,FALSE)</f>
        <v>EOLIEN</v>
      </c>
      <c r="E148" s="295">
        <f>VLOOKUP(Tableau254[[#This Row],[CA O&amp;M s/parc
BN 2023]],Tableau106[],4,FALSE)</f>
        <v>8</v>
      </c>
      <c r="F148" s="297" t="str">
        <f>VLOOKUP(Tableau254[[#This Row],[CA O&amp;M s/parc
BN 2023]],Tableau106[],5,FALSE)</f>
        <v>SALL</v>
      </c>
      <c r="G148" s="294" t="str">
        <f>VLOOKUP(Tableau254[[#This Row],[CA O&amp;M s/parc
BN 2023]],Tableau106[],7,FALSE)</f>
        <v>FUTUREN</v>
      </c>
      <c r="H148" s="294" t="str">
        <f>VLOOKUP(Tableau254[[#This Row],[CA O&amp;M s/parc
BN 2023]],Tableau106[],6,FALSE)</f>
        <v>N</v>
      </c>
      <c r="I148" s="294" t="str">
        <f>VLOOKUP(Tableau254[[#This Row],[CA O&amp;M s/parc
BN 2023]],Tableau106[],9,FALSE)</f>
        <v>MéS</v>
      </c>
      <c r="J148" s="409">
        <v>16156.697</v>
      </c>
      <c r="K148" s="120">
        <v>197.08349999999999</v>
      </c>
      <c r="L148" s="21"/>
      <c r="M148" s="18">
        <f>Tableau254[[#This Row],[PROD en Mwh]]*Tableau254[[#This Row],[TARIF]]</f>
        <v>3184218.3931994997</v>
      </c>
    </row>
    <row r="149" spans="1:14">
      <c r="A149" s="299" t="s">
        <v>591</v>
      </c>
      <c r="B149" s="294" t="str">
        <f>VLOOKUP(Tableau254[[#This Row],[CA O&amp;M s/parc
BN 2023]],Tableau106[],3,FALSE)</f>
        <v>A272</v>
      </c>
      <c r="C149" s="294" t="str">
        <f>VLOOKUP(Tableau254[[#This Row],[CA O&amp;M s/parc
BN 2023]],Tableau106[],2,FALSE)</f>
        <v>FR43S03E</v>
      </c>
      <c r="D149" s="300" t="str">
        <f>VLOOKUP(Tableau254[[#This Row],[CA O&amp;M s/parc
BN 2023]],Tableau106[],8,FALSE)</f>
        <v>SOLAIRE</v>
      </c>
      <c r="E149" s="295">
        <f>VLOOKUP(Tableau254[[#This Row],[CA O&amp;M s/parc
BN 2023]],Tableau106[],4,FALSE)</f>
        <v>4.2</v>
      </c>
      <c r="F149" s="297" t="str">
        <f>VLOOKUP(Tableau254[[#This Row],[CA O&amp;M s/parc
BN 2023]],Tableau106[],5,FALSE)</f>
        <v>SALZ</v>
      </c>
      <c r="G149" s="294" t="str">
        <f>VLOOKUP(Tableau254[[#This Row],[CA O&amp;M s/parc
BN 2023]],Tableau106[],7,FALSE)</f>
        <v>GROUPE</v>
      </c>
      <c r="H149" s="294" t="str">
        <f>VLOOKUP(Tableau254[[#This Row],[CA O&amp;M s/parc
BN 2023]],Tableau106[],6,FALSE)</f>
        <v>S</v>
      </c>
      <c r="I149" s="294" t="str">
        <f>VLOOKUP(Tableau254[[#This Row],[CA O&amp;M s/parc
BN 2023]],Tableau106[],9,FALSE)</f>
        <v>ArB</v>
      </c>
      <c r="J149" s="409">
        <v>4819.7960000000003</v>
      </c>
      <c r="K149" s="120">
        <v>66.670999999999992</v>
      </c>
      <c r="L149" s="21"/>
      <c r="M149" s="18">
        <f>Tableau254[[#This Row],[PROD en Mwh]]*Tableau254[[#This Row],[TARIF]]</f>
        <v>321340.61911599996</v>
      </c>
    </row>
    <row r="150" spans="1:14">
      <c r="A150" s="299" t="s">
        <v>592</v>
      </c>
      <c r="B150" s="294" t="str">
        <f>VLOOKUP(Tableau254[[#This Row],[CA O&amp;M s/parc
BN 2023]],Tableau106[],3,FALSE)</f>
        <v>A257</v>
      </c>
      <c r="C150" s="294" t="str">
        <f>VLOOKUP(Tableau254[[#This Row],[CA O&amp;M s/parc
BN 2023]],Tableau106[],2,FALSE)</f>
        <v>FR01S03E</v>
      </c>
      <c r="D150" s="300" t="str">
        <f>VLOOKUP(Tableau254[[#This Row],[CA O&amp;M s/parc
BN 2023]],Tableau106[],8,FALSE)</f>
        <v>SOLAIRE</v>
      </c>
      <c r="E150" s="295">
        <f>VLOOKUP(Tableau254[[#This Row],[CA O&amp;M s/parc
BN 2023]],Tableau106[],4,FALSE)</f>
        <v>3.6</v>
      </c>
      <c r="F150" s="297" t="str">
        <f>VLOOKUP(Tableau254[[#This Row],[CA O&amp;M s/parc
BN 2023]],Tableau106[],5,FALSE)</f>
        <v>SAMO</v>
      </c>
      <c r="G150" s="294" t="str">
        <f>VLOOKUP(Tableau254[[#This Row],[CA O&amp;M s/parc
BN 2023]],Tableau106[],7,FALSE)</f>
        <v>GROUPE</v>
      </c>
      <c r="H150" s="294" t="str">
        <f>VLOOKUP(Tableau254[[#This Row],[CA O&amp;M s/parc
BN 2023]],Tableau106[],6,FALSE)</f>
        <v>S</v>
      </c>
      <c r="I150" s="294" t="str">
        <f>VLOOKUP(Tableau254[[#This Row],[CA O&amp;M s/parc
BN 2023]],Tableau106[],9,FALSE)</f>
        <v>ArB</v>
      </c>
      <c r="J150" s="409">
        <v>3657.97</v>
      </c>
      <c r="K150" s="120">
        <v>70.73</v>
      </c>
      <c r="L150" s="21"/>
      <c r="M150" s="18">
        <f>Tableau254[[#This Row],[PROD en Mwh]]*Tableau254[[#This Row],[TARIF]]</f>
        <v>258728.2181</v>
      </c>
    </row>
    <row r="151" spans="1:14">
      <c r="A151" s="299" t="s">
        <v>593</v>
      </c>
      <c r="B151" s="294" t="str">
        <f>VLOOKUP(Tableau254[[#This Row],[CA O&amp;M s/parc
BN 2023]],Tableau106[],3,FALSE)</f>
        <v>A258</v>
      </c>
      <c r="C151" s="294" t="str">
        <f>VLOOKUP(Tableau254[[#This Row],[CA O&amp;M s/parc
BN 2023]],Tableau106[],2,FALSE)</f>
        <v>FR49S01E</v>
      </c>
      <c r="D151" s="300" t="str">
        <f>VLOOKUP(Tableau254[[#This Row],[CA O&amp;M s/parc
BN 2023]],Tableau106[],8,FALSE)</f>
        <v>SOLAIRE</v>
      </c>
      <c r="E151" s="295">
        <f>VLOOKUP(Tableau254[[#This Row],[CA O&amp;M s/parc
BN 2023]],Tableau106[],4,FALSE)</f>
        <v>10.3</v>
      </c>
      <c r="F151" s="297" t="str">
        <f>VLOOKUP(Tableau254[[#This Row],[CA O&amp;M s/parc
BN 2023]],Tableau106[],5,FALSE)</f>
        <v>SAUM</v>
      </c>
      <c r="G151" s="294" t="str">
        <f>VLOOKUP(Tableau254[[#This Row],[CA O&amp;M s/parc
BN 2023]],Tableau106[],7,FALSE)</f>
        <v>GROUPE</v>
      </c>
      <c r="H151" s="294" t="str">
        <f>VLOOKUP(Tableau254[[#This Row],[CA O&amp;M s/parc
BN 2023]],Tableau106[],6,FALSE)</f>
        <v>N</v>
      </c>
      <c r="I151" s="294" t="str">
        <f>VLOOKUP(Tableau254[[#This Row],[CA O&amp;M s/parc
BN 2023]],Tableau106[],9,FALSE)</f>
        <v>ZaA</v>
      </c>
      <c r="J151" s="409">
        <v>11456.148999999999</v>
      </c>
      <c r="K151" s="120">
        <v>170.94416666666666</v>
      </c>
      <c r="L151" s="21"/>
      <c r="M151" s="18">
        <f>Tableau254[[#This Row],[PROD en Mwh]]*Tableau254[[#This Row],[TARIF]]</f>
        <v>1958361.8440141664</v>
      </c>
    </row>
    <row r="152" spans="1:14" ht="12" customHeight="1">
      <c r="A152" s="299" t="s">
        <v>517</v>
      </c>
      <c r="B152" s="294" t="str">
        <f>VLOOKUP(Tableau254[[#This Row],[CA O&amp;M s/parc
BN 2023]],Tableau106[],3,FALSE)</f>
        <v>A125</v>
      </c>
      <c r="C152" s="294" t="str">
        <f>VLOOKUP(Tableau254[[#This Row],[CA O&amp;M s/parc
BN 2023]],Tableau106[],2,FALSE)</f>
        <v>FR81E99E</v>
      </c>
      <c r="D152" s="300" t="str">
        <f>VLOOKUP(Tableau254[[#This Row],[CA O&amp;M s/parc
BN 2023]],Tableau106[],8,FALSE)</f>
        <v>EOLIEN</v>
      </c>
      <c r="E152" s="295">
        <f>VLOOKUP(Tableau254[[#This Row],[CA O&amp;M s/parc
BN 2023]],Tableau106[],4,FALSE)</f>
        <v>12</v>
      </c>
      <c r="F152" s="297" t="str">
        <f>VLOOKUP(Tableau254[[#This Row],[CA O&amp;M s/parc
BN 2023]],Tableau106[],5,FALSE)</f>
        <v>SAUV</v>
      </c>
      <c r="G152" s="294" t="str">
        <f>VLOOKUP(Tableau254[[#This Row],[CA O&amp;M s/parc
BN 2023]],Tableau106[],7,FALSE)</f>
        <v>GROUPE</v>
      </c>
      <c r="H152" s="294" t="str">
        <f>VLOOKUP(Tableau254[[#This Row],[CA O&amp;M s/parc
BN 2023]],Tableau106[],6,FALSE)</f>
        <v>S</v>
      </c>
      <c r="I152" s="294" t="str">
        <f>VLOOKUP(Tableau254[[#This Row],[CA O&amp;M s/parc
BN 2023]],Tableau106[],9,FALSE)</f>
        <v>ThC</v>
      </c>
      <c r="J152" s="409">
        <v>36570.752692307695</v>
      </c>
      <c r="K152" s="120">
        <v>53.5</v>
      </c>
      <c r="L152" s="21">
        <v>417665</v>
      </c>
      <c r="M152" s="18">
        <f>Tableau254[[#This Row],[PROD en Mwh]]*Tableau254[[#This Row],[TARIF]]</f>
        <v>1956535.2690384616</v>
      </c>
      <c r="N152" s="407" t="s">
        <v>660</v>
      </c>
    </row>
    <row r="153" spans="1:14">
      <c r="A153" s="299" t="s">
        <v>462</v>
      </c>
      <c r="B153" s="294" t="str">
        <f>VLOOKUP(Tableau254[[#This Row],[CA O&amp;M s/parc
BN 2023]],Tableau106[],3,FALSE)</f>
        <v>A080</v>
      </c>
      <c r="C153" s="294" t="str">
        <f>VLOOKUP(Tableau254[[#This Row],[CA O&amp;M s/parc
BN 2023]],Tableau106[],2,FALSE)</f>
        <v>FR12E98E</v>
      </c>
      <c r="D153" s="300" t="str">
        <f>VLOOKUP(Tableau254[[#This Row],[CA O&amp;M s/parc
BN 2023]],Tableau106[],8,FALSE)</f>
        <v>EOLIEN</v>
      </c>
      <c r="E153" s="295">
        <f>VLOOKUP(Tableau254[[#This Row],[CA O&amp;M s/parc
BN 2023]],Tableau106[],4,FALSE)</f>
        <v>60</v>
      </c>
      <c r="F153" s="297" t="str">
        <f>VLOOKUP(Tableau254[[#This Row],[CA O&amp;M s/parc
BN 2023]],Tableau106[],5,FALSE)</f>
        <v>SACU</v>
      </c>
      <c r="G153" s="294" t="str">
        <f>VLOOKUP(Tableau254[[#This Row],[CA O&amp;M s/parc
BN 2023]],Tableau106[],7,FALSE)</f>
        <v>GROUPE</v>
      </c>
      <c r="H153" s="294" t="str">
        <f>VLOOKUP(Tableau254[[#This Row],[CA O&amp;M s/parc
BN 2023]],Tableau106[],6,FALSE)</f>
        <v>N</v>
      </c>
      <c r="I153" s="294" t="str">
        <f>VLOOKUP(Tableau254[[#This Row],[CA O&amp;M s/parc
BN 2023]],Tableau106[],9,FALSE)</f>
        <v>AuE</v>
      </c>
      <c r="J153" s="410">
        <v>117337.09799999998</v>
      </c>
      <c r="K153" s="120">
        <v>124.71</v>
      </c>
      <c r="L153" s="21"/>
      <c r="M153" s="18">
        <f>Tableau254[[#This Row],[PROD en Mwh]]*Tableau254[[#This Row],[TARIF]]</f>
        <v>14633109.491579996</v>
      </c>
    </row>
    <row r="154" spans="1:14">
      <c r="A154" s="299" t="s">
        <v>460</v>
      </c>
      <c r="B154" s="294" t="str">
        <f>VLOOKUP(Tableau254[[#This Row],[CA O&amp;M s/parc
BN 2023]],Tableau106[],3,FALSE)</f>
        <v>A081</v>
      </c>
      <c r="C154" s="294" t="str">
        <f>VLOOKUP(Tableau254[[#This Row],[CA O&amp;M s/parc
BN 2023]],Tableau106[],2,FALSE)</f>
        <v>FR12E97E</v>
      </c>
      <c r="D154" s="300" t="str">
        <f>VLOOKUP(Tableau254[[#This Row],[CA O&amp;M s/parc
BN 2023]],Tableau106[],8,FALSE)</f>
        <v>EOLIEN</v>
      </c>
      <c r="E154" s="295">
        <f>VLOOKUP(Tableau254[[#This Row],[CA O&amp;M s/parc
BN 2023]],Tableau106[],4,FALSE)</f>
        <v>9</v>
      </c>
      <c r="F154" s="297" t="str">
        <f>VLOOKUP(Tableau254[[#This Row],[CA O&amp;M s/parc
BN 2023]],Tableau106[],5,FALSE)</f>
        <v>SAPN</v>
      </c>
      <c r="G154" s="294" t="str">
        <f>VLOOKUP(Tableau254[[#This Row],[CA O&amp;M s/parc
BN 2023]],Tableau106[],7,FALSE)</f>
        <v>GROUPE</v>
      </c>
      <c r="H154" s="294" t="str">
        <f>VLOOKUP(Tableau254[[#This Row],[CA O&amp;M s/parc
BN 2023]],Tableau106[],6,FALSE)</f>
        <v>N</v>
      </c>
      <c r="I154" s="294" t="str">
        <f>VLOOKUP(Tableau254[[#This Row],[CA O&amp;M s/parc
BN 2023]],Tableau106[],9,FALSE)</f>
        <v>AuE</v>
      </c>
      <c r="J154" s="409">
        <v>17230.573454545458</v>
      </c>
      <c r="K154" s="120">
        <v>124.71</v>
      </c>
      <c r="L154" s="21"/>
      <c r="M154" s="18">
        <f>Tableau254[[#This Row],[PROD en Mwh]]*Tableau254[[#This Row],[TARIF]]</f>
        <v>2148824.8155163638</v>
      </c>
      <c r="N154" t="s">
        <v>490</v>
      </c>
    </row>
    <row r="155" spans="1:14">
      <c r="A155" s="299" t="s">
        <v>339</v>
      </c>
      <c r="B155" s="294" t="str">
        <f>VLOOKUP(Tableau254[[#This Row],[CA O&amp;M s/parc
BN 2023]],Tableau106[],3,FALSE)</f>
        <v>F033</v>
      </c>
      <c r="C155" s="294" t="str">
        <f>VLOOKUP(Tableau254[[#This Row],[CA O&amp;M s/parc
BN 2023]],Tableau106[],2,FALSE)</f>
        <v>FR56E10E</v>
      </c>
      <c r="D155" s="300" t="str">
        <f>VLOOKUP(Tableau254[[#This Row],[CA O&amp;M s/parc
BN 2023]],Tableau106[],8,FALSE)</f>
        <v>EOLIEN</v>
      </c>
      <c r="E155" s="295">
        <f>VLOOKUP(Tableau254[[#This Row],[CA O&amp;M s/parc
BN 2023]],Tableau106[],4,FALSE)</f>
        <v>9</v>
      </c>
      <c r="F155" s="297" t="str">
        <f>VLOOKUP(Tableau254[[#This Row],[CA O&amp;M s/parc
BN 2023]],Tableau106[],5,FALSE)</f>
        <v>SAMI</v>
      </c>
      <c r="G155" s="294" t="str">
        <f>VLOOKUP(Tableau254[[#This Row],[CA O&amp;M s/parc
BN 2023]],Tableau106[],7,FALSE)</f>
        <v>FUTUREN</v>
      </c>
      <c r="H155" s="294" t="str">
        <f>VLOOKUP(Tableau254[[#This Row],[CA O&amp;M s/parc
BN 2023]],Tableau106[],6,FALSE)</f>
        <v>N</v>
      </c>
      <c r="I155" s="294" t="str">
        <f>VLOOKUP(Tableau254[[#This Row],[CA O&amp;M s/parc
BN 2023]],Tableau106[],9,FALSE)</f>
        <v>AnN</v>
      </c>
      <c r="J155" s="409">
        <v>16150.1749375</v>
      </c>
      <c r="K155" s="120">
        <v>197.264625</v>
      </c>
      <c r="L155" s="21">
        <f>61281.25+41487.6</f>
        <v>102768.85</v>
      </c>
      <c r="M155" s="18">
        <f>Tableau254[[#This Row],[PROD en Mwh]]*Tableau254[[#This Row],[TARIF]]</f>
        <v>3185858.2027303358</v>
      </c>
    </row>
    <row r="156" spans="1:14">
      <c r="A156" s="299" t="s">
        <v>342</v>
      </c>
      <c r="B156" s="294" t="str">
        <f>VLOOKUP(Tableau254[[#This Row],[CA O&amp;M s/parc
BN 2023]],Tableau106[],3,FALSE)</f>
        <v>A540</v>
      </c>
      <c r="C156" s="294" t="str">
        <f>VLOOKUP(Tableau254[[#This Row],[CA O&amp;M s/parc
BN 2023]],Tableau106[],2,FALSE)</f>
        <v>FR02E05E</v>
      </c>
      <c r="D156" s="300" t="str">
        <f>VLOOKUP(Tableau254[[#This Row],[CA O&amp;M s/parc
BN 2023]],Tableau106[],8,FALSE)</f>
        <v>EOLIEN</v>
      </c>
      <c r="E156" s="295">
        <f>VLOOKUP(Tableau254[[#This Row],[CA O&amp;M s/parc
BN 2023]],Tableau106[],4,FALSE)</f>
        <v>8</v>
      </c>
      <c r="F156" s="297" t="str">
        <f>VLOOKUP(Tableau254[[#This Row],[CA O&amp;M s/parc
BN 2023]],Tableau106[],5,FALSE)</f>
        <v>SERY</v>
      </c>
      <c r="G156" s="294" t="str">
        <f>VLOOKUP(Tableau254[[#This Row],[CA O&amp;M s/parc
BN 2023]],Tableau106[],7,FALSE)</f>
        <v>EGM</v>
      </c>
      <c r="H156" s="294" t="str">
        <f>VLOOKUP(Tableau254[[#This Row],[CA O&amp;M s/parc
BN 2023]],Tableau106[],6,FALSE)</f>
        <v>N</v>
      </c>
      <c r="I156" s="294" t="str">
        <f>VLOOKUP(Tableau254[[#This Row],[CA O&amp;M s/parc
BN 2023]],Tableau106[],9,FALSE)</f>
        <v>NoS</v>
      </c>
      <c r="J156" s="409">
        <v>17848.557318160114</v>
      </c>
      <c r="K156" s="120">
        <v>168.17637500000001</v>
      </c>
      <c r="L156" s="21"/>
      <c r="M156" s="18">
        <f>Tableau254[[#This Row],[PROD en Mwh]]*Tableau254[[#This Row],[TARIF]]</f>
        <v>3001705.6687478898</v>
      </c>
    </row>
    <row r="157" spans="1:14">
      <c r="A157" s="299" t="s">
        <v>535</v>
      </c>
      <c r="B157" s="294" t="str">
        <f>VLOOKUP(Tableau254[[#This Row],[CA O&amp;M s/parc
BN 2023]],Tableau106[],3,FALSE)</f>
        <v>A553</v>
      </c>
      <c r="C157" s="294" t="str">
        <f>VLOOKUP(Tableau254[[#This Row],[CA O&amp;M s/parc
BN 2023]],Tableau106[],2,FALSE)</f>
        <v>FR62E02E</v>
      </c>
      <c r="D157" s="294" t="str">
        <f>VLOOKUP(Tableau254[[#This Row],[CA O&amp;M s/parc
BN 2023]],Tableau106[],8,FALSE)</f>
        <v>EOLIEN</v>
      </c>
      <c r="E157" s="295">
        <f>VLOOKUP(Tableau254[[#This Row],[CA O&amp;M s/parc
BN 2023]],Tableau106[],4,FALSE)</f>
        <v>15</v>
      </c>
      <c r="F157" s="297" t="str">
        <f>VLOOKUP(Tableau254[[#This Row],[CA O&amp;M s/parc
BN 2023]],Tableau106[],5,FALSE)</f>
        <v>SBAP</v>
      </c>
      <c r="G157" s="294" t="str">
        <f>VLOOKUP(Tableau254[[#This Row],[CA O&amp;M s/parc
BN 2023]],Tableau106[],7,FALSE)</f>
        <v>ENDF</v>
      </c>
      <c r="H157" s="294" t="str">
        <f>VLOOKUP(Tableau254[[#This Row],[CA O&amp;M s/parc
BN 2023]],Tableau106[],6,FALSE)</f>
        <v>N</v>
      </c>
      <c r="I157" s="294" t="str">
        <f>VLOOKUP(Tableau254[[#This Row],[CA O&amp;M s/parc
BN 2023]],Tableau106[],9,FALSE)</f>
        <v>NiD</v>
      </c>
      <c r="J157" s="409">
        <v>40968.353659108689</v>
      </c>
      <c r="K157" s="120">
        <v>95.771000000000001</v>
      </c>
      <c r="L157" s="21">
        <v>5333</v>
      </c>
      <c r="M157" s="18">
        <f>Tableau254[[#This Row],[PROD en Mwh]]*Tableau254[[#This Row],[TARIF]]</f>
        <v>3923580.1982864984</v>
      </c>
    </row>
    <row r="158" spans="1:14">
      <c r="A158" s="299" t="s">
        <v>600</v>
      </c>
      <c r="B158" s="294" t="str">
        <f>VLOOKUP(Tableau254[[#This Row],[CA O&amp;M s/parc
BN 2023]],Tableau106[],3,FALSE)</f>
        <v>A065</v>
      </c>
      <c r="C158" s="294" t="str">
        <f>VLOOKUP(Tableau254[[#This Row],[CA O&amp;M s/parc
BN 2023]],Tableau106[],2,FALSE)</f>
        <v>FR97S90E</v>
      </c>
      <c r="D158" s="300" t="str">
        <f>VLOOKUP(Tableau254[[#This Row],[CA O&amp;M s/parc
BN 2023]],Tableau106[],8,FALSE)</f>
        <v>SOLAIRE DOM</v>
      </c>
      <c r="E158" s="295">
        <f>VLOOKUP(Tableau254[[#This Row],[CA O&amp;M s/parc
BN 2023]],Tableau106[],4,FALSE)</f>
        <v>1.2569999999999999</v>
      </c>
      <c r="F158" s="297" t="str">
        <f>VLOOKUP(Tableau254[[#This Row],[CA O&amp;M s/parc
BN 2023]],Tableau106[],5,FALSE)</f>
        <v>SIOU</v>
      </c>
      <c r="G158" s="294" t="str">
        <f>VLOOKUP(Tableau254[[#This Row],[CA O&amp;M s/parc
BN 2023]],Tableau106[],7,FALSE)</f>
        <v>GROUPE</v>
      </c>
      <c r="H158" s="294" t="str">
        <f>VLOOKUP(Tableau254[[#This Row],[CA O&amp;M s/parc
BN 2023]],Tableau106[],6,FALSE)</f>
        <v>DOM</v>
      </c>
      <c r="I158" s="294" t="str">
        <f>VLOOKUP(Tableau254[[#This Row],[CA O&amp;M s/parc
BN 2023]],Tableau106[],9,FALSE)</f>
        <v>DoJ</v>
      </c>
      <c r="J158" s="409">
        <v>1339.035072727273</v>
      </c>
      <c r="K158" s="120">
        <v>513.78099999999995</v>
      </c>
      <c r="L158" s="21"/>
      <c r="M158" s="18">
        <f>Tableau254[[#This Row],[PROD en Mwh]]*Tableau254[[#This Row],[TARIF]]</f>
        <v>687970.77870089095</v>
      </c>
      <c r="N158" t="s">
        <v>661</v>
      </c>
    </row>
    <row r="159" spans="1:14">
      <c r="A159" s="299" t="s">
        <v>349</v>
      </c>
      <c r="B159" s="294" t="str">
        <f>VLOOKUP(Tableau254[[#This Row],[CA O&amp;M s/parc
BN 2023]],Tableau106[],3,FALSE)</f>
        <v>F099</v>
      </c>
      <c r="C159" s="294" t="str">
        <f>VLOOKUP(Tableau254[[#This Row],[CA O&amp;M s/parc
BN 2023]],Tableau106[],2,FALSE)</f>
        <v>FR12E93E</v>
      </c>
      <c r="D159" s="300" t="str">
        <f>VLOOKUP(Tableau254[[#This Row],[CA O&amp;M s/parc
BN 2023]],Tableau106[],8,FALSE)</f>
        <v>EOLIEN</v>
      </c>
      <c r="E159" s="295">
        <f>VLOOKUP(Tableau254[[#This Row],[CA O&amp;M s/parc
BN 2023]],Tableau106[],4,FALSE)</f>
        <v>13.8</v>
      </c>
      <c r="F159" s="297" t="str">
        <f>VLOOKUP(Tableau254[[#This Row],[CA O&amp;M s/parc
BN 2023]],Tableau106[],5,FALSE)</f>
        <v>FAYD</v>
      </c>
      <c r="G159" s="294" t="str">
        <f>VLOOKUP(Tableau254[[#This Row],[CA O&amp;M s/parc
BN 2023]],Tableau106[],7,FALSE)</f>
        <v>FUTUREN</v>
      </c>
      <c r="H159" s="294" t="str">
        <f>VLOOKUP(Tableau254[[#This Row],[CA O&amp;M s/parc
BN 2023]],Tableau106[],6,FALSE)</f>
        <v>S</v>
      </c>
      <c r="I159" s="294" t="str">
        <f>VLOOKUP(Tableau254[[#This Row],[CA O&amp;M s/parc
BN 2023]],Tableau106[],9,FALSE)</f>
        <v>OdP</v>
      </c>
      <c r="J159" s="409">
        <v>20975.239333333335</v>
      </c>
      <c r="K159" s="120">
        <v>90.780999999999992</v>
      </c>
      <c r="L159" s="21"/>
      <c r="M159" s="18">
        <f>Tableau254[[#This Row],[PROD en Mwh]]*Tableau254[[#This Row],[TARIF]]</f>
        <v>1904153.2019193333</v>
      </c>
    </row>
    <row r="160" spans="1:14">
      <c r="A160" s="299" t="s">
        <v>603</v>
      </c>
      <c r="B160" s="294" t="str">
        <f>VLOOKUP(Tableau254[[#This Row],[CA O&amp;M s/parc
BN 2023]],Tableau106[],3,FALSE)</f>
        <v>A295</v>
      </c>
      <c r="C160" s="294" t="str">
        <f>VLOOKUP(Tableau254[[#This Row],[CA O&amp;M s/parc
BN 2023]],Tableau106[],2,FALSE)</f>
        <v>FR18S01E</v>
      </c>
      <c r="D160" s="300" t="str">
        <f>VLOOKUP(Tableau254[[#This Row],[CA O&amp;M s/parc
BN 2023]],Tableau106[],8,FALSE)</f>
        <v>SOLAIRE</v>
      </c>
      <c r="E160" s="295">
        <f>VLOOKUP(Tableau254[[#This Row],[CA O&amp;M s/parc
BN 2023]],Tableau106[],4,FALSE)</f>
        <v>5</v>
      </c>
      <c r="F160" s="297" t="str">
        <f>VLOOKUP(Tableau254[[#This Row],[CA O&amp;M s/parc
BN 2023]],Tableau106[],5,FALSE)</f>
        <v>SAMM</v>
      </c>
      <c r="G160" s="294" t="str">
        <f>VLOOKUP(Tableau254[[#This Row],[CA O&amp;M s/parc
BN 2023]],Tableau106[],7,FALSE)</f>
        <v>GROUPE</v>
      </c>
      <c r="H160" s="294" t="str">
        <f>VLOOKUP(Tableau254[[#This Row],[CA O&amp;M s/parc
BN 2023]],Tableau106[],6,FALSE)</f>
        <v>N</v>
      </c>
      <c r="I160" s="294" t="str">
        <f>VLOOKUP(Tableau254[[#This Row],[CA O&amp;M s/parc
BN 2023]],Tableau106[],9,FALSE)</f>
        <v>ArB</v>
      </c>
      <c r="J160" s="409">
        <v>5217.5810000000001</v>
      </c>
      <c r="K160" s="120">
        <v>170.94416666666666</v>
      </c>
      <c r="L160" s="21"/>
      <c r="M160" s="18">
        <f>Tableau254[[#This Row],[PROD en Mwh]]*Tableau254[[#This Row],[TARIF]]</f>
        <v>891915.03606083337</v>
      </c>
    </row>
    <row r="161" spans="1:14">
      <c r="A161" s="299" t="s">
        <v>605</v>
      </c>
      <c r="B161" s="294" t="str">
        <f>VLOOKUP(Tableau254[[#This Row],[CA O&amp;M s/parc
BN 2023]],Tableau106[],3,FALSE)</f>
        <v>A257</v>
      </c>
      <c r="C161" s="294" t="str">
        <f>VLOOKUP(Tableau254[[#This Row],[CA O&amp;M s/parc
BN 2023]],Tableau106[],2,FALSE)</f>
        <v>FR01S07E</v>
      </c>
      <c r="D161" s="300" t="str">
        <f>VLOOKUP(Tableau254[[#This Row],[CA O&amp;M s/parc
BN 2023]],Tableau106[],8,FALSE)</f>
        <v>SOLAIRE</v>
      </c>
      <c r="E161" s="295">
        <f>VLOOKUP(Tableau254[[#This Row],[CA O&amp;M s/parc
BN 2023]],Tableau106[],4,FALSE)</f>
        <v>2.7</v>
      </c>
      <c r="F161" s="297" t="str">
        <f>VLOOKUP(Tableau254[[#This Row],[CA O&amp;M s/parc
BN 2023]],Tableau106[],5,FALSE)</f>
        <v>SJLV</v>
      </c>
      <c r="G161" s="294" t="str">
        <f>VLOOKUP(Tableau254[[#This Row],[CA O&amp;M s/parc
BN 2023]],Tableau106[],7,FALSE)</f>
        <v>GROUPE</v>
      </c>
      <c r="H161" s="294" t="str">
        <f>VLOOKUP(Tableau254[[#This Row],[CA O&amp;M s/parc
BN 2023]],Tableau106[],6,FALSE)</f>
        <v>S</v>
      </c>
      <c r="I161" s="294" t="str">
        <f>VLOOKUP(Tableau254[[#This Row],[CA O&amp;M s/parc
BN 2023]],Tableau106[],9,FALSE)</f>
        <v>ArB</v>
      </c>
      <c r="J161" s="409">
        <v>3495.8762000000002</v>
      </c>
      <c r="K161" s="120">
        <v>170.8183333333333</v>
      </c>
      <c r="L161" s="21"/>
      <c r="M161" s="18">
        <f>Tableau254[[#This Row],[PROD en Mwh]]*Tableau254[[#This Row],[TARIF]]</f>
        <v>597159.74602366658</v>
      </c>
    </row>
    <row r="162" spans="1:14">
      <c r="A162" s="299" t="s">
        <v>528</v>
      </c>
      <c r="B162" s="294" t="str">
        <f>VLOOKUP(Tableau254[[#This Row],[CA O&amp;M s/parc
BN 2023]],Tableau106[],3,FALSE)</f>
        <v>A894</v>
      </c>
      <c r="C162" s="294" t="str">
        <f>VLOOKUP(Tableau254[[#This Row],[CA O&amp;M s/parc
BN 2023]],Tableau106[],2,FALSE)</f>
        <v>FR14E99E</v>
      </c>
      <c r="D162" s="300" t="str">
        <f>VLOOKUP(Tableau254[[#This Row],[CA O&amp;M s/parc
BN 2023]],Tableau106[],8,FALSE)</f>
        <v>EOLIEN</v>
      </c>
      <c r="E162" s="295">
        <f>VLOOKUP(Tableau254[[#This Row],[CA O&amp;M s/parc
BN 2023]],Tableau106[],4,FALSE)</f>
        <v>6</v>
      </c>
      <c r="F162" s="297" t="str">
        <f>VLOOKUP(Tableau254[[#This Row],[CA O&amp;M s/parc
BN 2023]],Tableau106[],5,FALSE)</f>
        <v>STMB</v>
      </c>
      <c r="G162" s="294" t="str">
        <f>VLOOKUP(Tableau254[[#This Row],[CA O&amp;M s/parc
BN 2023]],Tableau106[],7,FALSE)</f>
        <v>GROUPE</v>
      </c>
      <c r="H162" s="294" t="str">
        <f>VLOOKUP(Tableau254[[#This Row],[CA O&amp;M s/parc
BN 2023]],Tableau106[],6,FALSE)</f>
        <v>N</v>
      </c>
      <c r="I162" s="294" t="str">
        <f>VLOOKUP(Tableau254[[#This Row],[CA O&amp;M s/parc
BN 2023]],Tableau106[],9,FALSE)</f>
        <v>AnN</v>
      </c>
      <c r="J162" s="409">
        <v>10575.3201875</v>
      </c>
      <c r="K162" s="120">
        <v>45</v>
      </c>
      <c r="L162" s="21"/>
      <c r="M162" s="18">
        <f>Tableau254[[#This Row],[PROD en Mwh]]*Tableau254[[#This Row],[TARIF]]</f>
        <v>475889.40843749995</v>
      </c>
    </row>
    <row r="163" spans="1:14">
      <c r="A163" s="299" t="s">
        <v>131</v>
      </c>
      <c r="B163" s="294" t="str">
        <f>VLOOKUP(Tableau254[[#This Row],[CA O&amp;M s/parc
BN 2023]],Tableau106[],3,FALSE)</f>
        <v>A257</v>
      </c>
      <c r="C163" s="294" t="str">
        <f>VLOOKUP(Tableau254[[#This Row],[CA O&amp;M s/parc
BN 2023]],Tableau106[],2,FALSE)</f>
        <v>FR11S07E</v>
      </c>
      <c r="D163" s="300" t="str">
        <f>VLOOKUP(Tableau254[[#This Row],[CA O&amp;M s/parc
BN 2023]],Tableau106[],8,FALSE)</f>
        <v>SOLAIRE</v>
      </c>
      <c r="E163" s="295">
        <f>VLOOKUP(Tableau254[[#This Row],[CA O&amp;M s/parc
BN 2023]],Tableau106[],4,FALSE)</f>
        <v>5</v>
      </c>
      <c r="F163" s="297" t="str">
        <f>VLOOKUP(Tableau254[[#This Row],[CA O&amp;M s/parc
BN 2023]],Tableau106[],5,FALSE)</f>
        <v>FEND</v>
      </c>
      <c r="G163" s="294" t="str">
        <f>VLOOKUP(Tableau254[[#This Row],[CA O&amp;M s/parc
BN 2023]],Tableau106[],7,FALSE)</f>
        <v>GROUPE</v>
      </c>
      <c r="H163" s="294" t="str">
        <f>VLOOKUP(Tableau254[[#This Row],[CA O&amp;M s/parc
BN 2023]],Tableau106[],6,FALSE)</f>
        <v>S</v>
      </c>
      <c r="I163" s="294" t="str">
        <f>VLOOKUP(Tableau254[[#This Row],[CA O&amp;M s/parc
BN 2023]],Tableau106[],9,FALSE)</f>
        <v>BaA</v>
      </c>
      <c r="J163" s="409">
        <v>5767.1693940000014</v>
      </c>
      <c r="K163" s="120">
        <v>72.78</v>
      </c>
      <c r="L163" s="21"/>
      <c r="M163" s="18">
        <f>Tableau254[[#This Row],[PROD en Mwh]]*Tableau254[[#This Row],[TARIF]]</f>
        <v>419734.58849532012</v>
      </c>
    </row>
    <row r="164" spans="1:14">
      <c r="A164" s="299" t="s">
        <v>608</v>
      </c>
      <c r="B164" s="294" t="str">
        <f>VLOOKUP(Tableau254[[#This Row],[CA O&amp;M s/parc
BN 2023]],Tableau106[],3,FALSE)</f>
        <v>A257</v>
      </c>
      <c r="C164" s="294" t="str">
        <f>VLOOKUP(Tableau254[[#This Row],[CA O&amp;M s/parc
BN 2023]],Tableau106[],2,FALSE)</f>
        <v>FR69S05E</v>
      </c>
      <c r="D164" s="300" t="str">
        <f>VLOOKUP(Tableau254[[#This Row],[CA O&amp;M s/parc
BN 2023]],Tableau106[],8,FALSE)</f>
        <v>SOLAIRE</v>
      </c>
      <c r="E164" s="295">
        <f>VLOOKUP(Tableau254[[#This Row],[CA O&amp;M s/parc
BN 2023]],Tableau106[],4,FALSE)</f>
        <v>5</v>
      </c>
      <c r="F164" s="297" t="str">
        <f>VLOOKUP(Tableau254[[#This Row],[CA O&amp;M s/parc
BN 2023]],Tableau106[],5,FALSE)</f>
        <v>SREG</v>
      </c>
      <c r="G164" s="294" t="str">
        <f>VLOOKUP(Tableau254[[#This Row],[CA O&amp;M s/parc
BN 2023]],Tableau106[],7,FALSE)</f>
        <v>GROUPE</v>
      </c>
      <c r="H164" s="294" t="str">
        <f>VLOOKUP(Tableau254[[#This Row],[CA O&amp;M s/parc
BN 2023]],Tableau106[],6,FALSE)</f>
        <v>S</v>
      </c>
      <c r="I164" s="294" t="str">
        <f>VLOOKUP(Tableau254[[#This Row],[CA O&amp;M s/parc
BN 2023]],Tableau106[],9,FALSE)</f>
        <v>ArB</v>
      </c>
      <c r="J164" s="409">
        <v>5841.96</v>
      </c>
      <c r="K164" s="120">
        <v>170.94416666666666</v>
      </c>
      <c r="L164" s="21"/>
      <c r="M164" s="18">
        <f>Tableau254[[#This Row],[PROD en Mwh]]*Tableau254[[#This Row],[TARIF]]</f>
        <v>998648.98389999999</v>
      </c>
    </row>
    <row r="165" spans="1:14">
      <c r="A165" s="299" t="s">
        <v>625</v>
      </c>
      <c r="B165" s="294" t="str">
        <f>VLOOKUP(Tableau254[[#This Row],[CA O&amp;M s/parc
BN 2023]],Tableau106[],3,FALSE)</f>
        <v>A892</v>
      </c>
      <c r="C165" s="294" t="str">
        <f>VLOOKUP(Tableau254[[#This Row],[CA O&amp;M s/parc
BN 2023]],Tableau106[],2,FALSE)</f>
        <v>FR02E99E</v>
      </c>
      <c r="D165" s="300" t="str">
        <f>VLOOKUP(Tableau254[[#This Row],[CA O&amp;M s/parc
BN 2023]],Tableau106[],8,FALSE)</f>
        <v>EOLIEN</v>
      </c>
      <c r="E165" s="295">
        <f>VLOOKUP(Tableau254[[#This Row],[CA O&amp;M s/parc
BN 2023]],Tableau106[],4,FALSE)</f>
        <v>10.119999999999999</v>
      </c>
      <c r="F165" s="297" t="str">
        <f>VLOOKUP(Tableau254[[#This Row],[CA O&amp;M s/parc
BN 2023]],Tableau106[],5,FALSE)</f>
        <v>STSI</v>
      </c>
      <c r="G165" s="294" t="str">
        <f>VLOOKUP(Tableau254[[#This Row],[CA O&amp;M s/parc
BN 2023]],Tableau106[],7,FALSE)</f>
        <v>GROUPE</v>
      </c>
      <c r="H165" s="294" t="str">
        <f>VLOOKUP(Tableau254[[#This Row],[CA O&amp;M s/parc
BN 2023]],Tableau106[],6,FALSE)</f>
        <v>N</v>
      </c>
      <c r="I165" s="294" t="str">
        <f>VLOOKUP(Tableau254[[#This Row],[CA O&amp;M s/parc
BN 2023]],Tableau106[],9,FALSE)</f>
        <v>AyB</v>
      </c>
      <c r="J165" s="410">
        <f>4663+1751</f>
        <v>6414</v>
      </c>
      <c r="K165" s="120">
        <v>102.8</v>
      </c>
      <c r="L165" s="21"/>
      <c r="M165" s="18">
        <f>Tableau254[[#This Row],[PROD en Mwh]]*Tableau254[[#This Row],[TARIF]]</f>
        <v>659359.19999999995</v>
      </c>
      <c r="N165" t="s">
        <v>662</v>
      </c>
    </row>
    <row r="166" spans="1:14">
      <c r="A166" s="299" t="s">
        <v>610</v>
      </c>
      <c r="B166" s="294" t="str">
        <f>VLOOKUP(Tableau254[[#This Row],[CA O&amp;M s/parc
BN 2023]],Tableau106[],3,FALSE)</f>
        <v>A295</v>
      </c>
      <c r="C166" s="294" t="str">
        <f>VLOOKUP(Tableau254[[#This Row],[CA O&amp;M s/parc
BN 2023]],Tableau106[],2,FALSE)</f>
        <v>FR01S05E</v>
      </c>
      <c r="D166" s="300" t="str">
        <f>VLOOKUP(Tableau254[[#This Row],[CA O&amp;M s/parc
BN 2023]],Tableau106[],8,FALSE)</f>
        <v>SOLAIRE</v>
      </c>
      <c r="E166" s="295">
        <f>VLOOKUP(Tableau254[[#This Row],[CA O&amp;M s/parc
BN 2023]],Tableau106[],4,FALSE)</f>
        <v>2.7</v>
      </c>
      <c r="F166" s="297" t="str">
        <f>VLOOKUP(Tableau254[[#This Row],[CA O&amp;M s/parc
BN 2023]],Tableau106[],5,FALSE)</f>
        <v>STJU</v>
      </c>
      <c r="G166" s="294" t="str">
        <f>VLOOKUP(Tableau254[[#This Row],[CA O&amp;M s/parc
BN 2023]],Tableau106[],7,FALSE)</f>
        <v>GROUPE</v>
      </c>
      <c r="H166" s="294" t="str">
        <f>VLOOKUP(Tableau254[[#This Row],[CA O&amp;M s/parc
BN 2023]],Tableau106[],6,FALSE)</f>
        <v>S</v>
      </c>
      <c r="I166" s="294" t="str">
        <f>VLOOKUP(Tableau254[[#This Row],[CA O&amp;M s/parc
BN 2023]],Tableau106[],9,FALSE)</f>
        <v>ArB</v>
      </c>
      <c r="J166" s="409">
        <v>3103.47</v>
      </c>
      <c r="K166" s="120">
        <v>170.94416666666666</v>
      </c>
      <c r="L166" s="21"/>
      <c r="M166" s="18">
        <f>Tableau254[[#This Row],[PROD en Mwh]]*Tableau254[[#This Row],[TARIF]]</f>
        <v>530520.092925</v>
      </c>
    </row>
    <row r="167" spans="1:14">
      <c r="A167" s="299" t="s">
        <v>611</v>
      </c>
      <c r="B167" s="294" t="str">
        <f>VLOOKUP(Tableau254[[#This Row],[CA O&amp;M s/parc
BN 2023]],Tableau106[],3,FALSE)</f>
        <v>A307</v>
      </c>
      <c r="C167" s="294" t="str">
        <f>VLOOKUP(Tableau254[[#This Row],[CA O&amp;M s/parc
BN 2023]],Tableau106[],2,FALSE)</f>
        <v>FR04S07E</v>
      </c>
      <c r="D167" s="300" t="str">
        <f>VLOOKUP(Tableau254[[#This Row],[CA O&amp;M s/parc
BN 2023]],Tableau106[],8,FALSE)</f>
        <v>SOLAIRE</v>
      </c>
      <c r="E167" s="295">
        <f>VLOOKUP(Tableau254[[#This Row],[CA O&amp;M s/parc
BN 2023]],Tableau106[],4,FALSE)</f>
        <v>2.8</v>
      </c>
      <c r="F167" s="297" t="str">
        <f>VLOOKUP(Tableau254[[#This Row],[CA O&amp;M s/parc
BN 2023]],Tableau106[],5,FALSE)</f>
        <v>STLM</v>
      </c>
      <c r="G167" s="294" t="str">
        <f>VLOOKUP(Tableau254[[#This Row],[CA O&amp;M s/parc
BN 2023]],Tableau106[],7,FALSE)</f>
        <v>GROUPE</v>
      </c>
      <c r="H167" s="294" t="str">
        <f>VLOOKUP(Tableau254[[#This Row],[CA O&amp;M s/parc
BN 2023]],Tableau106[],6,FALSE)</f>
        <v>S</v>
      </c>
      <c r="I167" s="294" t="str">
        <f>VLOOKUP(Tableau254[[#This Row],[CA O&amp;M s/parc
BN 2023]],Tableau106[],9,FALSE)</f>
        <v>BaA</v>
      </c>
      <c r="J167" s="409"/>
      <c r="K167" s="120">
        <v>170.8183333333333</v>
      </c>
      <c r="L167" s="21"/>
      <c r="M167" s="18">
        <f>Tableau254[[#This Row],[PROD en Mwh]]*Tableau254[[#This Row],[TARIF]]</f>
        <v>0</v>
      </c>
    </row>
    <row r="168" spans="1:14">
      <c r="A168" s="299" t="s">
        <v>557</v>
      </c>
      <c r="B168" s="294" t="str">
        <f>VLOOKUP(Tableau254[[#This Row],[CA O&amp;M s/parc
BN 2023]],Tableau106[],3,FALSE)</f>
        <v>A541</v>
      </c>
      <c r="C168" s="294" t="str">
        <f>VLOOKUP(Tableau254[[#This Row],[CA O&amp;M s/parc
BN 2023]],Tableau106[],2,FALSE)</f>
        <v>FR55E08E</v>
      </c>
      <c r="D168" s="300" t="str">
        <f>VLOOKUP(Tableau254[[#This Row],[CA O&amp;M s/parc
BN 2023]],Tableau106[],8,FALSE)</f>
        <v>EOLIEN</v>
      </c>
      <c r="E168" s="295">
        <f>VLOOKUP(Tableau254[[#This Row],[CA O&amp;M s/parc
BN 2023]],Tableau106[],4,FALSE)</f>
        <v>11.5</v>
      </c>
      <c r="F168" s="297" t="str">
        <f>VLOOKUP(Tableau254[[#This Row],[CA O&amp;M s/parc
BN 2023]],Tableau106[],5,FALSE)</f>
        <v>STEN</v>
      </c>
      <c r="G168" s="294" t="str">
        <f>VLOOKUP(Tableau254[[#This Row],[CA O&amp;M s/parc
BN 2023]],Tableau106[],7,FALSE)</f>
        <v>EGM</v>
      </c>
      <c r="H168" s="294" t="str">
        <f>VLOOKUP(Tableau254[[#This Row],[CA O&amp;M s/parc
BN 2023]],Tableau106[],6,FALSE)</f>
        <v>N</v>
      </c>
      <c r="I168" s="294" t="str">
        <f>VLOOKUP(Tableau254[[#This Row],[CA O&amp;M s/parc
BN 2023]],Tableau106[],9,FALSE)</f>
        <v>MaA</v>
      </c>
      <c r="J168" s="409">
        <v>16863.151451027356</v>
      </c>
      <c r="K168" s="120">
        <v>168.18775000000002</v>
      </c>
      <c r="L168" s="21"/>
      <c r="M168" s="18">
        <f>Tableau254[[#This Row],[PROD en Mwh]]*Tableau254[[#This Row],[TARIF]]</f>
        <v>2836175.5004575267</v>
      </c>
    </row>
    <row r="169" spans="1:14">
      <c r="A169" s="299" t="s">
        <v>613</v>
      </c>
      <c r="B169" s="294" t="str">
        <f>VLOOKUP(Tableau254[[#This Row],[CA O&amp;M s/parc
BN 2023]],Tableau106[],3,FALSE)</f>
        <v>A313</v>
      </c>
      <c r="C169" s="294" t="str">
        <f>VLOOKUP(Tableau254[[#This Row],[CA O&amp;M s/parc
BN 2023]],Tableau106[],2,FALSE)</f>
        <v>FR89S03E</v>
      </c>
      <c r="D169" s="300" t="str">
        <f>VLOOKUP(Tableau254[[#This Row],[CA O&amp;M s/parc
BN 2023]],Tableau106[],8,FALSE)</f>
        <v>SOLAIRE</v>
      </c>
      <c r="E169" s="295">
        <f>VLOOKUP(Tableau254[[#This Row],[CA O&amp;M s/parc
BN 2023]],Tableau106[],4,FALSE)</f>
        <v>10.1</v>
      </c>
      <c r="F169" s="297" t="str">
        <f>VLOOKUP(Tableau254[[#This Row],[CA O&amp;M s/parc
BN 2023]],Tableau106[],5,FALSE)</f>
        <v>SUBL</v>
      </c>
      <c r="G169" s="294" t="str">
        <f>VLOOKUP(Tableau254[[#This Row],[CA O&amp;M s/parc
BN 2023]],Tableau106[],7,FALSE)</f>
        <v>GROUPE</v>
      </c>
      <c r="H169" s="294" t="str">
        <f>VLOOKUP(Tableau254[[#This Row],[CA O&amp;M s/parc
BN 2023]],Tableau106[],6,FALSE)</f>
        <v>N</v>
      </c>
      <c r="I169" s="294" t="str">
        <f>VLOOKUP(Tableau254[[#This Row],[CA O&amp;M s/parc
BN 2023]],Tableau106[],9,FALSE)</f>
        <v>LoG</v>
      </c>
      <c r="J169" s="409">
        <v>10609.682000000001</v>
      </c>
      <c r="K169" s="120">
        <v>170.94416666666666</v>
      </c>
      <c r="L169" s="21"/>
      <c r="M169" s="18">
        <f>Tableau254[[#This Row],[PROD en Mwh]]*Tableau254[[#This Row],[TARIF]]</f>
        <v>1813663.2480883333</v>
      </c>
    </row>
    <row r="170" spans="1:14">
      <c r="A170" s="299" t="s">
        <v>663</v>
      </c>
      <c r="B170" s="294" t="str">
        <f>VLOOKUP(Tableau254[[#This Row],[CA O&amp;M s/parc
BN 2023]],Tableau106[],3,FALSE)</f>
        <v>A536</v>
      </c>
      <c r="C170" s="294" t="str">
        <f>VLOOKUP(Tableau254[[#This Row],[CA O&amp;M s/parc
BN 2023]],Tableau106[],2,FALSE)</f>
        <v>FR62E04E</v>
      </c>
      <c r="D170" s="300" t="str">
        <f>VLOOKUP(Tableau254[[#This Row],[CA O&amp;M s/parc
BN 2023]],Tableau106[],8,FALSE)</f>
        <v>EOLIEN</v>
      </c>
      <c r="E170" s="295">
        <f>VLOOKUP(Tableau254[[#This Row],[CA O&amp;M s/parc
BN 2023]],Tableau106[],4,FALSE)</f>
        <v>21.6</v>
      </c>
      <c r="F170" s="297" t="str">
        <f>VLOOKUP(Tableau254[[#This Row],[CA O&amp;M s/parc
BN 2023]],Tableau106[],5,FALSE)</f>
        <v>SARA</v>
      </c>
      <c r="G170" s="294" t="str">
        <f>VLOOKUP(Tableau254[[#This Row],[CA O&amp;M s/parc
BN 2023]],Tableau106[],7,FALSE)</f>
        <v>GROUPE</v>
      </c>
      <c r="H170" s="294" t="str">
        <f>VLOOKUP(Tableau254[[#This Row],[CA O&amp;M s/parc
BN 2023]],Tableau106[],6,FALSE)</f>
        <v>N</v>
      </c>
      <c r="I170" s="294" t="str">
        <f>VLOOKUP(Tableau254[[#This Row],[CA O&amp;M s/parc
BN 2023]],Tableau106[],9,FALSE)</f>
        <v>NiL</v>
      </c>
      <c r="J170" s="18">
        <f>19518+37671</f>
        <v>57189</v>
      </c>
      <c r="K170" s="397">
        <v>170.94</v>
      </c>
      <c r="L170" s="21"/>
      <c r="M170" s="18">
        <f>Tableau254[[#This Row],[PROD en Mwh]]*Tableau254[[#This Row],[TARIF]]</f>
        <v>9775887.6600000001</v>
      </c>
    </row>
    <row r="171" spans="1:14">
      <c r="A171" s="299" t="s">
        <v>495</v>
      </c>
      <c r="B171" s="294" t="str">
        <f>VLOOKUP(Tableau254[[#This Row],[CA O&amp;M s/parc
BN 2023]],Tableau106[],3,FALSE)</f>
        <v>A366</v>
      </c>
      <c r="C171" s="294" t="str">
        <f>VLOOKUP(Tableau254[[#This Row],[CA O&amp;M s/parc
BN 2023]],Tableau106[],2,FALSE)</f>
        <v>FR48E96E</v>
      </c>
      <c r="D171" s="300" t="str">
        <f>VLOOKUP(Tableau254[[#This Row],[CA O&amp;M s/parc
BN 2023]],Tableau106[],8,FALSE)</f>
        <v>EOLIEN</v>
      </c>
      <c r="E171" s="295">
        <f>VLOOKUP(Tableau254[[#This Row],[CA O&amp;M s/parc
BN 2023]],Tableau106[],4,FALSE)</f>
        <v>27.18</v>
      </c>
      <c r="F171" s="297" t="str">
        <f>VLOOKUP(Tableau254[[#This Row],[CA O&amp;M s/parc
BN 2023]],Tableau106[],5,FALSE)</f>
        <v>TAIL</v>
      </c>
      <c r="G171" s="294" t="str">
        <f>VLOOKUP(Tableau254[[#This Row],[CA O&amp;M s/parc
BN 2023]],Tableau106[],7,FALSE)</f>
        <v>GROUPE</v>
      </c>
      <c r="H171" s="294" t="str">
        <f>VLOOKUP(Tableau254[[#This Row],[CA O&amp;M s/parc
BN 2023]],Tableau106[],6,FALSE)</f>
        <v>S</v>
      </c>
      <c r="I171" s="294" t="str">
        <f>VLOOKUP(Tableau254[[#This Row],[CA O&amp;M s/parc
BN 2023]],Tableau106[],9,FALSE)</f>
        <v>StE</v>
      </c>
      <c r="J171" s="409">
        <v>55398.967750000003</v>
      </c>
      <c r="K171" s="120">
        <v>91.192999999999998</v>
      </c>
      <c r="L171" s="21">
        <v>0</v>
      </c>
      <c r="M171" s="18">
        <f>Tableau254[[#This Row],[PROD en Mwh]]*Tableau254[[#This Row],[TARIF]]</f>
        <v>5051998.0660257498</v>
      </c>
      <c r="N171" t="s">
        <v>664</v>
      </c>
    </row>
    <row r="172" spans="1:14">
      <c r="A172" s="299" t="s">
        <v>436</v>
      </c>
      <c r="B172" s="294" t="str">
        <f>VLOOKUP(Tableau254[[#This Row],[CA O&amp;M s/parc
BN 2023]],Tableau106[],3,FALSE)</f>
        <v>A280</v>
      </c>
      <c r="C172" s="294" t="str">
        <f>VLOOKUP(Tableau254[[#This Row],[CA O&amp;M s/parc
BN 2023]],Tableau106[],2,FALSE)</f>
        <v>FR89E08E</v>
      </c>
      <c r="D172" s="300" t="str">
        <f>VLOOKUP(Tableau254[[#This Row],[CA O&amp;M s/parc
BN 2023]],Tableau106[],8,FALSE)</f>
        <v>EOLIEN</v>
      </c>
      <c r="E172" s="295">
        <f>VLOOKUP(Tableau254[[#This Row],[CA O&amp;M s/parc
BN 2023]],Tableau106[],4,FALSE)</f>
        <v>14.4</v>
      </c>
      <c r="F172" s="297" t="str">
        <f>VLOOKUP(Tableau254[[#This Row],[CA O&amp;M s/parc
BN 2023]],Tableau106[],5,FALSE)</f>
        <v>TLGR</v>
      </c>
      <c r="G172" s="294" t="str">
        <f>VLOOKUP(Tableau254[[#This Row],[CA O&amp;M s/parc
BN 2023]],Tableau106[],7,FALSE)</f>
        <v>GROUPE</v>
      </c>
      <c r="H172" s="294" t="str">
        <f>VLOOKUP(Tableau254[[#This Row],[CA O&amp;M s/parc
BN 2023]],Tableau106[],6,FALSE)</f>
        <v>N</v>
      </c>
      <c r="I172" s="294" t="str">
        <f>VLOOKUP(Tableau254[[#This Row],[CA O&amp;M s/parc
BN 2023]],Tableau106[],9,FALSE)</f>
        <v>LoH</v>
      </c>
      <c r="J172" s="409">
        <v>32779.198352068313</v>
      </c>
      <c r="K172" s="120">
        <v>69.992999999999995</v>
      </c>
      <c r="L172" s="21"/>
      <c r="M172" s="18">
        <f>Tableau254[[#This Row],[PROD en Mwh]]*Tableau254[[#This Row],[TARIF]]</f>
        <v>2294314.4302563174</v>
      </c>
    </row>
    <row r="173" spans="1:14">
      <c r="A173" s="299" t="s">
        <v>665</v>
      </c>
      <c r="B173" s="294" t="str">
        <f>VLOOKUP(Tableau254[[#This Row],[CA O&amp;M s/parc
BN 2023]],Tableau106[],3,FALSE)</f>
        <v>A060</v>
      </c>
      <c r="C173" s="294" t="str">
        <f>VLOOKUP(Tableau254[[#This Row],[CA O&amp;M s/parc
BN 2023]],Tableau106[],2,FALSE)</f>
        <v>FR2BE01E</v>
      </c>
      <c r="D173" s="300" t="str">
        <f>VLOOKUP(Tableau254[[#This Row],[CA O&amp;M s/parc
BN 2023]],Tableau106[],8,FALSE)</f>
        <v>EOLIEN</v>
      </c>
      <c r="E173" s="295">
        <f>VLOOKUP(Tableau254[[#This Row],[CA O&amp;M s/parc
BN 2023]],Tableau106[],4,FALSE)</f>
        <v>11.7</v>
      </c>
      <c r="F173" s="297" t="str">
        <f>VLOOKUP(Tableau254[[#This Row],[CA O&amp;M s/parc
BN 2023]],Tableau106[],5,FALSE)</f>
        <v>TERE</v>
      </c>
      <c r="G173" s="294" t="str">
        <f>VLOOKUP(Tableau254[[#This Row],[CA O&amp;M s/parc
BN 2023]],Tableau106[],7,FALSE)</f>
        <v>GROUPE</v>
      </c>
      <c r="H173" s="294" t="str">
        <f>VLOOKUP(Tableau254[[#This Row],[CA O&amp;M s/parc
BN 2023]],Tableau106[],6,FALSE)</f>
        <v>S</v>
      </c>
      <c r="I173" s="294" t="str">
        <f>VLOOKUP(Tableau254[[#This Row],[CA O&amp;M s/parc
BN 2023]],Tableau106[],9,FALSE)</f>
        <v>SaH</v>
      </c>
      <c r="J173" s="413"/>
      <c r="K173" s="397"/>
      <c r="L173" s="21"/>
      <c r="M173" s="18">
        <f>Tableau254[[#This Row],[PROD en Mwh]]*Tableau254[[#This Row],[TARIF]]</f>
        <v>0</v>
      </c>
    </row>
    <row r="174" spans="1:14">
      <c r="A174" s="299" t="s">
        <v>614</v>
      </c>
      <c r="B174" s="294" t="str">
        <f>VLOOKUP(Tableau254[[#This Row],[CA O&amp;M s/parc
BN 2023]],Tableau106[],3,FALSE)</f>
        <v>A168</v>
      </c>
      <c r="C174" s="294" t="str">
        <f>VLOOKUP(Tableau254[[#This Row],[CA O&amp;M s/parc
BN 2023]],Tableau106[],2,FALSE)</f>
        <v>FR97S89E</v>
      </c>
      <c r="D174" s="300" t="str">
        <f>VLOOKUP(Tableau254[[#This Row],[CA O&amp;M s/parc
BN 2023]],Tableau106[],8,FALSE)</f>
        <v>SOLAIRE DOM</v>
      </c>
      <c r="E174" s="295">
        <f>VLOOKUP(Tableau254[[#This Row],[CA O&amp;M s/parc
BN 2023]],Tableau106[],4,FALSE)</f>
        <v>4.9980000000000002</v>
      </c>
      <c r="F174" s="297" t="str">
        <f>VLOOKUP(Tableau254[[#This Row],[CA O&amp;M s/parc
BN 2023]],Tableau106[],5,FALSE)</f>
        <v>TOUC</v>
      </c>
      <c r="G174" s="294" t="str">
        <f>VLOOKUP(Tableau254[[#This Row],[CA O&amp;M s/parc
BN 2023]],Tableau106[],7,FALSE)</f>
        <v>GROUPE</v>
      </c>
      <c r="H174" s="294" t="str">
        <f>VLOOKUP(Tableau254[[#This Row],[CA O&amp;M s/parc
BN 2023]],Tableau106[],6,FALSE)</f>
        <v>DOM</v>
      </c>
      <c r="I174" s="294" t="str">
        <f>VLOOKUP(Tableau254[[#This Row],[CA O&amp;M s/parc
BN 2023]],Tableau106[],9,FALSE)</f>
        <v>DoJ</v>
      </c>
      <c r="J174" s="409">
        <v>2532.3953750000001</v>
      </c>
      <c r="K174" s="120">
        <v>499.65</v>
      </c>
      <c r="L174" s="21"/>
      <c r="M174" s="18">
        <f>Tableau254[[#This Row],[PROD en Mwh]]*Tableau254[[#This Row],[TARIF]]</f>
        <v>1265311.3491187501</v>
      </c>
      <c r="N174" t="s">
        <v>666</v>
      </c>
    </row>
    <row r="175" spans="1:14">
      <c r="A175" s="299" t="s">
        <v>367</v>
      </c>
      <c r="B175" s="294" t="str">
        <f>VLOOKUP(Tableau254[[#This Row],[CA O&amp;M s/parc
BN 2023]],Tableau106[],3,FALSE)</f>
        <v>A167</v>
      </c>
      <c r="C175" s="294" t="str">
        <f>VLOOKUP(Tableau254[[#This Row],[CA O&amp;M s/parc
BN 2023]],Tableau106[],2,FALSE)</f>
        <v>FR973S01E</v>
      </c>
      <c r="D175" s="300" t="str">
        <f>VLOOKUP(Tableau254[[#This Row],[CA O&amp;M s/parc
BN 2023]],Tableau106[],8,FALSE)</f>
        <v>SOLAIRE DOM</v>
      </c>
      <c r="E175" s="295">
        <f>VLOOKUP(Tableau254[[#This Row],[CA O&amp;M s/parc
BN 2023]],Tableau106[],4,FALSE)</f>
        <v>5</v>
      </c>
      <c r="F175" s="297" t="str">
        <f>VLOOKUP(Tableau254[[#This Row],[CA O&amp;M s/parc
BN 2023]],Tableau106[],5,FALSE)</f>
        <v>TOC2</v>
      </c>
      <c r="G175" s="294" t="str">
        <f>VLOOKUP(Tableau254[[#This Row],[CA O&amp;M s/parc
BN 2023]],Tableau106[],7,FALSE)</f>
        <v>GROUPE</v>
      </c>
      <c r="H175" s="294" t="str">
        <f>VLOOKUP(Tableau254[[#This Row],[CA O&amp;M s/parc
BN 2023]],Tableau106[],6,FALSE)</f>
        <v>DOM</v>
      </c>
      <c r="I175" s="294" t="str">
        <f>VLOOKUP(Tableau254[[#This Row],[CA O&amp;M s/parc
BN 2023]],Tableau106[],9,FALSE)</f>
        <v>DoJ</v>
      </c>
      <c r="J175" s="18">
        <v>2986.1019999999999</v>
      </c>
      <c r="K175" s="411">
        <v>93.477000000000004</v>
      </c>
      <c r="L175" s="21"/>
      <c r="M175" s="412">
        <f>($J$175*2/3*(K175+200))+($J$175*1/3*K175)</f>
        <v>677278.78998733324</v>
      </c>
      <c r="N175" t="s">
        <v>667</v>
      </c>
    </row>
    <row r="176" spans="1:14">
      <c r="A176" s="299" t="s">
        <v>615</v>
      </c>
      <c r="B176" s="294" t="str">
        <f>VLOOKUP(Tableau254[[#This Row],[CA O&amp;M s/parc
BN 2023]],Tableau106[],3,FALSE)</f>
        <v>A391</v>
      </c>
      <c r="C176" s="294" t="str">
        <f>VLOOKUP(Tableau254[[#This Row],[CA O&amp;M s/parc
BN 2023]],Tableau106[],2,FALSE)</f>
        <v>FR54S01E</v>
      </c>
      <c r="D176" s="300" t="str">
        <f>VLOOKUP(Tableau254[[#This Row],[CA O&amp;M s/parc
BN 2023]],Tableau106[],8,FALSE)</f>
        <v>SOLAIRE</v>
      </c>
      <c r="E176" s="295">
        <f>VLOOKUP(Tableau254[[#This Row],[CA O&amp;M s/parc
BN 2023]],Tableau106[],4,FALSE)</f>
        <v>54.93</v>
      </c>
      <c r="F176" s="297" t="str">
        <f>VLOOKUP(Tableau254[[#This Row],[CA O&amp;M s/parc
BN 2023]],Tableau106[],5,FALSE)</f>
        <v>TOUL</v>
      </c>
      <c r="G176" s="294" t="str">
        <f>VLOOKUP(Tableau254[[#This Row],[CA O&amp;M s/parc
BN 2023]],Tableau106[],7,FALSE)</f>
        <v>GROUPE</v>
      </c>
      <c r="H176" s="294" t="str">
        <f>VLOOKUP(Tableau254[[#This Row],[CA O&amp;M s/parc
BN 2023]],Tableau106[],6,FALSE)</f>
        <v>S</v>
      </c>
      <c r="I176" s="294" t="str">
        <f>VLOOKUP(Tableau254[[#This Row],[CA O&amp;M s/parc
BN 2023]],Tableau106[],9,FALSE)</f>
        <v>LoG</v>
      </c>
      <c r="J176" s="409">
        <v>56587.409</v>
      </c>
      <c r="K176" s="120">
        <v>381.30200000000002</v>
      </c>
      <c r="L176" s="21"/>
      <c r="M176" s="18">
        <f>Tableau254[[#This Row],[PROD en Mwh]]*Tableau254[[#This Row],[TARIF]]</f>
        <v>21576892.226518001</v>
      </c>
    </row>
    <row r="177" spans="1:14">
      <c r="A177" s="299" t="s">
        <v>451</v>
      </c>
      <c r="B177" s="294" t="str">
        <f>VLOOKUP(Tableau254[[#This Row],[CA O&amp;M s/parc
BN 2023]],Tableau106[],3,FALSE)</f>
        <v>A541</v>
      </c>
      <c r="C177" s="294" t="str">
        <f>VLOOKUP(Tableau254[[#This Row],[CA O&amp;M s/parc
BN 2023]],Tableau106[],2,FALSE)</f>
        <v>FR79E02E</v>
      </c>
      <c r="D177" s="300" t="str">
        <f>VLOOKUP(Tableau254[[#This Row],[CA O&amp;M s/parc
BN 2023]],Tableau106[],8,FALSE)</f>
        <v>EOLIEN</v>
      </c>
      <c r="E177" s="295">
        <f>VLOOKUP(Tableau254[[#This Row],[CA O&amp;M s/parc
BN 2023]],Tableau106[],4,FALSE)</f>
        <v>10</v>
      </c>
      <c r="F177" s="297" t="str">
        <f>VLOOKUP(Tableau254[[#This Row],[CA O&amp;M s/parc
BN 2023]],Tableau106[],5,FALSE)</f>
        <v>TRAY</v>
      </c>
      <c r="G177" s="294" t="str">
        <f>VLOOKUP(Tableau254[[#This Row],[CA O&amp;M s/parc
BN 2023]],Tableau106[],7,FALSE)</f>
        <v>EGM</v>
      </c>
      <c r="H177" s="294" t="str">
        <f>VLOOKUP(Tableau254[[#This Row],[CA O&amp;M s/parc
BN 2023]],Tableau106[],6,FALSE)</f>
        <v>N</v>
      </c>
      <c r="I177" s="294" t="str">
        <f>VLOOKUP(Tableau254[[#This Row],[CA O&amp;M s/parc
BN 2023]],Tableau106[],9,FALSE)</f>
        <v>BoK</v>
      </c>
      <c r="J177" s="18">
        <v>11207.840179823361</v>
      </c>
      <c r="K177" s="120">
        <v>103.169</v>
      </c>
      <c r="L177" s="21"/>
      <c r="M177" s="18">
        <f>Tableau254[[#This Row],[PROD en Mwh]]*Tableau254[[#This Row],[TARIF]]</f>
        <v>1156301.6635121964</v>
      </c>
    </row>
    <row r="178" spans="1:14">
      <c r="A178" s="299" t="s">
        <v>619</v>
      </c>
      <c r="B178" s="294" t="str">
        <f>VLOOKUP(Tableau254[[#This Row],[CA O&amp;M s/parc
BN 2023]],Tableau106[],3,FALSE)</f>
        <v>A046</v>
      </c>
      <c r="C178" s="294" t="str">
        <f>VLOOKUP(Tableau254[[#This Row],[CA O&amp;M s/parc
BN 2023]],Tableau106[],2,FALSE)</f>
        <v>FR97S75E</v>
      </c>
      <c r="D178" s="300" t="str">
        <f>VLOOKUP(Tableau254[[#This Row],[CA O&amp;M s/parc
BN 2023]],Tableau106[],8,FALSE)</f>
        <v>SOLAIRE DOM</v>
      </c>
      <c r="E178" s="295">
        <f>VLOOKUP(Tableau254[[#This Row],[CA O&amp;M s/parc
BN 2023]],Tableau106[],4,FALSE)</f>
        <v>0.68200000000000005</v>
      </c>
      <c r="F178" s="297" t="str">
        <f>VLOOKUP(Tableau254[[#This Row],[CA O&amp;M s/parc
BN 2023]],Tableau106[],5,FALSE)</f>
        <v>TROI</v>
      </c>
      <c r="G178" s="294" t="str">
        <f>VLOOKUP(Tableau254[[#This Row],[CA O&amp;M s/parc
BN 2023]],Tableau106[],7,FALSE)</f>
        <v>GROUPE</v>
      </c>
      <c r="H178" s="294" t="str">
        <f>VLOOKUP(Tableau254[[#This Row],[CA O&amp;M s/parc
BN 2023]],Tableau106[],6,FALSE)</f>
        <v>DOM</v>
      </c>
      <c r="I178" s="294" t="str">
        <f>VLOOKUP(Tableau254[[#This Row],[CA O&amp;M s/parc
BN 2023]],Tableau106[],9,FALSE)</f>
        <v>DoJ</v>
      </c>
      <c r="J178" s="409">
        <v>737.20154545454557</v>
      </c>
      <c r="K178" s="120">
        <v>513.78099999999995</v>
      </c>
      <c r="L178" s="21"/>
      <c r="M178" s="18">
        <f>Tableau254[[#This Row],[PROD en Mwh]]*Tableau254[[#This Row],[TARIF]]</f>
        <v>378760.14722518186</v>
      </c>
    </row>
    <row r="179" spans="1:14">
      <c r="A179" s="299" t="s">
        <v>447</v>
      </c>
      <c r="B179" s="294" t="str">
        <f>VLOOKUP(Tableau254[[#This Row],[CA O&amp;M s/parc
BN 2023]],Tableau106[],3,FALSE)</f>
        <v>A898</v>
      </c>
      <c r="C179" s="294" t="str">
        <f>VLOOKUP(Tableau254[[#This Row],[CA O&amp;M s/parc
BN 2023]],Tableau106[],2,FALSE)</f>
        <v>FR55E12E</v>
      </c>
      <c r="D179" s="300" t="str">
        <f>VLOOKUP(Tableau254[[#This Row],[CA O&amp;M s/parc
BN 2023]],Tableau106[],8,FALSE)</f>
        <v>EOLIEN</v>
      </c>
      <c r="E179" s="295">
        <f>VLOOKUP(Tableau254[[#This Row],[CA O&amp;M s/parc
BN 2023]],Tableau106[],4,FALSE)</f>
        <v>24</v>
      </c>
      <c r="F179" s="297" t="str">
        <f>VLOOKUP(Tableau254[[#This Row],[CA O&amp;M s/parc
BN 2023]],Tableau106[],5,FALSE)</f>
        <v>SOUR</v>
      </c>
      <c r="G179" s="294" t="str">
        <f>VLOOKUP(Tableau254[[#This Row],[CA O&amp;M s/parc
BN 2023]],Tableau106[],7,FALSE)</f>
        <v>GROUPE</v>
      </c>
      <c r="H179" s="294" t="str">
        <f>VLOOKUP(Tableau254[[#This Row],[CA O&amp;M s/parc
BN 2023]],Tableau106[],6,FALSE)</f>
        <v>N</v>
      </c>
      <c r="I179" s="294" t="str">
        <f>VLOOKUP(Tableau254[[#This Row],[CA O&amp;M s/parc
BN 2023]],Tableau106[],9,FALSE)</f>
        <v>LoH</v>
      </c>
      <c r="J179" s="409">
        <v>43556.345277777786</v>
      </c>
      <c r="K179" s="120">
        <v>50</v>
      </c>
      <c r="L179" s="21"/>
      <c r="M179" s="18">
        <f>Tableau254[[#This Row],[PROD en Mwh]]*Tableau254[[#This Row],[TARIF]]</f>
        <v>2177817.2638888895</v>
      </c>
    </row>
    <row r="180" spans="1:14">
      <c r="A180" s="299" t="s">
        <v>571</v>
      </c>
      <c r="B180" s="294" t="str">
        <f>VLOOKUP(Tableau254[[#This Row],[CA O&amp;M s/parc
BN 2023]],Tableau106[],3,FALSE)</f>
        <v>A084</v>
      </c>
      <c r="C180" s="294" t="str">
        <f>VLOOKUP(Tableau254[[#This Row],[CA O&amp;M s/parc
BN 2023]],Tableau106[],2,FALSE)</f>
        <v>FR34E93E</v>
      </c>
      <c r="D180" s="300" t="str">
        <f>VLOOKUP(Tableau254[[#This Row],[CA O&amp;M s/parc
BN 2023]],Tableau106[],8,FALSE)</f>
        <v>EOLIEN</v>
      </c>
      <c r="E180" s="295">
        <f>VLOOKUP(Tableau254[[#This Row],[CA O&amp;M s/parc
BN 2023]],Tableau106[],4,FALSE)</f>
        <v>14</v>
      </c>
      <c r="F180" s="297" t="str">
        <f>VLOOKUP(Tableau254[[#This Row],[CA O&amp;M s/parc
BN 2023]],Tableau106[],5,FALSE)</f>
        <v>AUM3</v>
      </c>
      <c r="G180" s="294" t="str">
        <f>VLOOKUP(Tableau254[[#This Row],[CA O&amp;M s/parc
BN 2023]],Tableau106[],7,FALSE)</f>
        <v>FUTUREN</v>
      </c>
      <c r="H180" s="294" t="str">
        <f>VLOOKUP(Tableau254[[#This Row],[CA O&amp;M s/parc
BN 2023]],Tableau106[],6,FALSE)</f>
        <v>S</v>
      </c>
      <c r="I180" s="294" t="str">
        <f>VLOOKUP(Tableau254[[#This Row],[CA O&amp;M s/parc
BN 2023]],Tableau106[],9,FALSE)</f>
        <v>KéD</v>
      </c>
      <c r="J180" s="495">
        <v>24977.48</v>
      </c>
      <c r="K180" s="120">
        <v>96.302999999999997</v>
      </c>
      <c r="L180" s="21">
        <v>20000</v>
      </c>
      <c r="M180" s="18">
        <f>Tableau254[[#This Row],[PROD en Mwh]]*Tableau254[[#This Row],[TARIF]]</f>
        <v>2405406.2564399997</v>
      </c>
      <c r="N180" t="s">
        <v>657</v>
      </c>
    </row>
    <row r="181" spans="1:14">
      <c r="A181" s="299" t="s">
        <v>474</v>
      </c>
      <c r="B181" s="294" t="str">
        <f>VLOOKUP(Tableau254[[#This Row],[CA O&amp;M s/parc
BN 2023]],Tableau106[],3,FALSE)</f>
        <v>A530</v>
      </c>
      <c r="C181" s="294" t="str">
        <f>VLOOKUP(Tableau254[[#This Row],[CA O&amp;M s/parc
BN 2023]],Tableau106[],2,FALSE)</f>
        <v>FR51E02E</v>
      </c>
      <c r="D181" s="300" t="str">
        <f>VLOOKUP(Tableau254[[#This Row],[CA O&amp;M s/parc
BN 2023]],Tableau106[],8,FALSE)</f>
        <v>EOLIEN</v>
      </c>
      <c r="E181" s="295">
        <f>VLOOKUP(Tableau254[[#This Row],[CA O&amp;M s/parc
BN 2023]],Tableau106[],4,FALSE)</f>
        <v>8.5</v>
      </c>
      <c r="F181" s="297" t="str">
        <f>VLOOKUP(Tableau254[[#This Row],[CA O&amp;M s/parc
BN 2023]],Tableau106[],5,FALSE)</f>
        <v>VANA</v>
      </c>
      <c r="G181" s="294" t="str">
        <f>VLOOKUP(Tableau254[[#This Row],[CA O&amp;M s/parc
BN 2023]],Tableau106[],7,FALSE)</f>
        <v>GROUPE</v>
      </c>
      <c r="H181" s="294" t="str">
        <f>VLOOKUP(Tableau254[[#This Row],[CA O&amp;M s/parc
BN 2023]],Tableau106[],6,FALSE)</f>
        <v>N</v>
      </c>
      <c r="I181" s="294" t="str">
        <f>VLOOKUP(Tableau254[[#This Row],[CA O&amp;M s/parc
BN 2023]],Tableau106[],9,FALSE)</f>
        <v>BaB</v>
      </c>
      <c r="J181" s="409">
        <v>13707.387200000001</v>
      </c>
      <c r="K181" s="120">
        <v>45</v>
      </c>
      <c r="L181" s="21"/>
      <c r="M181" s="18">
        <f>Tableau254[[#This Row],[PROD en Mwh]]*Tableau254[[#This Row],[TARIF]]</f>
        <v>616832.424</v>
      </c>
    </row>
    <row r="182" spans="1:14">
      <c r="A182" s="299" t="s">
        <v>441</v>
      </c>
      <c r="B182" s="294" t="str">
        <f>VLOOKUP(Tableau254[[#This Row],[CA O&amp;M s/parc
BN 2023]],Tableau106[],3,FALSE)</f>
        <v>F244</v>
      </c>
      <c r="C182" s="294" t="str">
        <f>VLOOKUP(Tableau254[[#This Row],[CA O&amp;M s/parc
BN 2023]],Tableau106[],2,FALSE)</f>
        <v>FR17E08E</v>
      </c>
      <c r="D182" s="300" t="str">
        <f>VLOOKUP(Tableau254[[#This Row],[CA O&amp;M s/parc
BN 2023]],Tableau106[],8,FALSE)</f>
        <v>EOLIEN</v>
      </c>
      <c r="E182" s="295">
        <f>VLOOKUP(Tableau254[[#This Row],[CA O&amp;M s/parc
BN 2023]],Tableau106[],4,FALSE)</f>
        <v>8.8000000000000007</v>
      </c>
      <c r="F182" s="297" t="str">
        <f>VLOOKUP(Tableau254[[#This Row],[CA O&amp;M s/parc
BN 2023]],Tableau106[],5,FALSE)</f>
        <v>VARA</v>
      </c>
      <c r="G182" s="294" t="str">
        <f>VLOOKUP(Tableau254[[#This Row],[CA O&amp;M s/parc
BN 2023]],Tableau106[],7,FALSE)</f>
        <v>FUTUREN</v>
      </c>
      <c r="H182" s="294" t="str">
        <f>VLOOKUP(Tableau254[[#This Row],[CA O&amp;M s/parc
BN 2023]],Tableau106[],6,FALSE)</f>
        <v>N</v>
      </c>
      <c r="I182" s="294" t="str">
        <f>VLOOKUP(Tableau254[[#This Row],[CA O&amp;M s/parc
BN 2023]],Tableau106[],9,FALSE)</f>
        <v>PiM</v>
      </c>
      <c r="J182" s="409">
        <v>19987.3354</v>
      </c>
      <c r="K182" s="120">
        <v>76.801000000000002</v>
      </c>
      <c r="L182" s="21">
        <v>24000</v>
      </c>
      <c r="M182" s="18">
        <f>Tableau254[[#This Row],[PROD en Mwh]]*Tableau254[[#This Row],[TARIF]]</f>
        <v>1535047.3460554001</v>
      </c>
      <c r="N182" t="s">
        <v>668</v>
      </c>
    </row>
    <row r="183" spans="1:14">
      <c r="A183" s="299" t="s">
        <v>585</v>
      </c>
      <c r="B183" s="294" t="str">
        <f>VLOOKUP(Tableau254[[#This Row],[CA O&amp;M s/parc
BN 2023]],Tableau106[],3,FALSE)</f>
        <v>A104</v>
      </c>
      <c r="C183" s="294" t="str">
        <f>VLOOKUP(Tableau254[[#This Row],[CA O&amp;M s/parc
BN 2023]],Tableau106[],2,FALSE)</f>
        <v>FR76E98E</v>
      </c>
      <c r="D183" s="300" t="str">
        <f>VLOOKUP(Tableau254[[#This Row],[CA O&amp;M s/parc
BN 2023]],Tableau106[],8,FALSE)</f>
        <v>EOLIEN</v>
      </c>
      <c r="E183" s="295">
        <f>VLOOKUP(Tableau254[[#This Row],[CA O&amp;M s/parc
BN 2023]],Tableau106[],4,FALSE)</f>
        <v>8</v>
      </c>
      <c r="F183" s="297" t="str">
        <f>VLOOKUP(Tableau254[[#This Row],[CA O&amp;M s/parc
BN 2023]],Tableau106[],5,FALSE)</f>
        <v>VEUL</v>
      </c>
      <c r="G183" s="294" t="str">
        <f>VLOOKUP(Tableau254[[#This Row],[CA O&amp;M s/parc
BN 2023]],Tableau106[],7,FALSE)</f>
        <v>GROUPE</v>
      </c>
      <c r="H183" s="294" t="str">
        <f>VLOOKUP(Tableau254[[#This Row],[CA O&amp;M s/parc
BN 2023]],Tableau106[],6,FALSE)</f>
        <v>N</v>
      </c>
      <c r="I183" s="294" t="str">
        <f>VLOOKUP(Tableau254[[#This Row],[CA O&amp;M s/parc
BN 2023]],Tableau106[],9,FALSE)</f>
        <v>AnN</v>
      </c>
      <c r="J183" s="409">
        <v>23389.616538461538</v>
      </c>
      <c r="K183" s="120">
        <v>124.10666666666667</v>
      </c>
      <c r="L183" s="21">
        <v>20611.3</v>
      </c>
      <c r="M183" s="18">
        <f>Tableau254[[#This Row],[PROD en Mwh]]*Tableau254[[#This Row],[TARIF]]</f>
        <v>2902807.3432</v>
      </c>
    </row>
    <row r="184" spans="1:14">
      <c r="A184" s="299" t="s">
        <v>488</v>
      </c>
      <c r="B184" s="294" t="str">
        <f>VLOOKUP(Tableau254[[#This Row],[CA O&amp;M s/parc
BN 2023]],Tableau106[],3,FALSE)</f>
        <v>A540</v>
      </c>
      <c r="C184" s="294" t="str">
        <f>VLOOKUP(Tableau254[[#This Row],[CA O&amp;M s/parc
BN 2023]],Tableau106[],2,FALSE)</f>
        <v>FR02E06E</v>
      </c>
      <c r="D184" s="300" t="str">
        <f>VLOOKUP(Tableau254[[#This Row],[CA O&amp;M s/parc
BN 2023]],Tableau106[],8,FALSE)</f>
        <v>EOLIEN</v>
      </c>
      <c r="E184" s="295">
        <f>VLOOKUP(Tableau254[[#This Row],[CA O&amp;M s/parc
BN 2023]],Tableau106[],4,FALSE)</f>
        <v>6</v>
      </c>
      <c r="F184" s="297" t="str">
        <f>VLOOKUP(Tableau254[[#This Row],[CA O&amp;M s/parc
BN 2023]],Tableau106[],5,FALSE)</f>
        <v>VISE</v>
      </c>
      <c r="G184" s="294" t="str">
        <f>VLOOKUP(Tableau254[[#This Row],[CA O&amp;M s/parc
BN 2023]],Tableau106[],7,FALSE)</f>
        <v>EGM</v>
      </c>
      <c r="H184" s="294" t="str">
        <f>VLOOKUP(Tableau254[[#This Row],[CA O&amp;M s/parc
BN 2023]],Tableau106[],6,FALSE)</f>
        <v>N</v>
      </c>
      <c r="I184" s="294" t="str">
        <f>VLOOKUP(Tableau254[[#This Row],[CA O&amp;M s/parc
BN 2023]],Tableau106[],9,FALSE)</f>
        <v>NoS</v>
      </c>
      <c r="J184" s="409">
        <v>11799.359789656055</v>
      </c>
      <c r="K184" s="120">
        <v>168.2313</v>
      </c>
      <c r="L184" s="21"/>
      <c r="M184" s="18">
        <f>Tableau254[[#This Row],[PROD en Mwh]]*Tableau254[[#This Row],[TARIF]]</f>
        <v>1985021.6365815648</v>
      </c>
    </row>
    <row r="185" spans="1:14">
      <c r="A185" s="299" t="s">
        <v>596</v>
      </c>
      <c r="B185" s="294" t="str">
        <f>VLOOKUP(Tableau254[[#This Row],[CA O&amp;M s/parc
BN 2023]],Tableau106[],3,FALSE)</f>
        <v>A056</v>
      </c>
      <c r="C185" s="294" t="str">
        <f>VLOOKUP(Tableau254[[#This Row],[CA O&amp;M s/parc
BN 2023]],Tableau106[],2,FALSE)</f>
        <v>FR11E91E</v>
      </c>
      <c r="D185" s="300" t="str">
        <f>VLOOKUP(Tableau254[[#This Row],[CA O&amp;M s/parc
BN 2023]],Tableau106[],8,FALSE)</f>
        <v>EOLIEN</v>
      </c>
      <c r="E185" s="295">
        <f>VLOOKUP(Tableau254[[#This Row],[CA O&amp;M s/parc
BN 2023]],Tableau106[],4,FALSE)</f>
        <v>50.6</v>
      </c>
      <c r="F185" s="297" t="str">
        <f>VLOOKUP(Tableau254[[#This Row],[CA O&amp;M s/parc
BN 2023]],Tableau106[],5,FALSE)</f>
        <v>VLSQ</v>
      </c>
      <c r="G185" s="294" t="str">
        <f>VLOOKUP(Tableau254[[#This Row],[CA O&amp;M s/parc
BN 2023]],Tableau106[],7,FALSE)</f>
        <v>GROUPE</v>
      </c>
      <c r="H185" s="294" t="str">
        <f>VLOOKUP(Tableau254[[#This Row],[CA O&amp;M s/parc
BN 2023]],Tableau106[],6,FALSE)</f>
        <v>S</v>
      </c>
      <c r="I185" s="294" t="str">
        <f>VLOOKUP(Tableau254[[#This Row],[CA O&amp;M s/parc
BN 2023]],Tableau106[],9,FALSE)</f>
        <v>ThC</v>
      </c>
      <c r="J185" s="409">
        <v>138949.5177285714</v>
      </c>
      <c r="K185" s="120">
        <v>166.96990000000002</v>
      </c>
      <c r="L185" s="21">
        <v>226331.43</v>
      </c>
      <c r="M185" s="18">
        <f>Tableau254[[#This Row],[PROD en Mwh]]*Tableau254[[#This Row],[TARIF]]</f>
        <v>23200387.080187798</v>
      </c>
      <c r="N185" t="s">
        <v>669</v>
      </c>
    </row>
    <row r="186" spans="1:14">
      <c r="A186" s="115" t="s">
        <v>644</v>
      </c>
      <c r="B186" s="116">
        <f>SUBTOTAL(103,Tableau254[Code Sté])</f>
        <v>184</v>
      </c>
      <c r="C186" s="116"/>
      <c r="D186" s="117"/>
      <c r="E186" s="118"/>
      <c r="F186" s="119"/>
      <c r="G186" s="119"/>
      <c r="H186" s="119"/>
      <c r="I186" s="119"/>
      <c r="J186" s="10">
        <f>SUBTOTAL(109,Tableau254[PROD en Mwh])</f>
        <v>4465501.9546285132</v>
      </c>
      <c r="K186" s="9">
        <f>COUNTBLANK(Tableau254[TARIF])</f>
        <v>1</v>
      </c>
      <c r="L186" s="17">
        <f>SUBTOTAL(109,Tableau254[PRODUITS excep. (PENALITES, indem. Ass.)])</f>
        <v>4893308.55</v>
      </c>
      <c r="M186" s="10">
        <f>SUBTOTAL(109,Tableau254[CA])</f>
        <v>558831129.15981805</v>
      </c>
      <c r="N186" s="374"/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._x000a_Merci." xr:uid="{00000000-0002-0000-0300-000000000000}">
          <x14:formula1>
            <xm:f>DATA!$A$3:$A$192</xm:f>
          </x14:formula1>
          <xm:sqref>A2:A185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B050"/>
  </sheetPr>
  <dimension ref="A1:S186"/>
  <sheetViews>
    <sheetView showGridLines="0" zoomScale="120" zoomScaleNormal="120" workbookViewId="0">
      <pane ySplit="1" topLeftCell="A74" activePane="bottomLeft" state="frozen"/>
      <selection activeCell="G3" sqref="G3"/>
      <selection pane="bottomLeft" activeCell="J101" sqref="J101"/>
    </sheetView>
  </sheetViews>
  <sheetFormatPr baseColWidth="10" defaultColWidth="12" defaultRowHeight="12"/>
  <cols>
    <col min="1" max="1" width="23.6640625" bestFit="1" customWidth="1"/>
    <col min="2" max="3" width="10.5" customWidth="1"/>
    <col min="4" max="4" width="15" bestFit="1" customWidth="1"/>
    <col min="6" max="6" width="9" customWidth="1"/>
    <col min="7" max="7" width="11.6640625" customWidth="1"/>
    <col min="8" max="9" width="8.6640625" customWidth="1"/>
    <col min="10" max="10" width="15.1640625" customWidth="1"/>
    <col min="11" max="12" width="15" customWidth="1"/>
    <col min="13" max="13" width="16.6640625" customWidth="1"/>
    <col min="14" max="14" width="118.6640625" bestFit="1" customWidth="1"/>
  </cols>
  <sheetData>
    <row r="1" spans="1:17" ht="87" customHeight="1">
      <c r="A1" s="111" t="s">
        <v>670</v>
      </c>
      <c r="B1" s="112" t="s">
        <v>628</v>
      </c>
      <c r="C1" s="112" t="s">
        <v>629</v>
      </c>
      <c r="D1" s="113" t="s">
        <v>414</v>
      </c>
      <c r="E1" s="114" t="s">
        <v>630</v>
      </c>
      <c r="F1" s="1" t="s">
        <v>631</v>
      </c>
      <c r="G1" s="16" t="s">
        <v>417</v>
      </c>
      <c r="H1" s="16" t="s">
        <v>632</v>
      </c>
      <c r="I1" s="16" t="s">
        <v>418</v>
      </c>
      <c r="J1" s="2" t="s">
        <v>421</v>
      </c>
      <c r="K1" s="2" t="s">
        <v>633</v>
      </c>
      <c r="L1" s="11" t="s">
        <v>634</v>
      </c>
      <c r="M1" s="4" t="s">
        <v>423</v>
      </c>
      <c r="N1" s="16" t="s">
        <v>645</v>
      </c>
      <c r="P1" s="7" t="s">
        <v>671</v>
      </c>
      <c r="Q1" s="8">
        <v>2.5000000000000001E-2</v>
      </c>
    </row>
    <row r="2" spans="1:17" ht="12" customHeight="1">
      <c r="A2" s="293" t="s">
        <v>575</v>
      </c>
      <c r="B2" s="294" t="str">
        <f>VLOOKUP(Tableau2546[[#This Row],[CA O&amp;M s/parc
BN 2024]],Tableau106[],3,FALSE)</f>
        <v>A893</v>
      </c>
      <c r="C2" s="294" t="str">
        <f>VLOOKUP(Tableau2546[[#This Row],[CA O&amp;M s/parc
BN 2024]],Tableau106[],2,FALSE)</f>
        <v>FR34E97E</v>
      </c>
      <c r="D2" s="294" t="str">
        <f>VLOOKUP(Tableau2546[[#This Row],[CA O&amp;M s/parc
BN 2024]],Tableau106[],8,FALSE)</f>
        <v>EOLIEN</v>
      </c>
      <c r="E2" s="295">
        <f>VLOOKUP(Tableau2546[[#This Row],[CA O&amp;M s/parc
BN 2024]],Tableau106[],4,FALSE)</f>
        <v>10</v>
      </c>
      <c r="F2" s="294" t="str">
        <f>VLOOKUP(Tableau2546[[#This Row],[CA O&amp;M s/parc
BN 2024]],Tableau106[],5,FALSE)</f>
        <v>AUQB</v>
      </c>
      <c r="G2" s="294" t="str">
        <f>VLOOKUP(Tableau2546[[#This Row],[CA O&amp;M s/parc
BN 2024]],Tableau106[],7,FALSE)</f>
        <v>GROUPE</v>
      </c>
      <c r="H2" s="294" t="str">
        <f>VLOOKUP(Tableau2546[[#This Row],[CA O&amp;M s/parc
BN 2024]],Tableau106[],6,FALSE)</f>
        <v>S</v>
      </c>
      <c r="I2" s="294" t="str">
        <f>VLOOKUP(Tableau2546[[#This Row],[CA O&amp;M s/parc
BN 2024]],Tableau106[],9,FALSE)</f>
        <v>KéD</v>
      </c>
      <c r="J2" s="496">
        <v>16985.752</v>
      </c>
      <c r="K2" s="120">
        <v>53</v>
      </c>
      <c r="L2" s="12"/>
      <c r="M2" s="18">
        <f>Tableau2546[[#This Row],[PROD en Mwh]]*Tableau2546[[#This Row],[TARIF]]</f>
        <v>900244.85600000003</v>
      </c>
      <c r="N2" s="497" t="s">
        <v>1551</v>
      </c>
    </row>
    <row r="3" spans="1:17">
      <c r="A3" s="293" t="s">
        <v>435</v>
      </c>
      <c r="B3" s="294" t="str">
        <f>VLOOKUP(Tableau2546[[#This Row],[CA O&amp;M s/parc
BN 2024]],Tableau106[],3,FALSE)</f>
        <v>A763</v>
      </c>
      <c r="C3" s="294" t="str">
        <f>VLOOKUP(Tableau2546[[#This Row],[CA O&amp;M s/parc
BN 2024]],Tableau106[],2,FALSE)</f>
        <v>FR51E05E</v>
      </c>
      <c r="D3" s="294" t="str">
        <f>VLOOKUP(Tableau2546[[#This Row],[CA O&amp;M s/parc
BN 2024]],Tableau106[],8,FALSE)</f>
        <v>EOLIEN</v>
      </c>
      <c r="E3" s="295">
        <f>VLOOKUP(Tableau2546[[#This Row],[CA O&amp;M s/parc
BN 2024]],Tableau106[],4,FALSE)</f>
        <v>16</v>
      </c>
      <c r="F3" s="296" t="str">
        <f>VLOOKUP(Tableau2546[[#This Row],[CA O&amp;M s/parc
BN 2024]],Tableau106[],5,FALSE)</f>
        <v>QVA3</v>
      </c>
      <c r="G3" s="297" t="str">
        <f>VLOOKUP(Tableau2546[[#This Row],[CA O&amp;M s/parc
BN 2024]],Tableau106[],7,FALSE)</f>
        <v>GROUPE</v>
      </c>
      <c r="H3" s="297" t="str">
        <f>VLOOKUP(Tableau2546[[#This Row],[CA O&amp;M s/parc
BN 2024]],Tableau106[],6,FALSE)</f>
        <v>S</v>
      </c>
      <c r="I3" s="297" t="str">
        <f>VLOOKUP(Tableau2546[[#This Row],[CA O&amp;M s/parc
BN 2024]],Tableau106[],9,FALSE)</f>
        <v>BaB</v>
      </c>
      <c r="J3" s="18">
        <v>32932.21244053798</v>
      </c>
      <c r="K3" s="120">
        <f>VLOOKUP(Tableau2546[[#This Row],[CODE PI]],Tableau254[[CODE PI]:[TARIF]],6,FALSE)*(1+$Q$1)</f>
        <v>98.128374999999991</v>
      </c>
      <c r="L3" s="12"/>
      <c r="M3" s="18">
        <f>Tableau2546[[#This Row],[PROD en Mwh]]*Tableau2546[[#This Row],[TARIF]]</f>
        <v>3231584.4919447759</v>
      </c>
      <c r="N3" s="18"/>
    </row>
    <row r="4" spans="1:17">
      <c r="A4" s="293" t="s">
        <v>504</v>
      </c>
      <c r="B4" s="294" t="str">
        <f>VLOOKUP(Tableau2546[[#This Row],[CA O&amp;M s/parc
BN 2024]],Tableau106[],3,FALSE)</f>
        <v>A418</v>
      </c>
      <c r="C4" s="294" t="str">
        <f>VLOOKUP(Tableau2546[[#This Row],[CA O&amp;M s/parc
BN 2024]],Tableau106[],2,FALSE)</f>
        <v>FR78E01E</v>
      </c>
      <c r="D4" s="294" t="str">
        <f>VLOOKUP(Tableau2546[[#This Row],[CA O&amp;M s/parc
BN 2024]],Tableau106[],8,FALSE)</f>
        <v>EOLIEN</v>
      </c>
      <c r="E4" s="295">
        <f>VLOOKUP(Tableau2546[[#This Row],[CA O&amp;M s/parc
BN 2024]],Tableau106[],4,FALSE)</f>
        <v>16.95</v>
      </c>
      <c r="F4" s="296" t="str">
        <f>VLOOKUP(Tableau2546[[#This Row],[CA O&amp;M s/parc
BN 2024]],Tableau106[],5,FALSE)</f>
        <v>ALVI</v>
      </c>
      <c r="G4" s="294" t="str">
        <f>VLOOKUP(Tableau2546[[#This Row],[CA O&amp;M s/parc
BN 2024]],Tableau106[],7,FALSE)</f>
        <v>GROUPE</v>
      </c>
      <c r="H4" s="294" t="str">
        <f>VLOOKUP(Tableau2546[[#This Row],[CA O&amp;M s/parc
BN 2024]],Tableau106[],6,FALSE)</f>
        <v>N</v>
      </c>
      <c r="I4" s="294" t="str">
        <f>VLOOKUP(Tableau2546[[#This Row],[CA O&amp;M s/parc
BN 2024]],Tableau106[],9,FALSE)</f>
        <v>AyB</v>
      </c>
      <c r="J4" s="18">
        <v>40210</v>
      </c>
      <c r="K4" s="120">
        <f>VLOOKUP(Tableau2546[[#This Row],[CODE PI]],Tableau254[[CODE PI]:[TARIF]],6,FALSE)*(1+$Q$1)</f>
        <v>91.872799999999998</v>
      </c>
      <c r="L4" s="13"/>
      <c r="M4" s="18">
        <f>Tableau2546[[#This Row],[PROD en Mwh]]*Tableau2546[[#This Row],[TARIF]]</f>
        <v>3694205.2879999997</v>
      </c>
      <c r="N4" s="18"/>
    </row>
    <row r="5" spans="1:17">
      <c r="A5" s="293" t="s">
        <v>530</v>
      </c>
      <c r="B5" s="294" t="str">
        <f>VLOOKUP(Tableau2546[[#This Row],[CA O&amp;M s/parc
BN 2024]],Tableau106[],3,FALSE)</f>
        <v>A109</v>
      </c>
      <c r="C5" s="294" t="str">
        <f>VLOOKUP(Tableau2546[[#This Row],[CA O&amp;M s/parc
BN 2024]],Tableau106[],2,FALSE)</f>
        <v>FR15E01E</v>
      </c>
      <c r="D5" s="294" t="str">
        <f>VLOOKUP(Tableau2546[[#This Row],[CA O&amp;M s/parc
BN 2024]],Tableau106[],8,FALSE)</f>
        <v>EOLIEN</v>
      </c>
      <c r="E5" s="295">
        <f>VLOOKUP(Tableau2546[[#This Row],[CA O&amp;M s/parc
BN 2024]],Tableau106[],4,FALSE)</f>
        <v>12</v>
      </c>
      <c r="F5" s="298" t="str">
        <f>VLOOKUP(Tableau2546[[#This Row],[CA O&amp;M s/parc
BN 2024]],Tableau106[],5,FALSE)</f>
        <v>ALLA</v>
      </c>
      <c r="G5" s="294" t="str">
        <f>VLOOKUP(Tableau2546[[#This Row],[CA O&amp;M s/parc
BN 2024]],Tableau106[],7,FALSE)</f>
        <v>FUTUREN</v>
      </c>
      <c r="H5" s="294" t="str">
        <f>VLOOKUP(Tableau2546[[#This Row],[CA O&amp;M s/parc
BN 2024]],Tableau106[],6,FALSE)</f>
        <v>S</v>
      </c>
      <c r="I5" s="294" t="str">
        <f>VLOOKUP(Tableau2546[[#This Row],[CA O&amp;M s/parc
BN 2024]],Tableau106[],9,FALSE)</f>
        <v>AuE</v>
      </c>
      <c r="J5" s="18">
        <v>26550.306808923979</v>
      </c>
      <c r="K5" s="120">
        <f>VLOOKUP(Tableau2546[[#This Row],[CODE PI]],Tableau254[[CODE PI]:[TARIF]],6,FALSE)*(1+$Q$1)</f>
        <v>99.465999999999994</v>
      </c>
      <c r="L5" s="13"/>
      <c r="M5" s="18">
        <f>Tableau2546[[#This Row],[PROD en Mwh]]*Tableau2546[[#This Row],[TARIF]]</f>
        <v>2640852.8170564324</v>
      </c>
      <c r="N5" t="s">
        <v>647</v>
      </c>
    </row>
    <row r="6" spans="1:17">
      <c r="A6" s="293" t="s">
        <v>440</v>
      </c>
      <c r="B6" s="294" t="str">
        <f>VLOOKUP(Tableau2546[[#This Row],[CA O&amp;M s/parc
BN 2024]],Tableau106[],3,FALSE)</f>
        <v>A353</v>
      </c>
      <c r="C6" s="294" t="str">
        <f>VLOOKUP(Tableau2546[[#This Row],[CA O&amp;M s/parc
BN 2024]],Tableau106[],2,FALSE)</f>
        <v>FR33S12E</v>
      </c>
      <c r="D6" s="294" t="str">
        <f>VLOOKUP(Tableau2546[[#This Row],[CA O&amp;M s/parc
BN 2024]],Tableau106[],8,FALSE)</f>
        <v>SOLAIRE</v>
      </c>
      <c r="E6" s="295">
        <f>VLOOKUP(Tableau2546[[#This Row],[CA O&amp;M s/parc
BN 2024]],Tableau106[],4,FALSE)</f>
        <v>9.6999999999999993</v>
      </c>
      <c r="F6" s="296" t="str">
        <f>VLOOKUP(Tableau2546[[#This Row],[CA O&amp;M s/parc
BN 2024]],Tableau106[],5,FALSE)</f>
        <v>AMBE</v>
      </c>
      <c r="G6" s="297" t="str">
        <f>VLOOKUP(Tableau2546[[#This Row],[CA O&amp;M s/parc
BN 2024]],Tableau106[],7,FALSE)</f>
        <v>GROUPE</v>
      </c>
      <c r="H6" s="297" t="str">
        <f>VLOOKUP(Tableau2546[[#This Row],[CA O&amp;M s/parc
BN 2024]],Tableau106[],6,FALSE)</f>
        <v>S</v>
      </c>
      <c r="I6" s="297" t="str">
        <f>VLOOKUP(Tableau2546[[#This Row],[CA O&amp;M s/parc
BN 2024]],Tableau106[],9,FALSE)</f>
        <v>BaA</v>
      </c>
      <c r="J6" s="18">
        <v>10747</v>
      </c>
      <c r="K6" s="120">
        <f>VLOOKUP(Tableau2546[[#This Row],[CODE PI]],Tableau254[[CODE PI]:[TARIF]],6,FALSE)*(1+$Q$1)</f>
        <v>60.817349999999998</v>
      </c>
      <c r="L6" s="21"/>
      <c r="M6" s="18">
        <f>Tableau2546[[#This Row],[PROD en Mwh]]*Tableau2546[[#This Row],[TARIF]]</f>
        <v>653604.06044999999</v>
      </c>
      <c r="N6" s="18"/>
    </row>
    <row r="7" spans="1:17">
      <c r="A7" s="293" t="s">
        <v>479</v>
      </c>
      <c r="B7" s="294" t="str">
        <f>VLOOKUP(Tableau2546[[#This Row],[CA O&amp;M s/parc
BN 2024]],Tableau106[],3,FALSE)</f>
        <v>A541</v>
      </c>
      <c r="C7" s="294" t="str">
        <f>VLOOKUP(Tableau2546[[#This Row],[CA O&amp;M s/parc
BN 2024]],Tableau106[],2,FALSE)</f>
        <v>FR57E04E</v>
      </c>
      <c r="D7" s="294" t="str">
        <f>VLOOKUP(Tableau2546[[#This Row],[CA O&amp;M s/parc
BN 2024]],Tableau106[],8,FALSE)</f>
        <v>EOLIEN</v>
      </c>
      <c r="E7" s="295">
        <f>VLOOKUP(Tableau2546[[#This Row],[CA O&amp;M s/parc
BN 2024]],Tableau106[],4,FALSE)</f>
        <v>12</v>
      </c>
      <c r="F7" s="296" t="str">
        <f>VLOOKUP(Tableau2546[[#This Row],[CA O&amp;M s/parc
BN 2024]],Tableau106[],5,FALSE)</f>
        <v>AMEL</v>
      </c>
      <c r="G7" s="294" t="str">
        <f>VLOOKUP(Tableau2546[[#This Row],[CA O&amp;M s/parc
BN 2024]],Tableau106[],7,FALSE)</f>
        <v>EGM</v>
      </c>
      <c r="H7" s="294" t="str">
        <f>VLOOKUP(Tableau2546[[#This Row],[CA O&amp;M s/parc
BN 2024]],Tableau106[],6,FALSE)</f>
        <v>N</v>
      </c>
      <c r="I7" s="294" t="str">
        <f>VLOOKUP(Tableau2546[[#This Row],[CA O&amp;M s/parc
BN 2024]],Tableau106[],9,FALSE)</f>
        <v>NoS</v>
      </c>
      <c r="J7" s="18">
        <v>21514</v>
      </c>
      <c r="K7" s="120">
        <f>VLOOKUP(Tableau2546[[#This Row],[CODE PI]],Tableau254[[CODE PI]:[TARIF]],6,FALSE)*(1+$Q$1)</f>
        <v>172.50170875000001</v>
      </c>
      <c r="L7" s="13"/>
      <c r="M7" s="18">
        <f>Tableau2546[[#This Row],[PROD en Mwh]]*Tableau2546[[#This Row],[TARIF]]</f>
        <v>3711201.7620475003</v>
      </c>
      <c r="N7" s="18"/>
    </row>
    <row r="8" spans="1:17">
      <c r="A8" s="293" t="s">
        <v>508</v>
      </c>
      <c r="B8" s="294" t="str">
        <f>VLOOKUP(Tableau2546[[#This Row],[CA O&amp;M s/parc
BN 2024]],Tableau106[],3,FALSE)</f>
        <v>F245</v>
      </c>
      <c r="C8" s="294" t="str">
        <f>VLOOKUP(Tableau2546[[#This Row],[CA O&amp;M s/parc
BN 2024]],Tableau106[],2,FALSE)</f>
        <v>FR17E07E</v>
      </c>
      <c r="D8" s="294" t="str">
        <f>VLOOKUP(Tableau2546[[#This Row],[CA O&amp;M s/parc
BN 2024]],Tableau106[],8,FALSE)</f>
        <v>EOLIEN</v>
      </c>
      <c r="E8" s="295">
        <f>VLOOKUP(Tableau2546[[#This Row],[CA O&amp;M s/parc
BN 2024]],Tableau106[],4,FALSE)</f>
        <v>12</v>
      </c>
      <c r="F8" s="296" t="str">
        <f>VLOOKUP(Tableau2546[[#This Row],[CA O&amp;M s/parc
BN 2024]],Tableau106[],5,FALSE)</f>
        <v>ANPA</v>
      </c>
      <c r="G8" s="294" t="str">
        <f>VLOOKUP(Tableau2546[[#This Row],[CA O&amp;M s/parc
BN 2024]],Tableau106[],7,FALSE)</f>
        <v>FUTUREN</v>
      </c>
      <c r="H8" s="294" t="str">
        <f>VLOOKUP(Tableau2546[[#This Row],[CA O&amp;M s/parc
BN 2024]],Tableau106[],6,FALSE)</f>
        <v>N</v>
      </c>
      <c r="I8" s="294" t="str">
        <f>VLOOKUP(Tableau2546[[#This Row],[CA O&amp;M s/parc
BN 2024]],Tableau106[],9,FALSE)</f>
        <v>KéC</v>
      </c>
      <c r="J8" s="18">
        <v>23928</v>
      </c>
      <c r="K8" s="120">
        <f>VLOOKUP(Tableau2546[[#This Row],[CODE PI]],Tableau254[[CODE PI]:[TARIF]],6,FALSE)*(1+$Q$1)</f>
        <v>78.13369999999999</v>
      </c>
      <c r="L8" s="13"/>
      <c r="M8" s="18">
        <f>Tableau2546[[#This Row],[PROD en Mwh]]*Tableau2546[[#This Row],[TARIF]]</f>
        <v>1869583.1735999999</v>
      </c>
      <c r="N8" s="18"/>
    </row>
    <row r="9" spans="1:17">
      <c r="A9" s="293" t="s">
        <v>444</v>
      </c>
      <c r="B9" s="294" t="str">
        <f>VLOOKUP(Tableau2546[[#This Row],[CA O&amp;M s/parc
BN 2024]],Tableau106[],3,FALSE)</f>
        <v>A353</v>
      </c>
      <c r="C9" s="294" t="str">
        <f>VLOOKUP(Tableau2546[[#This Row],[CA O&amp;M s/parc
BN 2024]],Tableau106[],2,FALSE)</f>
        <v>FR30S13E</v>
      </c>
      <c r="D9" s="294" t="str">
        <f>VLOOKUP(Tableau2546[[#This Row],[CA O&amp;M s/parc
BN 2024]],Tableau106[],8,FALSE)</f>
        <v>SOLAIRE</v>
      </c>
      <c r="E9" s="295">
        <f>VLOOKUP(Tableau2546[[#This Row],[CA O&amp;M s/parc
BN 2024]],Tableau106[],4,FALSE)</f>
        <v>5</v>
      </c>
      <c r="F9" s="296" t="str">
        <f>VLOOKUP(Tableau2546[[#This Row],[CA O&amp;M s/parc
BN 2024]],Tableau106[],5,FALSE)</f>
        <v>ARAM</v>
      </c>
      <c r="G9" s="297" t="str">
        <f>VLOOKUP(Tableau2546[[#This Row],[CA O&amp;M s/parc
BN 2024]],Tableau106[],7,FALSE)</f>
        <v>GROUPE</v>
      </c>
      <c r="H9" s="297" t="str">
        <f>VLOOKUP(Tableau2546[[#This Row],[CA O&amp;M s/parc
BN 2024]],Tableau106[],6,FALSE)</f>
        <v>S</v>
      </c>
      <c r="I9" s="297" t="str">
        <f>VLOOKUP(Tableau2546[[#This Row],[CA O&amp;M s/parc
BN 2024]],Tableau106[],9,FALSE)</f>
        <v>ArB</v>
      </c>
      <c r="J9" s="18">
        <v>7051.3155690742087</v>
      </c>
      <c r="K9" s="120">
        <f>VLOOKUP(Tableau2546[[#This Row],[CODE PI]],Tableau254[[CODE PI]:[TARIF]],6,FALSE)*(1+$Q$1)</f>
        <v>81.257899999999992</v>
      </c>
      <c r="L9" s="13"/>
      <c r="M9" s="18">
        <f>Tableau2546[[#This Row],[PROD en Mwh]]*Tableau2546[[#This Row],[TARIF]]</f>
        <v>572975.09538027504</v>
      </c>
      <c r="N9" s="18"/>
    </row>
    <row r="10" spans="1:17">
      <c r="A10" s="293" t="s">
        <v>445</v>
      </c>
      <c r="B10" s="294" t="str">
        <f>VLOOKUP(Tableau2546[[#This Row],[CA O&amp;M s/parc
BN 2024]],Tableau106[],3,FALSE)</f>
        <v>A353</v>
      </c>
      <c r="C10" s="294" t="str">
        <f>VLOOKUP(Tableau2546[[#This Row],[CA O&amp;M s/parc
BN 2024]],Tableau106[],2,FALSE)</f>
        <v>FR64S01E</v>
      </c>
      <c r="D10" s="294" t="str">
        <f>VLOOKUP(Tableau2546[[#This Row],[CA O&amp;M s/parc
BN 2024]],Tableau106[],8,FALSE)</f>
        <v>SOLAIRE</v>
      </c>
      <c r="E10" s="295">
        <f>VLOOKUP(Tableau2546[[#This Row],[CA O&amp;M s/parc
BN 2024]],Tableau106[],4,FALSE)</f>
        <v>4.2</v>
      </c>
      <c r="F10" s="296" t="str">
        <f>VLOOKUP(Tableau2546[[#This Row],[CA O&amp;M s/parc
BN 2024]],Tableau106[],5,FALSE)</f>
        <v>ARTI</v>
      </c>
      <c r="G10" s="297" t="str">
        <f>VLOOKUP(Tableau2546[[#This Row],[CA O&amp;M s/parc
BN 2024]],Tableau106[],7,FALSE)</f>
        <v>GROUPE</v>
      </c>
      <c r="H10" s="297" t="str">
        <f>VLOOKUP(Tableau2546[[#This Row],[CA O&amp;M s/parc
BN 2024]],Tableau106[],6,FALSE)</f>
        <v>S</v>
      </c>
      <c r="I10" s="297" t="str">
        <f>VLOOKUP(Tableau2546[[#This Row],[CA O&amp;M s/parc
BN 2024]],Tableau106[],9,FALSE)</f>
        <v>BaA</v>
      </c>
      <c r="J10" s="18">
        <v>4520</v>
      </c>
      <c r="K10" s="120">
        <f>VLOOKUP(Tableau2546[[#This Row],[CODE PI]],Tableau254[[CODE PI]:[TARIF]],6,FALSE)*(1+$Q$1)</f>
        <v>66.751074999999986</v>
      </c>
      <c r="L10" s="21"/>
      <c r="M10" s="18">
        <f>Tableau2546[[#This Row],[PROD en Mwh]]*Tableau2546[[#This Row],[TARIF]]</f>
        <v>301714.85899999994</v>
      </c>
      <c r="N10" s="18"/>
    </row>
    <row r="11" spans="1:17">
      <c r="A11" s="293" t="s">
        <v>494</v>
      </c>
      <c r="B11" s="294" t="str">
        <f>VLOOKUP(Tableau2546[[#This Row],[CA O&amp;M s/parc
BN 2024]],Tableau106[],3,FALSE)</f>
        <v>A530</v>
      </c>
      <c r="C11" s="294" t="str">
        <f>VLOOKUP(Tableau2546[[#This Row],[CA O&amp;M s/parc
BN 2024]],Tableau106[],2,FALSE)</f>
        <v>FR57E01E</v>
      </c>
      <c r="D11" s="294" t="str">
        <f>VLOOKUP(Tableau2546[[#This Row],[CA O&amp;M s/parc
BN 2024]],Tableau106[],8,FALSE)</f>
        <v>EOLIEN</v>
      </c>
      <c r="E11" s="295">
        <f>VLOOKUP(Tableau2546[[#This Row],[CA O&amp;M s/parc
BN 2024]],Tableau106[],4,FALSE)</f>
        <v>12</v>
      </c>
      <c r="F11" s="296" t="str">
        <f>VLOOKUP(Tableau2546[[#This Row],[CA O&amp;M s/parc
BN 2024]],Tableau106[],5,FALSE)</f>
        <v>BAMB</v>
      </c>
      <c r="G11" s="297" t="str">
        <f>VLOOKUP(Tableau2546[[#This Row],[CA O&amp;M s/parc
BN 2024]],Tableau106[],7,FALSE)</f>
        <v>GROUPE</v>
      </c>
      <c r="H11" s="297" t="str">
        <f>VLOOKUP(Tableau2546[[#This Row],[CA O&amp;M s/parc
BN 2024]],Tableau106[],6,FALSE)</f>
        <v>N</v>
      </c>
      <c r="I11" s="297" t="str">
        <f>VLOOKUP(Tableau2546[[#This Row],[CA O&amp;M s/parc
BN 2024]],Tableau106[],9,FALSE)</f>
        <v>HuB</v>
      </c>
      <c r="J11" s="18">
        <v>14801.237754798572</v>
      </c>
      <c r="K11" s="120">
        <v>46.5</v>
      </c>
      <c r="L11" s="21"/>
      <c r="M11" s="18">
        <f>Tableau2546[[#This Row],[PROD en Mwh]]*Tableau2546[[#This Row],[TARIF]]</f>
        <v>688257.55559813359</v>
      </c>
      <c r="N11" s="18"/>
    </row>
    <row r="12" spans="1:17">
      <c r="A12" s="293" t="s">
        <v>525</v>
      </c>
      <c r="B12" s="294" t="str">
        <f>VLOOKUP(Tableau2546[[#This Row],[CA O&amp;M s/parc
BN 2024]],Tableau106[],3,FALSE)</f>
        <v>A554</v>
      </c>
      <c r="C12" s="294" t="str">
        <f>VLOOKUP(Tableau2546[[#This Row],[CA O&amp;M s/parc
BN 2024]],Tableau106[],2,FALSE)</f>
        <v>FR02E08E</v>
      </c>
      <c r="D12" s="294" t="str">
        <f>VLOOKUP(Tableau2546[[#This Row],[CA O&amp;M s/parc
BN 2024]],Tableau106[],8,FALSE)</f>
        <v>EOLIEN</v>
      </c>
      <c r="E12" s="295">
        <f>VLOOKUP(Tableau2546[[#This Row],[CA O&amp;M s/parc
BN 2024]],Tableau106[],4,FALSE)</f>
        <v>12</v>
      </c>
      <c r="F12" s="296" t="str">
        <f>VLOOKUP(Tableau2546[[#This Row],[CA O&amp;M s/parc
BN 2024]],Tableau106[],5,FALSE)</f>
        <v>BTS1</v>
      </c>
      <c r="G12" s="297" t="str">
        <f>VLOOKUP(Tableau2546[[#This Row],[CA O&amp;M s/parc
BN 2024]],Tableau106[],7,FALSE)</f>
        <v>ENDF</v>
      </c>
      <c r="H12" s="297" t="str">
        <f>VLOOKUP(Tableau2546[[#This Row],[CA O&amp;M s/parc
BN 2024]],Tableau106[],6,FALSE)</f>
        <v>N</v>
      </c>
      <c r="I12" s="297" t="str">
        <f>VLOOKUP(Tableau2546[[#This Row],[CA O&amp;M s/parc
BN 2024]],Tableau106[],9,FALSE)</f>
        <v>BoK</v>
      </c>
      <c r="J12" s="18">
        <f>53500/2</f>
        <v>26750</v>
      </c>
      <c r="K12" s="120">
        <f>VLOOKUP(Tableau2546[[#This Row],[CODE PI]],Tableau254[[CODE PI]:[TARIF]],6,FALSE)*(1+$Q$1)</f>
        <v>98.172449999999998</v>
      </c>
      <c r="L12" s="21"/>
      <c r="M12" s="18">
        <f>Tableau2546[[#This Row],[PROD en Mwh]]*Tableau2546[[#This Row],[TARIF]]</f>
        <v>2626113.0375000001</v>
      </c>
      <c r="N12" s="18"/>
    </row>
    <row r="13" spans="1:17">
      <c r="A13" s="293" t="s">
        <v>598</v>
      </c>
      <c r="B13" s="294" t="str">
        <f>VLOOKUP(Tableau2546[[#This Row],[CA O&amp;M s/parc
BN 2024]],Tableau106[],3,FALSE)</f>
        <v>A555</v>
      </c>
      <c r="C13" s="294" t="str">
        <f>VLOOKUP(Tableau2546[[#This Row],[CA O&amp;M s/parc
BN 2024]],Tableau106[],2,FALSE)</f>
        <v>FR02E09E</v>
      </c>
      <c r="D13" s="294" t="str">
        <f>VLOOKUP(Tableau2546[[#This Row],[CA O&amp;M s/parc
BN 2024]],Tableau106[],8,FALSE)</f>
        <v>EOLIEN</v>
      </c>
      <c r="E13" s="295">
        <f>VLOOKUP(Tableau2546[[#This Row],[CA O&amp;M s/parc
BN 2024]],Tableau106[],4,FALSE)</f>
        <v>12</v>
      </c>
      <c r="F13" s="296" t="str">
        <f>VLOOKUP(Tableau2546[[#This Row],[CA O&amp;M s/parc
BN 2024]],Tableau106[],5,FALSE)</f>
        <v>BTS2</v>
      </c>
      <c r="G13" s="297" t="str">
        <f>VLOOKUP(Tableau2546[[#This Row],[CA O&amp;M s/parc
BN 2024]],Tableau106[],7,FALSE)</f>
        <v>ENDF</v>
      </c>
      <c r="H13" s="297" t="str">
        <f>VLOOKUP(Tableau2546[[#This Row],[CA O&amp;M s/parc
BN 2024]],Tableau106[],6,FALSE)</f>
        <v>N</v>
      </c>
      <c r="I13" s="297" t="str">
        <f>VLOOKUP(Tableau2546[[#This Row],[CA O&amp;M s/parc
BN 2024]],Tableau106[],9,FALSE)</f>
        <v>BoK</v>
      </c>
      <c r="J13" s="18">
        <f>53500/2</f>
        <v>26750</v>
      </c>
      <c r="K13" s="120">
        <f>VLOOKUP(Tableau2546[[#This Row],[CODE PI]],Tableau254[[CODE PI]:[TARIF]],6,FALSE)*(1+$Q$1)</f>
        <v>98.172449999999998</v>
      </c>
      <c r="L13" s="21"/>
      <c r="M13" s="18">
        <f>Tableau2546[[#This Row],[PROD en Mwh]]*Tableau2546[[#This Row],[TARIF]]</f>
        <v>2626113.0375000001</v>
      </c>
      <c r="N13" s="18"/>
    </row>
    <row r="14" spans="1:17">
      <c r="A14" s="293" t="s">
        <v>489</v>
      </c>
      <c r="B14" s="294" t="str">
        <f>VLOOKUP(Tableau2546[[#This Row],[CA O&amp;M s/parc
BN 2024]],Tableau106[],3,FALSE)</f>
        <v>A905</v>
      </c>
      <c r="C14" s="294" t="str">
        <f>VLOOKUP(Tableau2546[[#This Row],[CA O&amp;M s/parc
BN 2024]],Tableau106[],2,FALSE)</f>
        <v>FR69E01E</v>
      </c>
      <c r="D14" s="294" t="str">
        <f>VLOOKUP(Tableau2546[[#This Row],[CA O&amp;M s/parc
BN 2024]],Tableau106[],8,FALSE)</f>
        <v>EOLIEN</v>
      </c>
      <c r="E14" s="295">
        <f>VLOOKUP(Tableau2546[[#This Row],[CA O&amp;M s/parc
BN 2024]],Tableau106[],4,FALSE)</f>
        <v>12</v>
      </c>
      <c r="F14" s="296" t="str">
        <f>VLOOKUP(Tableau2546[[#This Row],[CA O&amp;M s/parc
BN 2024]],Tableau106[],5,FALSE)</f>
        <v>BVER</v>
      </c>
      <c r="G14" s="297" t="str">
        <f>VLOOKUP(Tableau2546[[#This Row],[CA O&amp;M s/parc
BN 2024]],Tableau106[],7,FALSE)</f>
        <v>GROUPE</v>
      </c>
      <c r="H14" s="297" t="str">
        <f>VLOOKUP(Tableau2546[[#This Row],[CA O&amp;M s/parc
BN 2024]],Tableau106[],6,FALSE)</f>
        <v>S</v>
      </c>
      <c r="I14" s="297" t="str">
        <f>VLOOKUP(Tableau2546[[#This Row],[CA O&amp;M s/parc
BN 2024]],Tableau106[],9,FALSE)</f>
        <v>KéC</v>
      </c>
      <c r="J14" s="18">
        <v>19660</v>
      </c>
      <c r="K14" s="120">
        <f>VLOOKUP(Tableau2546[[#This Row],[CODE PI]],Tableau254[[CODE PI]:[TARIF]],6,FALSE)*(1+$Q$1)</f>
        <v>81.440349999999981</v>
      </c>
      <c r="L14" s="13"/>
      <c r="M14" s="18">
        <f>Tableau2546[[#This Row],[PROD en Mwh]]*Tableau2546[[#This Row],[TARIF]]</f>
        <v>1601117.2809999997</v>
      </c>
      <c r="N14" s="18"/>
    </row>
    <row r="15" spans="1:17">
      <c r="A15" s="293" t="s">
        <v>454</v>
      </c>
      <c r="B15" s="294" t="str">
        <f>VLOOKUP(Tableau2546[[#This Row],[CA O&amp;M s/parc
BN 2024]],Tableau106[],3,FALSE)</f>
        <v>A295</v>
      </c>
      <c r="C15" s="294" t="str">
        <f>VLOOKUP(Tableau2546[[#This Row],[CA O&amp;M s/parc
BN 2024]],Tableau106[],2,FALSE)</f>
        <v>FR85S02E</v>
      </c>
      <c r="D15" s="294" t="str">
        <f>VLOOKUP(Tableau2546[[#This Row],[CA O&amp;M s/parc
BN 2024]],Tableau106[],8,FALSE)</f>
        <v>SOLAIRE</v>
      </c>
      <c r="E15" s="295">
        <f>VLOOKUP(Tableau2546[[#This Row],[CA O&amp;M s/parc
BN 2024]],Tableau106[],4,FALSE)</f>
        <v>12.8</v>
      </c>
      <c r="F15" s="296" t="str">
        <f>VLOOKUP(Tableau2546[[#This Row],[CA O&amp;M s/parc
BN 2024]],Tableau106[],5,FALSE)</f>
        <v>BEAU</v>
      </c>
      <c r="G15" s="297" t="str">
        <f>VLOOKUP(Tableau2546[[#This Row],[CA O&amp;M s/parc
BN 2024]],Tableau106[],7,FALSE)</f>
        <v>GROUPE</v>
      </c>
      <c r="H15" s="297" t="str">
        <f>VLOOKUP(Tableau2546[[#This Row],[CA O&amp;M s/parc
BN 2024]],Tableau106[],6,FALSE)</f>
        <v>N</v>
      </c>
      <c r="I15" s="297" t="str">
        <f>VLOOKUP(Tableau2546[[#This Row],[CA O&amp;M s/parc
BN 2024]],Tableau106[],9,FALSE)</f>
        <v>ZaA</v>
      </c>
      <c r="J15" s="18">
        <v>14259.2</v>
      </c>
      <c r="K15" s="120">
        <f>VLOOKUP(Tableau2546[[#This Row],[CODE PI]],Tableau254[[CODE PI]:[TARIF]],6,FALSE)*(1+$Q$1)</f>
        <v>175.2177708333333</v>
      </c>
      <c r="L15" s="21"/>
      <c r="M15" s="18">
        <f>Tableau2546[[#This Row],[PROD en Mwh]]*Tableau2546[[#This Row],[TARIF]]</f>
        <v>2498465.2378666662</v>
      </c>
      <c r="N15" s="18"/>
    </row>
    <row r="16" spans="1:17">
      <c r="A16" s="293" t="s">
        <v>473</v>
      </c>
      <c r="B16" s="294" t="str">
        <f>VLOOKUP(Tableau2546[[#This Row],[CA O&amp;M s/parc
BN 2024]],Tableau106[],3,FALSE)</f>
        <v>A177</v>
      </c>
      <c r="C16" s="294" t="str">
        <f>VLOOKUP(Tableau2546[[#This Row],[CA O&amp;M s/parc
BN 2024]],Tableau106[],2,FALSE)</f>
        <v>FR88E99E</v>
      </c>
      <c r="D16" s="294" t="str">
        <f>VLOOKUP(Tableau2546[[#This Row],[CA O&amp;M s/parc
BN 2024]],Tableau106[],8,FALSE)</f>
        <v>EOLIEN</v>
      </c>
      <c r="E16" s="295">
        <f>VLOOKUP(Tableau2546[[#This Row],[CA O&amp;M s/parc
BN 2024]],Tableau106[],4,FALSE)</f>
        <v>20</v>
      </c>
      <c r="F16" s="296" t="str">
        <f>VLOOKUP(Tableau2546[[#This Row],[CA O&amp;M s/parc
BN 2024]],Tableau106[],5,FALSE)</f>
        <v>BDBS</v>
      </c>
      <c r="G16" s="297" t="str">
        <f>VLOOKUP(Tableau2546[[#This Row],[CA O&amp;M s/parc
BN 2024]],Tableau106[],7,FALSE)</f>
        <v>GROUPE</v>
      </c>
      <c r="H16" s="297" t="str">
        <f>VLOOKUP(Tableau2546[[#This Row],[CA O&amp;M s/parc
BN 2024]],Tableau106[],6,FALSE)</f>
        <v>N</v>
      </c>
      <c r="I16" s="297" t="str">
        <f>VLOOKUP(Tableau2546[[#This Row],[CA O&amp;M s/parc
BN 2024]],Tableau106[],9,FALSE)</f>
        <v>AyB</v>
      </c>
      <c r="J16" s="18">
        <v>33188.374383182978</v>
      </c>
      <c r="K16" s="120">
        <f>VLOOKUP(Tableau2546[[#This Row],[CODE PI]],Tableau254[[CODE PI]:[TARIF]],6,FALSE)*(1+$Q$1)</f>
        <v>97.200749999999985</v>
      </c>
      <c r="L16" s="13"/>
      <c r="M16" s="18">
        <f>Tableau2546[[#This Row],[PROD en Mwh]]*Tableau2546[[#This Row],[TARIF]]</f>
        <v>3225934.8813261725</v>
      </c>
      <c r="N16" s="18"/>
    </row>
    <row r="17" spans="1:14">
      <c r="A17" s="293" t="s">
        <v>457</v>
      </c>
      <c r="B17" s="294" t="str">
        <f>VLOOKUP(Tableau2546[[#This Row],[CA O&amp;M s/parc
BN 2024]],Tableau106[],3,FALSE)</f>
        <v>A133</v>
      </c>
      <c r="C17" s="294" t="str">
        <f>VLOOKUP(Tableau2546[[#This Row],[CA O&amp;M s/parc
BN 2024]],Tableau106[],2,FALSE)</f>
        <v>FR84S01E</v>
      </c>
      <c r="D17" s="294" t="str">
        <f>VLOOKUP(Tableau2546[[#This Row],[CA O&amp;M s/parc
BN 2024]],Tableau106[],8,FALSE)</f>
        <v>SOLAIRE</v>
      </c>
      <c r="E17" s="295">
        <f>VLOOKUP(Tableau2546[[#This Row],[CA O&amp;M s/parc
BN 2024]],Tableau106[],4,FALSE)</f>
        <v>2.61</v>
      </c>
      <c r="F17" s="296" t="str">
        <f>VLOOKUP(Tableau2546[[#This Row],[CA O&amp;M s/parc
BN 2024]],Tableau106[],5,FALSE)</f>
        <v>BLAU</v>
      </c>
      <c r="G17" s="297" t="str">
        <f>VLOOKUP(Tableau2546[[#This Row],[CA O&amp;M s/parc
BN 2024]],Tableau106[],7,FALSE)</f>
        <v>GROUPE</v>
      </c>
      <c r="H17" s="297" t="str">
        <f>VLOOKUP(Tableau2546[[#This Row],[CA O&amp;M s/parc
BN 2024]],Tableau106[],6,FALSE)</f>
        <v>S</v>
      </c>
      <c r="I17" s="297" t="str">
        <f>VLOOKUP(Tableau2546[[#This Row],[CA O&amp;M s/parc
BN 2024]],Tableau106[],9,FALSE)</f>
        <v>ArB</v>
      </c>
      <c r="J17" s="18">
        <v>3931.2127774029441</v>
      </c>
      <c r="K17" s="120">
        <v>269.97000000000003</v>
      </c>
      <c r="L17" s="21"/>
      <c r="M17" s="18">
        <f>Tableau2546[[#This Row],[PROD en Mwh]]*Tableau2546[[#This Row],[TARIF]]</f>
        <v>1061309.5135154729</v>
      </c>
      <c r="N17" s="18"/>
    </row>
    <row r="18" spans="1:14">
      <c r="A18" s="293" t="s">
        <v>583</v>
      </c>
      <c r="B18" s="294" t="str">
        <f>VLOOKUP(Tableau2546[[#This Row],[CA O&amp;M s/parc
BN 2024]],Tableau106[],3,FALSE)</f>
        <v>A095</v>
      </c>
      <c r="C18" s="294" t="str">
        <f>VLOOKUP(Tableau2546[[#This Row],[CA O&amp;M s/parc
BN 2024]],Tableau106[],2,FALSE)</f>
        <v>FR43E99E</v>
      </c>
      <c r="D18" s="294" t="str">
        <f>VLOOKUP(Tableau2546[[#This Row],[CA O&amp;M s/parc
BN 2024]],Tableau106[],8,FALSE)</f>
        <v>EOLIEN</v>
      </c>
      <c r="E18" s="295">
        <f>VLOOKUP(Tableau2546[[#This Row],[CA O&amp;M s/parc
BN 2024]],Tableau106[],4,FALSE)</f>
        <v>12</v>
      </c>
      <c r="F18" s="296" t="str">
        <f>VLOOKUP(Tableau2546[[#This Row],[CA O&amp;M s/parc
BN 2024]],Tableau106[],5,FALSE)</f>
        <v>BARB</v>
      </c>
      <c r="G18" s="297" t="str">
        <f>VLOOKUP(Tableau2546[[#This Row],[CA O&amp;M s/parc
BN 2024]],Tableau106[],7,FALSE)</f>
        <v>FUTUREN</v>
      </c>
      <c r="H18" s="297" t="str">
        <f>VLOOKUP(Tableau2546[[#This Row],[CA O&amp;M s/parc
BN 2024]],Tableau106[],6,FALSE)</f>
        <v>S</v>
      </c>
      <c r="I18" s="297" t="str">
        <f>VLOOKUP(Tableau2546[[#This Row],[CA O&amp;M s/parc
BN 2024]],Tableau106[],9,FALSE)</f>
        <v>OdP</v>
      </c>
      <c r="J18" s="18">
        <v>18683.384931544777</v>
      </c>
      <c r="K18" s="120">
        <f>VLOOKUP(Tableau2546[[#This Row],[CODE PI]],Tableau254[[CODE PI]:[TARIF]],6,FALSE)*(1+$Q$1)</f>
        <v>202.07486354166664</v>
      </c>
      <c r="L18" s="12"/>
      <c r="M18" s="18">
        <f>Tableau2546[[#This Row],[PROD en Mwh]]*Tableau2546[[#This Row],[TARIF]]</f>
        <v>3775442.4605383417</v>
      </c>
      <c r="N18" s="18" t="s">
        <v>672</v>
      </c>
    </row>
    <row r="19" spans="1:14">
      <c r="A19" s="293" t="s">
        <v>437</v>
      </c>
      <c r="B19" s="294" t="str">
        <f>VLOOKUP(Tableau2546[[#This Row],[CA O&amp;M s/parc
BN 2024]],Tableau106[],3,FALSE)</f>
        <v>A541</v>
      </c>
      <c r="C19" s="294" t="str">
        <f>VLOOKUP(Tableau2546[[#This Row],[CA O&amp;M s/parc
BN 2024]],Tableau106[],2,FALSE)</f>
        <v>FR57E05E</v>
      </c>
      <c r="D19" s="294" t="str">
        <f>VLOOKUP(Tableau2546[[#This Row],[CA O&amp;M s/parc
BN 2024]],Tableau106[],8,FALSE)</f>
        <v>EOLIEN</v>
      </c>
      <c r="E19" s="295">
        <f>VLOOKUP(Tableau2546[[#This Row],[CA O&amp;M s/parc
BN 2024]],Tableau106[],4,FALSE)</f>
        <v>10.5</v>
      </c>
      <c r="F19" s="296" t="str">
        <f>VLOOKUP(Tableau2546[[#This Row],[CA O&amp;M s/parc
BN 2024]],Tableau106[],5,FALSE)</f>
        <v>BOUS</v>
      </c>
      <c r="G19" s="297" t="str">
        <f>VLOOKUP(Tableau2546[[#This Row],[CA O&amp;M s/parc
BN 2024]],Tableau106[],7,FALSE)</f>
        <v>EGM</v>
      </c>
      <c r="H19" s="297" t="str">
        <f>VLOOKUP(Tableau2546[[#This Row],[CA O&amp;M s/parc
BN 2024]],Tableau106[],6,FALSE)</f>
        <v>N</v>
      </c>
      <c r="I19" s="297" t="str">
        <f>VLOOKUP(Tableau2546[[#This Row],[CA O&amp;M s/parc
BN 2024]],Tableau106[],9,FALSE)</f>
        <v>NoS</v>
      </c>
      <c r="J19" s="18">
        <v>13838</v>
      </c>
      <c r="K19" s="120">
        <v>60.38</v>
      </c>
      <c r="L19" s="12"/>
      <c r="M19" s="18">
        <f>Tableau2546[[#This Row],[PROD en Mwh]]*Tableau2546[[#This Row],[TARIF]]</f>
        <v>835538.44000000006</v>
      </c>
      <c r="N19" s="18"/>
    </row>
    <row r="20" spans="1:14">
      <c r="A20" s="293" t="s">
        <v>459</v>
      </c>
      <c r="B20" s="294" t="str">
        <f>VLOOKUP(Tableau2546[[#This Row],[CA O&amp;M s/parc
BN 2024]],Tableau106[],3,FALSE)</f>
        <v>A145</v>
      </c>
      <c r="C20" s="294" t="str">
        <f>VLOOKUP(Tableau2546[[#This Row],[CA O&amp;M s/parc
BN 2024]],Tableau106[],2,FALSE)</f>
        <v>FR31S01E</v>
      </c>
      <c r="D20" s="294" t="str">
        <f>VLOOKUP(Tableau2546[[#This Row],[CA O&amp;M s/parc
BN 2024]],Tableau106[],8,FALSE)</f>
        <v>SOLAIRE</v>
      </c>
      <c r="E20" s="295">
        <f>VLOOKUP(Tableau2546[[#This Row],[CA O&amp;M s/parc
BN 2024]],Tableau106[],4,FALSE)</f>
        <v>10.15</v>
      </c>
      <c r="F20" s="296" t="str">
        <f>VLOOKUP(Tableau2546[[#This Row],[CA O&amp;M s/parc
BN 2024]],Tableau106[],5,FALSE)</f>
        <v>BOUL</v>
      </c>
      <c r="G20" s="297" t="str">
        <f>VLOOKUP(Tableau2546[[#This Row],[CA O&amp;M s/parc
BN 2024]],Tableau106[],7,FALSE)</f>
        <v>GROUPE</v>
      </c>
      <c r="H20" s="297" t="str">
        <f>VLOOKUP(Tableau2546[[#This Row],[CA O&amp;M s/parc
BN 2024]],Tableau106[],6,FALSE)</f>
        <v>S</v>
      </c>
      <c r="I20" s="297" t="str">
        <f>VLOOKUP(Tableau2546[[#This Row],[CA O&amp;M s/parc
BN 2024]],Tableau106[],9,FALSE)</f>
        <v>BaA</v>
      </c>
      <c r="J20" s="18">
        <v>12543.218809007109</v>
      </c>
      <c r="K20" s="120">
        <v>298.33999999999997</v>
      </c>
      <c r="L20" s="13"/>
      <c r="M20" s="18">
        <f>Tableau2546[[#This Row],[PROD en Mwh]]*Tableau2546[[#This Row],[TARIF]]</f>
        <v>3742143.8994791806</v>
      </c>
      <c r="N20" s="18"/>
    </row>
    <row r="21" spans="1:14">
      <c r="A21" s="293" t="s">
        <v>54</v>
      </c>
      <c r="B21" s="294" t="str">
        <f>VLOOKUP(Tableau2546[[#This Row],[CA O&amp;M s/parc
BN 2024]],Tableau106[],3,FALSE)</f>
        <v>A272</v>
      </c>
      <c r="C21" s="294" t="str">
        <f>VLOOKUP(Tableau2546[[#This Row],[CA O&amp;M s/parc
BN 2024]],Tableau106[],2,FALSE)</f>
        <v>FR45S03E</v>
      </c>
      <c r="D21" s="294" t="str">
        <f>VLOOKUP(Tableau2546[[#This Row],[CA O&amp;M s/parc
BN 2024]],Tableau106[],8,FALSE)</f>
        <v>SOLAIRE</v>
      </c>
      <c r="E21" s="295">
        <f>VLOOKUP(Tableau2546[[#This Row],[CA O&amp;M s/parc
BN 2024]],Tableau106[],4,FALSE)</f>
        <v>15.5</v>
      </c>
      <c r="F21" s="296" t="str">
        <f>VLOOKUP(Tableau2546[[#This Row],[CA O&amp;M s/parc
BN 2024]],Tableau106[],5,FALSE)</f>
        <v>BRIA</v>
      </c>
      <c r="G21" s="297" t="str">
        <f>VLOOKUP(Tableau2546[[#This Row],[CA O&amp;M s/parc
BN 2024]],Tableau106[],7,FALSE)</f>
        <v>GROUPE</v>
      </c>
      <c r="H21" s="297" t="str">
        <f>VLOOKUP(Tableau2546[[#This Row],[CA O&amp;M s/parc
BN 2024]],Tableau106[],6,FALSE)</f>
        <v>N</v>
      </c>
      <c r="I21" s="297" t="str">
        <f>VLOOKUP(Tableau2546[[#This Row],[CA O&amp;M s/parc
BN 2024]],Tableau106[],9,FALSE)</f>
        <v>LoG</v>
      </c>
      <c r="J21" s="18">
        <v>16031</v>
      </c>
      <c r="K21" s="120">
        <f>VLOOKUP(Tableau2546[[#This Row],[CODE PI]],Tableau254[[CODE PI]:[TARIF]],6,FALSE)*(1+$Q$1)</f>
        <v>63.959999999999994</v>
      </c>
      <c r="L21" s="13"/>
      <c r="M21" s="18">
        <f>Tableau2546[[#This Row],[PROD en Mwh]]*Tableau2546[[#This Row],[TARIF]]</f>
        <v>1025342.7599999999</v>
      </c>
      <c r="N21" s="18"/>
    </row>
    <row r="22" spans="1:14">
      <c r="A22" s="293" t="s">
        <v>510</v>
      </c>
      <c r="B22" s="294" t="str">
        <f>VLOOKUP(Tableau2546[[#This Row],[CA O&amp;M s/parc
BN 2024]],Tableau106[],3,FALSE)</f>
        <v>A540</v>
      </c>
      <c r="C22" s="294" t="str">
        <f>VLOOKUP(Tableau2546[[#This Row],[CA O&amp;M s/parc
BN 2024]],Tableau106[],2,FALSE)</f>
        <v>FR02E03E</v>
      </c>
      <c r="D22" s="294" t="str">
        <f>VLOOKUP(Tableau2546[[#This Row],[CA O&amp;M s/parc
BN 2024]],Tableau106[],8,FALSE)</f>
        <v>EOLIEN</v>
      </c>
      <c r="E22" s="295">
        <f>VLOOKUP(Tableau2546[[#This Row],[CA O&amp;M s/parc
BN 2024]],Tableau106[],4,FALSE)</f>
        <v>6</v>
      </c>
      <c r="F22" s="296" t="str">
        <f>VLOOKUP(Tableau2546[[#This Row],[CA O&amp;M s/parc
BN 2024]],Tableau106[],5,FALSE)</f>
        <v>BRIY</v>
      </c>
      <c r="G22" s="297" t="str">
        <f>VLOOKUP(Tableau2546[[#This Row],[CA O&amp;M s/parc
BN 2024]],Tableau106[],7,FALSE)</f>
        <v>EGM</v>
      </c>
      <c r="H22" s="297" t="str">
        <f>VLOOKUP(Tableau2546[[#This Row],[CA O&amp;M s/parc
BN 2024]],Tableau106[],6,FALSE)</f>
        <v>N</v>
      </c>
      <c r="I22" s="297" t="str">
        <f>VLOOKUP(Tableau2546[[#This Row],[CA O&amp;M s/parc
BN 2024]],Tableau106[],9,FALSE)</f>
        <v>NoS</v>
      </c>
      <c r="J22" s="18">
        <v>11857</v>
      </c>
      <c r="K22" s="120">
        <f>VLOOKUP(Tableau2546[[#This Row],[CODE PI]],Tableau254[[CODE PI]:[TARIF]],6,FALSE)*(1+$Q$1)</f>
        <v>172.37012437499999</v>
      </c>
      <c r="L22" s="13"/>
      <c r="M22" s="18">
        <f>Tableau2546[[#This Row],[PROD en Mwh]]*Tableau2546[[#This Row],[TARIF]]</f>
        <v>2043792.564714375</v>
      </c>
      <c r="N22" s="18"/>
    </row>
    <row r="23" spans="1:14">
      <c r="A23" s="293" t="s">
        <v>563</v>
      </c>
      <c r="B23" s="294" t="str">
        <f>VLOOKUP(Tableau2546[[#This Row],[CA O&amp;M s/parc
BN 2024]],Tableau106[],3,FALSE)</f>
        <v>A114</v>
      </c>
      <c r="C23" s="294" t="str">
        <f>VLOOKUP(Tableau2546[[#This Row],[CA O&amp;M s/parc
BN 2024]],Tableau106[],2,FALSE)</f>
        <v>FR11E95E</v>
      </c>
      <c r="D23" s="294" t="str">
        <f>VLOOKUP(Tableau2546[[#This Row],[CA O&amp;M s/parc
BN 2024]],Tableau106[],8,FALSE)</f>
        <v>EOLIEN</v>
      </c>
      <c r="E23" s="295">
        <f>VLOOKUP(Tableau2546[[#This Row],[CA O&amp;M s/parc
BN 2024]],Tableau106[],4,FALSE)</f>
        <v>11.5</v>
      </c>
      <c r="F23" s="296" t="str">
        <f>VLOOKUP(Tableau2546[[#This Row],[CA O&amp;M s/parc
BN 2024]],Tableau106[],5,FALSE)</f>
        <v>CAMB</v>
      </c>
      <c r="G23" s="297" t="str">
        <f>VLOOKUP(Tableau2546[[#This Row],[CA O&amp;M s/parc
BN 2024]],Tableau106[],7,FALSE)</f>
        <v>GROUPE</v>
      </c>
      <c r="H23" s="297" t="str">
        <f>VLOOKUP(Tableau2546[[#This Row],[CA O&amp;M s/parc
BN 2024]],Tableau106[],6,FALSE)</f>
        <v>S</v>
      </c>
      <c r="I23" s="297" t="str">
        <f>VLOOKUP(Tableau2546[[#This Row],[CA O&amp;M s/parc
BN 2024]],Tableau106[],9,FALSE)</f>
        <v>ThC</v>
      </c>
      <c r="J23" s="18">
        <v>33869.956765686977</v>
      </c>
      <c r="K23" s="120">
        <f>VLOOKUP(Tableau2546[[#This Row],[CODE PI]],Tableau254[[CODE PI]:[TARIF]],6,FALSE)*(1+$Q$1)</f>
        <v>84.023349999999994</v>
      </c>
      <c r="L23" s="13">
        <v>0</v>
      </c>
      <c r="M23" s="18">
        <f>Tableau2546[[#This Row],[PROD en Mwh]]*Tableau2546[[#This Row],[TARIF]]</f>
        <v>2845867.2318081846</v>
      </c>
      <c r="N23" s="18"/>
    </row>
    <row r="24" spans="1:14">
      <c r="A24" s="293" t="s">
        <v>466</v>
      </c>
      <c r="B24" s="294" t="str">
        <f>VLOOKUP(Tableau2546[[#This Row],[CA O&amp;M s/parc
BN 2024]],Tableau106[],3,FALSE)</f>
        <v>A047</v>
      </c>
      <c r="C24" s="294" t="str">
        <f>VLOOKUP(Tableau2546[[#This Row],[CA O&amp;M s/parc
BN 2024]],Tableau106[],2,FALSE)</f>
        <v>FR97S76E</v>
      </c>
      <c r="D24" s="294" t="str">
        <f>VLOOKUP(Tableau2546[[#This Row],[CA O&amp;M s/parc
BN 2024]],Tableau106[],8,FALSE)</f>
        <v>SOLAIRE DOM</v>
      </c>
      <c r="E24" s="295">
        <f>VLOOKUP(Tableau2546[[#This Row],[CA O&amp;M s/parc
BN 2024]],Tableau106[],4,FALSE)</f>
        <v>0.68200000000000005</v>
      </c>
      <c r="F24" s="296" t="str">
        <f>VLOOKUP(Tableau2546[[#This Row],[CA O&amp;M s/parc
BN 2024]],Tableau106[],5,FALSE)</f>
        <v>CANO</v>
      </c>
      <c r="G24" s="297" t="str">
        <f>VLOOKUP(Tableau2546[[#This Row],[CA O&amp;M s/parc
BN 2024]],Tableau106[],7,FALSE)</f>
        <v>GROUPE</v>
      </c>
      <c r="H24" s="297" t="str">
        <f>VLOOKUP(Tableau2546[[#This Row],[CA O&amp;M s/parc
BN 2024]],Tableau106[],6,FALSE)</f>
        <v>DOM</v>
      </c>
      <c r="I24" s="297" t="str">
        <f>VLOOKUP(Tableau2546[[#This Row],[CA O&amp;M s/parc
BN 2024]],Tableau106[],9,FALSE)</f>
        <v>DoJ</v>
      </c>
      <c r="J24" s="18">
        <v>656.57904901840823</v>
      </c>
      <c r="K24" s="120">
        <f>VLOOKUP(Tableau2546[[#This Row],[CODE PI]],Tableau254[[CODE PI]:[TARIF]],6,FALSE)*(1+$Q$1)</f>
        <v>526.62552499999993</v>
      </c>
      <c r="L24" s="13"/>
      <c r="M24" s="18">
        <f>Tableau2546[[#This Row],[PROD en Mwh]]*Tableau2546[[#This Row],[TARIF]]</f>
        <v>345771.2863933199</v>
      </c>
      <c r="N24" s="18"/>
    </row>
    <row r="25" spans="1:14">
      <c r="A25" s="293" t="s">
        <v>590</v>
      </c>
      <c r="B25" s="294" t="str">
        <f>VLOOKUP(Tableau2546[[#This Row],[CA O&amp;M s/parc
BN 2024]],Tableau106[],3,FALSE)</f>
        <v>A124</v>
      </c>
      <c r="C25" s="294" t="str">
        <f>VLOOKUP(Tableau2546[[#This Row],[CA O&amp;M s/parc
BN 2024]],Tableau106[],2,FALSE)</f>
        <v>FR28E99E</v>
      </c>
      <c r="D25" s="294" t="str">
        <f>VLOOKUP(Tableau2546[[#This Row],[CA O&amp;M s/parc
BN 2024]],Tableau106[],8,FALSE)</f>
        <v>EOLIEN</v>
      </c>
      <c r="E25" s="295">
        <f>VLOOKUP(Tableau2546[[#This Row],[CA O&amp;M s/parc
BN 2024]],Tableau106[],4,FALSE)</f>
        <v>12</v>
      </c>
      <c r="F25" s="296" t="str">
        <f>VLOOKUP(Tableau2546[[#This Row],[CA O&amp;M s/parc
BN 2024]],Tableau106[],5,FALSE)</f>
        <v>CDBO</v>
      </c>
      <c r="G25" s="297" t="str">
        <f>VLOOKUP(Tableau2546[[#This Row],[CA O&amp;M s/parc
BN 2024]],Tableau106[],7,FALSE)</f>
        <v>GROUPE</v>
      </c>
      <c r="H25" s="297" t="str">
        <f>VLOOKUP(Tableau2546[[#This Row],[CA O&amp;M s/parc
BN 2024]],Tableau106[],6,FALSE)</f>
        <v>N</v>
      </c>
      <c r="I25" s="297" t="str">
        <f>VLOOKUP(Tableau2546[[#This Row],[CA O&amp;M s/parc
BN 2024]],Tableau106[],9,FALSE)</f>
        <v>LoH</v>
      </c>
      <c r="J25" s="18">
        <v>43580.633641629996</v>
      </c>
      <c r="K25" s="120">
        <f>VLOOKUP(Tableau2546[[#This Row],[CODE PI]],Tableau254[[CODE PI]:[TARIF]],6,FALSE)*(1+$Q$1)</f>
        <v>200.625319475</v>
      </c>
      <c r="L25" s="13"/>
      <c r="M25" s="18">
        <f>Tableau2546[[#This Row],[PROD en Mwh]]*Tableau2546[[#This Row],[TARIF]]</f>
        <v>8743378.5472749509</v>
      </c>
      <c r="N25" s="18"/>
    </row>
    <row r="26" spans="1:14">
      <c r="A26" s="293" t="s">
        <v>622</v>
      </c>
      <c r="B26" s="294" t="str">
        <f>VLOOKUP(Tableau2546[[#This Row],[CA O&amp;M s/parc
BN 2024]],Tableau106[],3,FALSE)</f>
        <v>A049</v>
      </c>
      <c r="C26" s="294" t="str">
        <f>VLOOKUP(Tableau2546[[#This Row],[CA O&amp;M s/parc
BN 2024]],Tableau106[],2,FALSE)</f>
        <v>FR34E96E</v>
      </c>
      <c r="D26" s="294" t="str">
        <f>VLOOKUP(Tableau2546[[#This Row],[CA O&amp;M s/parc
BN 2024]],Tableau106[],8,FALSE)</f>
        <v>EOLIEN</v>
      </c>
      <c r="E26" s="295">
        <f>VLOOKUP(Tableau2546[[#This Row],[CA O&amp;M s/parc
BN 2024]],Tableau106[],4,FALSE)</f>
        <v>11.5</v>
      </c>
      <c r="F26" s="296" t="str">
        <f>VLOOKUP(Tableau2546[[#This Row],[CA O&amp;M s/parc
BN 2024]],Tableau106[],5,FALSE)</f>
        <v>CASH</v>
      </c>
      <c r="G26" s="297" t="str">
        <f>VLOOKUP(Tableau2546[[#This Row],[CA O&amp;M s/parc
BN 2024]],Tableau106[],7,FALSE)</f>
        <v>GROUPE</v>
      </c>
      <c r="H26" s="297" t="str">
        <f>VLOOKUP(Tableau2546[[#This Row],[CA O&amp;M s/parc
BN 2024]],Tableau106[],6,FALSE)</f>
        <v>S</v>
      </c>
      <c r="I26" s="297" t="str">
        <f>VLOOKUP(Tableau2546[[#This Row],[CA O&amp;M s/parc
BN 2024]],Tableau106[],9,FALSE)</f>
        <v>OdP</v>
      </c>
      <c r="J26" s="18">
        <v>28764.905751722988</v>
      </c>
      <c r="K26" s="120">
        <f>VLOOKUP(Tableau2546[[#This Row],[CODE PI]],Tableau254[[CODE PI]:[TARIF]],6,FALSE)*(1+$Q$1)</f>
        <v>200.72533897499997</v>
      </c>
      <c r="L26" s="13"/>
      <c r="M26" s="18">
        <f>Tableau2546[[#This Row],[PROD en Mwh]]*Tableau2546[[#This Row],[TARIF]]</f>
        <v>5773845.4575985232</v>
      </c>
      <c r="N26" s="18" t="s">
        <v>672</v>
      </c>
    </row>
    <row r="27" spans="1:14">
      <c r="A27" s="293" t="s">
        <v>471</v>
      </c>
      <c r="B27" s="294" t="str">
        <f>VLOOKUP(Tableau2546[[#This Row],[CA O&amp;M s/parc
BN 2024]],Tableau106[],3,FALSE)</f>
        <v>A043</v>
      </c>
      <c r="C27" s="294" t="str">
        <f>VLOOKUP(Tableau2546[[#This Row],[CA O&amp;M s/parc
BN 2024]],Tableau106[],2,FALSE)</f>
        <v>FR97S77E</v>
      </c>
      <c r="D27" s="294" t="str">
        <f>VLOOKUP(Tableau2546[[#This Row],[CA O&amp;M s/parc
BN 2024]],Tableau106[],8,FALSE)</f>
        <v>SOLAIRE DOM</v>
      </c>
      <c r="E27" s="295">
        <f>VLOOKUP(Tableau2546[[#This Row],[CA O&amp;M s/parc
BN 2024]],Tableau106[],4,FALSE)</f>
        <v>0.68200000000000005</v>
      </c>
      <c r="F27" s="296" t="str">
        <f>VLOOKUP(Tableau2546[[#This Row],[CA O&amp;M s/parc
BN 2024]],Tableau106[],5,FALSE)</f>
        <v>CESA</v>
      </c>
      <c r="G27" s="297" t="str">
        <f>VLOOKUP(Tableau2546[[#This Row],[CA O&amp;M s/parc
BN 2024]],Tableau106[],7,FALSE)</f>
        <v>GROUPE</v>
      </c>
      <c r="H27" s="297" t="str">
        <f>VLOOKUP(Tableau2546[[#This Row],[CA O&amp;M s/parc
BN 2024]],Tableau106[],6,FALSE)</f>
        <v>DOM</v>
      </c>
      <c r="I27" s="297" t="str">
        <f>VLOOKUP(Tableau2546[[#This Row],[CA O&amp;M s/parc
BN 2024]],Tableau106[],9,FALSE)</f>
        <v>DoJ</v>
      </c>
      <c r="J27" s="18">
        <f>824.450001967487*1.05</f>
        <v>865.67250206586141</v>
      </c>
      <c r="K27" s="120">
        <f>VLOOKUP(Tableau2546[[#This Row],[CODE PI]],Tableau254[[CODE PI]:[TARIF]],6,FALSE)*(1+$Q$1)</f>
        <v>526.62552499999993</v>
      </c>
      <c r="L27" s="13"/>
      <c r="M27" s="18">
        <f>Tableau2546[[#This Row],[PROD en Mwh]]*Tableau2546[[#This Row],[TARIF]]</f>
        <v>455885.23587849777</v>
      </c>
      <c r="N27" s="18"/>
    </row>
    <row r="28" spans="1:14">
      <c r="A28" s="293" t="s">
        <v>83</v>
      </c>
      <c r="B28" s="294" t="str">
        <f>VLOOKUP(Tableau2546[[#This Row],[CA O&amp;M s/parc
BN 2024]],Tableau106[],3,FALSE)</f>
        <v>A253</v>
      </c>
      <c r="C28" s="294" t="str">
        <f>VLOOKUP(Tableau2546[[#This Row],[CA O&amp;M s/parc
BN 2024]],Tableau106[],2,FALSE)</f>
        <v>FR21S01E</v>
      </c>
      <c r="D28" s="294" t="str">
        <f>VLOOKUP(Tableau2546[[#This Row],[CA O&amp;M s/parc
BN 2024]],Tableau106[],8,FALSE)</f>
        <v>SOLAIRE</v>
      </c>
      <c r="E28" s="295">
        <f>VLOOKUP(Tableau2546[[#This Row],[CA O&amp;M s/parc
BN 2024]],Tableau106[],4,FALSE)</f>
        <v>15.5</v>
      </c>
      <c r="F28" s="296" t="str">
        <f>VLOOKUP(Tableau2546[[#This Row],[CA O&amp;M s/parc
BN 2024]],Tableau106[],5,FALSE)</f>
        <v>DIJO</v>
      </c>
      <c r="G28" s="297" t="str">
        <f>VLOOKUP(Tableau2546[[#This Row],[CA O&amp;M s/parc
BN 2024]],Tableau106[],7,FALSE)</f>
        <v>GROUPE</v>
      </c>
      <c r="H28" s="297" t="str">
        <f>VLOOKUP(Tableau2546[[#This Row],[CA O&amp;M s/parc
BN 2024]],Tableau106[],6,FALSE)</f>
        <v>N</v>
      </c>
      <c r="I28" s="297" t="str">
        <f>VLOOKUP(Tableau2546[[#This Row],[CA O&amp;M s/parc
BN 2024]],Tableau106[],9,FALSE)</f>
        <v>LoG</v>
      </c>
      <c r="J28" s="18">
        <v>15603</v>
      </c>
      <c r="K28" s="120">
        <f>VLOOKUP(Tableau2546[[#This Row],[CODE PI]],Tableau254[[CODE PI]:[TARIF]],6,FALSE)*(1+$Q$1)</f>
        <v>54.929749999999999</v>
      </c>
      <c r="L28" s="13"/>
      <c r="M28" s="18">
        <f>Tableau2546[[#This Row],[PROD en Mwh]]*Tableau2546[[#This Row],[TARIF]]</f>
        <v>857068.88925000001</v>
      </c>
      <c r="N28" s="18"/>
    </row>
    <row r="29" spans="1:14">
      <c r="A29" s="293" t="s">
        <v>472</v>
      </c>
      <c r="B29" s="294" t="str">
        <f>VLOOKUP(Tableau2546[[#This Row],[CA O&amp;M s/parc
BN 2024]],Tableau106[],3,FALSE)</f>
        <v>A257</v>
      </c>
      <c r="C29" s="294" t="str">
        <f>VLOOKUP(Tableau2546[[#This Row],[CA O&amp;M s/parc
BN 2024]],Tableau106[],2,FALSE)</f>
        <v>FR71S06E</v>
      </c>
      <c r="D29" s="294" t="str">
        <f>VLOOKUP(Tableau2546[[#This Row],[CA O&amp;M s/parc
BN 2024]],Tableau106[],8,FALSE)</f>
        <v>SOLAIRE</v>
      </c>
      <c r="E29" s="295">
        <f>VLOOKUP(Tableau2546[[#This Row],[CA O&amp;M s/parc
BN 2024]],Tableau106[],4,FALSE)</f>
        <v>4.4000000000000004</v>
      </c>
      <c r="F29" s="296" t="str">
        <f>VLOOKUP(Tableau2546[[#This Row],[CA O&amp;M s/parc
BN 2024]],Tableau106[],5,FALSE)</f>
        <v>CHAG</v>
      </c>
      <c r="G29" s="297" t="str">
        <f>VLOOKUP(Tableau2546[[#This Row],[CA O&amp;M s/parc
BN 2024]],Tableau106[],7,FALSE)</f>
        <v>GROUPE</v>
      </c>
      <c r="H29" s="297" t="str">
        <f>VLOOKUP(Tableau2546[[#This Row],[CA O&amp;M s/parc
BN 2024]],Tableau106[],6,FALSE)</f>
        <v>N</v>
      </c>
      <c r="I29" s="297" t="str">
        <f>VLOOKUP(Tableau2546[[#This Row],[CA O&amp;M s/parc
BN 2024]],Tableau106[],9,FALSE)</f>
        <v>LoG</v>
      </c>
      <c r="J29" s="18">
        <v>4827.68</v>
      </c>
      <c r="K29" s="120">
        <f>VLOOKUP(Tableau2546[[#This Row],[CODE PI]],Tableau254[[CODE PI]:[TARIF]],6,FALSE)*(1+$Q$1)</f>
        <v>175.2177708333333</v>
      </c>
      <c r="L29" s="13"/>
      <c r="M29" s="18">
        <f>Tableau2546[[#This Row],[PROD en Mwh]]*Tableau2546[[#This Row],[TARIF]]</f>
        <v>845895.3278966666</v>
      </c>
      <c r="N29" s="18"/>
    </row>
    <row r="30" spans="1:14">
      <c r="A30" s="293" t="s">
        <v>524</v>
      </c>
      <c r="B30" s="294" t="str">
        <f>VLOOKUP(Tableau2546[[#This Row],[CA O&amp;M s/parc
BN 2024]],Tableau106[],3,FALSE)</f>
        <v>A419</v>
      </c>
      <c r="C30" s="294" t="str">
        <f>VLOOKUP(Tableau2546[[#This Row],[CA O&amp;M s/parc
BN 2024]],Tableau106[],2,FALSE)</f>
        <v>FR02E02E</v>
      </c>
      <c r="D30" s="294" t="str">
        <f>VLOOKUP(Tableau2546[[#This Row],[CA O&amp;M s/parc
BN 2024]],Tableau106[],8,FALSE)</f>
        <v>EOLIEN</v>
      </c>
      <c r="E30" s="295">
        <f>VLOOKUP(Tableau2546[[#This Row],[CA O&amp;M s/parc
BN 2024]],Tableau106[],4,FALSE)</f>
        <v>72</v>
      </c>
      <c r="F30" s="296" t="str">
        <f>VLOOKUP(Tableau2546[[#This Row],[CA O&amp;M s/parc
BN 2024]],Tableau106[],5,FALSE)</f>
        <v>CHPI</v>
      </c>
      <c r="G30" s="297" t="str">
        <f>VLOOKUP(Tableau2546[[#This Row],[CA O&amp;M s/parc
BN 2024]],Tableau106[],7,FALSE)</f>
        <v>GROUPE</v>
      </c>
      <c r="H30" s="297" t="str">
        <f>VLOOKUP(Tableau2546[[#This Row],[CA O&amp;M s/parc
BN 2024]],Tableau106[],6,FALSE)</f>
        <v>N</v>
      </c>
      <c r="I30" s="297" t="str">
        <f>VLOOKUP(Tableau2546[[#This Row],[CA O&amp;M s/parc
BN 2024]],Tableau106[],9,FALSE)</f>
        <v>MéS</v>
      </c>
      <c r="J30" s="18">
        <v>147693.11240685187</v>
      </c>
      <c r="K30" s="120">
        <f>VLOOKUP(Tableau2546[[#This Row],[CODE PI]],Tableau254[[CODE PI]:[TARIF]],6,FALSE)*(1+$Q$1)</f>
        <v>96.302849999999978</v>
      </c>
      <c r="L30" s="13"/>
      <c r="M30" s="18">
        <f>Tableau2546[[#This Row],[PROD en Mwh]]*Tableau2546[[#This Row],[TARIF]]</f>
        <v>14223267.650150191</v>
      </c>
      <c r="N30" s="18"/>
    </row>
    <row r="31" spans="1:14">
      <c r="A31" s="293" t="s">
        <v>538</v>
      </c>
      <c r="B31" s="294" t="str">
        <f>VLOOKUP(Tableau2546[[#This Row],[CA O&amp;M s/parc
BN 2024]],Tableau106[],3,FALSE)</f>
        <v>A992</v>
      </c>
      <c r="C31" s="294" t="str">
        <f>VLOOKUP(Tableau2546[[#This Row],[CA O&amp;M s/parc
BN 2024]],Tableau106[],2,FALSE)</f>
        <v>FR89E03E</v>
      </c>
      <c r="D31" s="294" t="str">
        <f>VLOOKUP(Tableau2546[[#This Row],[CA O&amp;M s/parc
BN 2024]],Tableau106[],8,FALSE)</f>
        <v>EOLIEN</v>
      </c>
      <c r="E31" s="295">
        <f>VLOOKUP(Tableau2546[[#This Row],[CA O&amp;M s/parc
BN 2024]],Tableau106[],4,FALSE)</f>
        <v>21.700000000000003</v>
      </c>
      <c r="F31" s="296" t="str">
        <f>VLOOKUP(Tableau2546[[#This Row],[CA O&amp;M s/parc
BN 2024]],Tableau106[],5,FALSE)</f>
        <v>GOUR</v>
      </c>
      <c r="G31" s="297" t="str">
        <f>VLOOKUP(Tableau2546[[#This Row],[CA O&amp;M s/parc
BN 2024]],Tableau106[],7,FALSE)</f>
        <v>GROUPE</v>
      </c>
      <c r="H31" s="297" t="str">
        <f>VLOOKUP(Tableau2546[[#This Row],[CA O&amp;M s/parc
BN 2024]],Tableau106[],6,FALSE)</f>
        <v>N</v>
      </c>
      <c r="I31" s="297" t="str">
        <f>VLOOKUP(Tableau2546[[#This Row],[CA O&amp;M s/parc
BN 2024]],Tableau106[],9,FALSE)</f>
        <v>LoH</v>
      </c>
      <c r="J31" s="387">
        <f>37851.775*0.99</f>
        <v>37473.257250000002</v>
      </c>
      <c r="K31" s="120">
        <f>VLOOKUP(Tableau2546[[#This Row],[CODE PI]],Tableau254[[CODE PI]:[TARIF]],6,FALSE)*(1+$Q$1)</f>
        <v>76.669999999999987</v>
      </c>
      <c r="L31" s="21"/>
      <c r="M31" s="18">
        <f>Tableau2546[[#This Row],[PROD en Mwh]]*Tableau2546[[#This Row],[TARIF]]</f>
        <v>2873074.6333574997</v>
      </c>
      <c r="N31" s="18" t="s">
        <v>673</v>
      </c>
    </row>
    <row r="32" spans="1:14">
      <c r="A32" s="293" t="s">
        <v>448</v>
      </c>
      <c r="B32" s="294" t="str">
        <f>VLOOKUP(Tableau2546[[#This Row],[CA O&amp;M s/parc
BN 2024]],Tableau106[],3,FALSE)</f>
        <v>A099</v>
      </c>
      <c r="C32" s="294" t="str">
        <f>VLOOKUP(Tableau2546[[#This Row],[CA O&amp;M s/parc
BN 2024]],Tableau106[],2,FALSE)</f>
        <v>FR28E96E</v>
      </c>
      <c r="D32" s="294" t="str">
        <f>VLOOKUP(Tableau2546[[#This Row],[CA O&amp;M s/parc
BN 2024]],Tableau106[],8,FALSE)</f>
        <v>EOLIEN</v>
      </c>
      <c r="E32" s="295">
        <f>VLOOKUP(Tableau2546[[#This Row],[CA O&amp;M s/parc
BN 2024]],Tableau106[],4,FALSE)</f>
        <v>52</v>
      </c>
      <c r="F32" s="296" t="str">
        <f>VLOOKUP(Tableau2546[[#This Row],[CA O&amp;M s/parc
BN 2024]],Tableau106[],5,FALSE)</f>
        <v>CHAB</v>
      </c>
      <c r="G32" s="297" t="str">
        <f>VLOOKUP(Tableau2546[[#This Row],[CA O&amp;M s/parc
BN 2024]],Tableau106[],7,FALSE)</f>
        <v>GROUPE</v>
      </c>
      <c r="H32" s="297" t="str">
        <f>VLOOKUP(Tableau2546[[#This Row],[CA O&amp;M s/parc
BN 2024]],Tableau106[],6,FALSE)</f>
        <v>N</v>
      </c>
      <c r="I32" s="297" t="str">
        <f>VLOOKUP(Tableau2546[[#This Row],[CA O&amp;M s/parc
BN 2024]],Tableau106[],9,FALSE)</f>
        <v>HuB</v>
      </c>
      <c r="J32" s="18">
        <f>135805/26*25</f>
        <v>130581.73076923077</v>
      </c>
      <c r="K32" s="120">
        <f>VLOOKUP(Tableau2546[[#This Row],[CODE PI]],Tableau254[[CODE PI]:[TARIF]],6,FALSE)*(1+$Q$1)</f>
        <v>126.951375</v>
      </c>
      <c r="L32" s="21"/>
      <c r="M32" s="18">
        <f>Tableau2546[[#This Row],[PROD en Mwh]]*Tableau2546[[#This Row],[TARIF]]</f>
        <v>16577530.271033654</v>
      </c>
      <c r="N32" s="18"/>
    </row>
    <row r="33" spans="1:14">
      <c r="A33" s="293" t="s">
        <v>92</v>
      </c>
      <c r="B33" s="294" t="str">
        <f>VLOOKUP(Tableau2546[[#This Row],[CA O&amp;M s/parc
BN 2024]],Tableau106[],3,FALSE)</f>
        <v>F212</v>
      </c>
      <c r="C33" s="294" t="str">
        <f>VLOOKUP(Tableau2546[[#This Row],[CA O&amp;M s/parc
BN 2024]],Tableau106[],2,FALSE)</f>
        <v>FR10E01E</v>
      </c>
      <c r="D33" s="294" t="str">
        <f>VLOOKUP(Tableau2546[[#This Row],[CA O&amp;M s/parc
BN 2024]],Tableau106[],8,FALSE)</f>
        <v>EOLIEN</v>
      </c>
      <c r="E33" s="295">
        <f>VLOOKUP(Tableau2546[[#This Row],[CA O&amp;M s/parc
BN 2024]],Tableau106[],4,FALSE)</f>
        <v>18</v>
      </c>
      <c r="F33" s="296" t="str">
        <f>VLOOKUP(Tableau2546[[#This Row],[CA O&amp;M s/parc
BN 2024]],Tableau106[],5,FALSE)</f>
        <v>CPE1, CPE2</v>
      </c>
      <c r="G33" s="297" t="str">
        <f>VLOOKUP(Tableau2546[[#This Row],[CA O&amp;M s/parc
BN 2024]],Tableau106[],7,FALSE)</f>
        <v>FUTUREN</v>
      </c>
      <c r="H33" s="297" t="str">
        <f>VLOOKUP(Tableau2546[[#This Row],[CA O&amp;M s/parc
BN 2024]],Tableau106[],6,FALSE)</f>
        <v>N</v>
      </c>
      <c r="I33" s="297" t="str">
        <f>VLOOKUP(Tableau2546[[#This Row],[CA O&amp;M s/parc
BN 2024]],Tableau106[],9,FALSE)</f>
        <v>AlY</v>
      </c>
      <c r="J33" s="18">
        <v>43897.377248639983</v>
      </c>
      <c r="K33" s="120">
        <f>VLOOKUP(Tableau2546[[#This Row],[CODE PI]],Tableau254[[CODE PI]:[TARIF]],6,FALSE)*(1+$Q$1)</f>
        <v>98.526074999999992</v>
      </c>
      <c r="L33" s="13"/>
      <c r="M33" s="18">
        <f>Tableau2546[[#This Row],[PROD en Mwh]]*Tableau2546[[#This Row],[TARIF]]</f>
        <v>4325036.2831027964</v>
      </c>
      <c r="N33" s="18"/>
    </row>
    <row r="34" spans="1:14">
      <c r="A34" s="293" t="s">
        <v>476</v>
      </c>
      <c r="B34" s="294" t="str">
        <f>VLOOKUP(Tableau2546[[#This Row],[CA O&amp;M s/parc
BN 2024]],Tableau106[],3,FALSE)</f>
        <v>A290</v>
      </c>
      <c r="C34" s="294" t="str">
        <f>VLOOKUP(Tableau2546[[#This Row],[CA O&amp;M s/parc
BN 2024]],Tableau106[],2,FALSE)</f>
        <v>FR86S03E</v>
      </c>
      <c r="D34" s="294" t="str">
        <f>VLOOKUP(Tableau2546[[#This Row],[CA O&amp;M s/parc
BN 2024]],Tableau106[],8,FALSE)</f>
        <v>SOLAIRE</v>
      </c>
      <c r="E34" s="295">
        <f>VLOOKUP(Tableau2546[[#This Row],[CA O&amp;M s/parc
BN 2024]],Tableau106[],4,FALSE)</f>
        <v>5.5</v>
      </c>
      <c r="F34" s="296" t="str">
        <f>VLOOKUP(Tableau2546[[#This Row],[CA O&amp;M s/parc
BN 2024]],Tableau106[],5,FALSE)</f>
        <v>CIVA</v>
      </c>
      <c r="G34" s="297" t="str">
        <f>VLOOKUP(Tableau2546[[#This Row],[CA O&amp;M s/parc
BN 2024]],Tableau106[],7,FALSE)</f>
        <v>GROUPE</v>
      </c>
      <c r="H34" s="297" t="str">
        <f>VLOOKUP(Tableau2546[[#This Row],[CA O&amp;M s/parc
BN 2024]],Tableau106[],6,FALSE)</f>
        <v>N</v>
      </c>
      <c r="I34" s="297" t="str">
        <f>VLOOKUP(Tableau2546[[#This Row],[CA O&amp;M s/parc
BN 2024]],Tableau106[],9,FALSE)</f>
        <v>ArB</v>
      </c>
      <c r="J34" s="18">
        <v>5941</v>
      </c>
      <c r="K34" s="120">
        <f>VLOOKUP(Tableau2546[[#This Row],[CODE PI]],Tableau254[[CODE PI]:[TARIF]],6,FALSE)*(1+$Q$1)</f>
        <v>179.46724999999998</v>
      </c>
      <c r="L34" s="21"/>
      <c r="M34" s="18">
        <f>Tableau2546[[#This Row],[PROD en Mwh]]*Tableau2546[[#This Row],[TARIF]]</f>
        <v>1066214.9322499998</v>
      </c>
      <c r="N34" s="18"/>
    </row>
    <row r="35" spans="1:14">
      <c r="A35" s="293" t="s">
        <v>570</v>
      </c>
      <c r="B35" s="294" t="str">
        <f>VLOOKUP(Tableau2546[[#This Row],[CA O&amp;M s/parc
BN 2024]],Tableau106[],3,FALSE)</f>
        <v>A532</v>
      </c>
      <c r="C35" s="294" t="str">
        <f>VLOOKUP(Tableau2546[[#This Row],[CA O&amp;M s/parc
BN 2024]],Tableau106[],2,FALSE)</f>
        <v>FR51E03E</v>
      </c>
      <c r="D35" s="294" t="str">
        <f>VLOOKUP(Tableau2546[[#This Row],[CA O&amp;M s/parc
BN 2024]],Tableau106[],8,FALSE)</f>
        <v>EOLIEN</v>
      </c>
      <c r="E35" s="295">
        <f>VLOOKUP(Tableau2546[[#This Row],[CA O&amp;M s/parc
BN 2024]],Tableau106[],4,FALSE)</f>
        <v>10.02</v>
      </c>
      <c r="F35" s="296" t="str">
        <f>VLOOKUP(Tableau2546[[#This Row],[CA O&amp;M s/parc
BN 2024]],Tableau106[],5,FALSE)</f>
        <v>CLAM</v>
      </c>
      <c r="G35" s="297" t="str">
        <f>VLOOKUP(Tableau2546[[#This Row],[CA O&amp;M s/parc
BN 2024]],Tableau106[],7,FALSE)</f>
        <v>GROUPE</v>
      </c>
      <c r="H35" s="297" t="str">
        <f>VLOOKUP(Tableau2546[[#This Row],[CA O&amp;M s/parc
BN 2024]],Tableau106[],6,FALSE)</f>
        <v>N</v>
      </c>
      <c r="I35" s="297" t="str">
        <f>VLOOKUP(Tableau2546[[#This Row],[CA O&amp;M s/parc
BN 2024]],Tableau106[],9,FALSE)</f>
        <v>AyB</v>
      </c>
      <c r="J35" s="18">
        <v>16211.145023819983</v>
      </c>
      <c r="K35" s="120">
        <f>VLOOKUP(Tableau2546[[#This Row],[CODE PI]],Tableau254[[CODE PI]:[TARIF]],6,FALSE)*(1+$Q$1)</f>
        <v>140.31395833333332</v>
      </c>
      <c r="L35" s="13"/>
      <c r="M35" s="18">
        <f>Tableau2546[[#This Row],[PROD en Mwh]]*Tableau2546[[#This Row],[TARIF]]</f>
        <v>2274649.9274079008</v>
      </c>
      <c r="N35" s="18"/>
    </row>
    <row r="36" spans="1:14">
      <c r="A36" s="293" t="s">
        <v>567</v>
      </c>
      <c r="B36" s="294" t="str">
        <f>VLOOKUP(Tableau2546[[#This Row],[CA O&amp;M s/parc
BN 2024]],Tableau106[],3,FALSE)</f>
        <v>A532</v>
      </c>
      <c r="C36" s="294" t="str">
        <f>VLOOKUP(Tableau2546[[#This Row],[CA O&amp;M s/parc
BN 2024]],Tableau106[],2,FALSE)</f>
        <v>FR51E04E</v>
      </c>
      <c r="D36" s="294" t="str">
        <f>VLOOKUP(Tableau2546[[#This Row],[CA O&amp;M s/parc
BN 2024]],Tableau106[],8,FALSE)</f>
        <v>EOLIEN</v>
      </c>
      <c r="E36" s="295">
        <f>VLOOKUP(Tableau2546[[#This Row],[CA O&amp;M s/parc
BN 2024]],Tableau106[],4,FALSE)</f>
        <v>4</v>
      </c>
      <c r="F36" s="296" t="str">
        <f>VLOOKUP(Tableau2546[[#This Row],[CA O&amp;M s/parc
BN 2024]],Tableau106[],5,FALSE)</f>
        <v>CLA2</v>
      </c>
      <c r="G36" s="297" t="str">
        <f>VLOOKUP(Tableau2546[[#This Row],[CA O&amp;M s/parc
BN 2024]],Tableau106[],7,FALSE)</f>
        <v>GROUPE</v>
      </c>
      <c r="H36" s="297" t="str">
        <f>VLOOKUP(Tableau2546[[#This Row],[CA O&amp;M s/parc
BN 2024]],Tableau106[],6,FALSE)</f>
        <v>N</v>
      </c>
      <c r="I36" s="297" t="str">
        <f>VLOOKUP(Tableau2546[[#This Row],[CA O&amp;M s/parc
BN 2024]],Tableau106[],9,FALSE)</f>
        <v>AyB</v>
      </c>
      <c r="J36" s="18">
        <v>7912.453388783988</v>
      </c>
      <c r="K36" s="120">
        <f>VLOOKUP(Tableau2546[[#This Row],[CODE PI]],Tableau254[[CODE PI]:[TARIF]],6,FALSE)*(1+$Q$1)</f>
        <v>98.81</v>
      </c>
      <c r="L36" s="13"/>
      <c r="M36" s="18">
        <f>Tableau2546[[#This Row],[PROD en Mwh]]*Tableau2546[[#This Row],[TARIF]]</f>
        <v>781829.51934574591</v>
      </c>
      <c r="N36" s="18"/>
    </row>
    <row r="37" spans="1:14">
      <c r="A37" s="293" t="s">
        <v>485</v>
      </c>
      <c r="B37" s="294" t="str">
        <f>VLOOKUP(Tableau2546[[#This Row],[CA O&amp;M s/parc
BN 2024]],Tableau106[],3,FALSE)</f>
        <v>A534</v>
      </c>
      <c r="C37" s="294" t="str">
        <f>VLOOKUP(Tableau2546[[#This Row],[CA O&amp;M s/parc
BN 2024]],Tableau106[],2,FALSE)</f>
        <v>FR62E03E</v>
      </c>
      <c r="D37" s="294" t="str">
        <f>VLOOKUP(Tableau2546[[#This Row],[CA O&amp;M s/parc
BN 2024]],Tableau106[],8,FALSE)</f>
        <v>EOLIEN</v>
      </c>
      <c r="E37" s="295">
        <f>VLOOKUP(Tableau2546[[#This Row],[CA O&amp;M s/parc
BN 2024]],Tableau106[],4,FALSE)</f>
        <v>19.8</v>
      </c>
      <c r="F37" s="296" t="str">
        <f>VLOOKUP(Tableau2546[[#This Row],[CA O&amp;M s/parc
BN 2024]],Tableau106[],5,FALSE)</f>
        <v>CARN</v>
      </c>
      <c r="G37" s="297" t="str">
        <f>VLOOKUP(Tableau2546[[#This Row],[CA O&amp;M s/parc
BN 2024]],Tableau106[],7,FALSE)</f>
        <v>GROUPE</v>
      </c>
      <c r="H37" s="297" t="str">
        <f>VLOOKUP(Tableau2546[[#This Row],[CA O&amp;M s/parc
BN 2024]],Tableau106[],6,FALSE)</f>
        <v>N</v>
      </c>
      <c r="I37" s="297" t="str">
        <f>VLOOKUP(Tableau2546[[#This Row],[CA O&amp;M s/parc
BN 2024]],Tableau106[],9,FALSE)</f>
        <v>NiL</v>
      </c>
      <c r="J37" s="18">
        <v>50627.685930755964</v>
      </c>
      <c r="K37" s="120">
        <f>VLOOKUP(Tableau2546[[#This Row],[CODE PI]],Tableau254[[CODE PI]:[TARIF]],6,FALSE)*(1+$Q$1)</f>
        <v>97.330924999999979</v>
      </c>
      <c r="L37" s="21"/>
      <c r="M37" s="18">
        <f>Tableau2546[[#This Row],[PROD en Mwh]]*Tableau2546[[#This Row],[TARIF]]</f>
        <v>4927639.5022499627</v>
      </c>
      <c r="N37" s="18"/>
    </row>
    <row r="38" spans="1:14">
      <c r="A38" s="293" t="s">
        <v>468</v>
      </c>
      <c r="B38" s="294" t="str">
        <f>VLOOKUP(Tableau2546[[#This Row],[CA O&amp;M s/parc
BN 2024]],Tableau106[],3,FALSE)</f>
        <v>A893</v>
      </c>
      <c r="C38" s="294" t="str">
        <f>VLOOKUP(Tableau2546[[#This Row],[CA O&amp;M s/parc
BN 2024]],Tableau106[],2,FALSE)</f>
        <v>FR50E99E</v>
      </c>
      <c r="D38" s="294" t="str">
        <f>VLOOKUP(Tableau2546[[#This Row],[CA O&amp;M s/parc
BN 2024]],Tableau106[],8,FALSE)</f>
        <v>EOLIEN</v>
      </c>
      <c r="E38" s="295">
        <f>VLOOKUP(Tableau2546[[#This Row],[CA O&amp;M s/parc
BN 2024]],Tableau106[],4,FALSE)</f>
        <v>3.3</v>
      </c>
      <c r="F38" s="296" t="str">
        <f>VLOOKUP(Tableau2546[[#This Row],[CA O&amp;M s/parc
BN 2024]],Tableau106[],5,FALSE)</f>
        <v>CLIT</v>
      </c>
      <c r="G38" s="297" t="str">
        <f>VLOOKUP(Tableau2546[[#This Row],[CA O&amp;M s/parc
BN 2024]],Tableau106[],7,FALSE)</f>
        <v>GROUPE</v>
      </c>
      <c r="H38" s="297" t="str">
        <f>VLOOKUP(Tableau2546[[#This Row],[CA O&amp;M s/parc
BN 2024]],Tableau106[],6,FALSE)</f>
        <v>N</v>
      </c>
      <c r="I38" s="297" t="str">
        <f>VLOOKUP(Tableau2546[[#This Row],[CA O&amp;M s/parc
BN 2024]],Tableau106[],9,FALSE)</f>
        <v>AnN</v>
      </c>
      <c r="J38" s="18">
        <v>5392.0461176714962</v>
      </c>
      <c r="K38" s="120">
        <v>58.48</v>
      </c>
      <c r="L38" s="13"/>
      <c r="M38" s="18">
        <f>Tableau2546[[#This Row],[PROD en Mwh]]*Tableau2546[[#This Row],[TARIF]]</f>
        <v>315326.85696142906</v>
      </c>
      <c r="N38" s="18"/>
    </row>
    <row r="39" spans="1:14">
      <c r="A39" s="293" t="s">
        <v>481</v>
      </c>
      <c r="B39" s="294" t="str">
        <f>VLOOKUP(Tableau2546[[#This Row],[CA O&amp;M s/parc
BN 2024]],Tableau106[],3,FALSE)</f>
        <v>A313</v>
      </c>
      <c r="C39" s="294" t="str">
        <f>VLOOKUP(Tableau2546[[#This Row],[CA O&amp;M s/parc
BN 2024]],Tableau106[],2,FALSE)</f>
        <v>FR21S03E</v>
      </c>
      <c r="D39" s="294" t="str">
        <f>VLOOKUP(Tableau2546[[#This Row],[CA O&amp;M s/parc
BN 2024]],Tableau106[],8,FALSE)</f>
        <v>SOLAIRE</v>
      </c>
      <c r="E39" s="295">
        <f>VLOOKUP(Tableau2546[[#This Row],[CA O&amp;M s/parc
BN 2024]],Tableau106[],4,FALSE)</f>
        <v>5</v>
      </c>
      <c r="F39" s="296" t="str">
        <f>VLOOKUP(Tableau2546[[#This Row],[CA O&amp;M s/parc
BN 2024]],Tableau106[],5,FALSE)</f>
        <v>COLB</v>
      </c>
      <c r="G39" s="294" t="str">
        <f>VLOOKUP(Tableau2546[[#This Row],[CA O&amp;M s/parc
BN 2024]],Tableau106[],7,FALSE)</f>
        <v>GROUPE</v>
      </c>
      <c r="H39" s="294" t="str">
        <f>VLOOKUP(Tableau2546[[#This Row],[CA O&amp;M s/parc
BN 2024]],Tableau106[],6,FALSE)</f>
        <v>N</v>
      </c>
      <c r="I39" s="294" t="str">
        <f>VLOOKUP(Tableau2546[[#This Row],[CA O&amp;M s/parc
BN 2024]],Tableau106[],9,FALSE)</f>
        <v>LoG</v>
      </c>
      <c r="J39" s="18">
        <v>5440</v>
      </c>
      <c r="K39" s="120">
        <f>VLOOKUP(Tableau2546[[#This Row],[CODE PI]],Tableau254[[CODE PI]:[TARIF]],6,FALSE)*(1+$Q$1)</f>
        <v>175.08879166666662</v>
      </c>
      <c r="L39" s="13"/>
      <c r="M39" s="18">
        <f>Tableau2546[[#This Row],[PROD en Mwh]]*Tableau2546[[#This Row],[TARIF]]</f>
        <v>952483.02666666638</v>
      </c>
      <c r="N39" s="18"/>
    </row>
    <row r="40" spans="1:14">
      <c r="A40" s="293" t="s">
        <v>544</v>
      </c>
      <c r="B40" s="294" t="str">
        <f>VLOOKUP(Tableau2546[[#This Row],[CA O&amp;M s/parc
BN 2024]],Tableau106[],3,FALSE)</f>
        <v>A958</v>
      </c>
      <c r="C40" s="294" t="str">
        <f>VLOOKUP(Tableau2546[[#This Row],[CA O&amp;M s/parc
BN 2024]],Tableau106[],2,FALSE)</f>
        <v>FR11E92E</v>
      </c>
      <c r="D40" s="294" t="str">
        <f>VLOOKUP(Tableau2546[[#This Row],[CA O&amp;M s/parc
BN 2024]],Tableau106[],8,FALSE)</f>
        <v>EOLIEN</v>
      </c>
      <c r="E40" s="295">
        <f>VLOOKUP(Tableau2546[[#This Row],[CA O&amp;M s/parc
BN 2024]],Tableau106[],4,FALSE)</f>
        <v>9.1999999999999993</v>
      </c>
      <c r="F40" s="296" t="str">
        <f>VLOOKUP(Tableau2546[[#This Row],[CA O&amp;M s/parc
BN 2024]],Tableau106[],5,FALSE)</f>
        <v>CONI</v>
      </c>
      <c r="G40" s="297" t="str">
        <f>VLOOKUP(Tableau2546[[#This Row],[CA O&amp;M s/parc
BN 2024]],Tableau106[],7,FALSE)</f>
        <v>FUTUREN</v>
      </c>
      <c r="H40" s="297" t="str">
        <f>VLOOKUP(Tableau2546[[#This Row],[CA O&amp;M s/parc
BN 2024]],Tableau106[],6,FALSE)</f>
        <v>S</v>
      </c>
      <c r="I40" s="297" t="str">
        <f>VLOOKUP(Tableau2546[[#This Row],[CA O&amp;M s/parc
BN 2024]],Tableau106[],9,FALSE)</f>
        <v>StE</v>
      </c>
      <c r="J40" s="18">
        <v>33928.907330633985</v>
      </c>
      <c r="K40" s="120">
        <f>VLOOKUP(Tableau2546[[#This Row],[CODE PI]],Tableau254[[CODE PI]:[TARIF]],6,FALSE)*(1+$Q$1)</f>
        <v>98.839724999999987</v>
      </c>
      <c r="L40" s="13">
        <v>0</v>
      </c>
      <c r="M40" s="18">
        <f>Tableau2546[[#This Row],[PROD en Mwh]]*Tableau2546[[#This Row],[TARIF]]</f>
        <v>3353523.8701103469</v>
      </c>
      <c r="N40" s="18"/>
    </row>
    <row r="41" spans="1:14" ht="12" customHeight="1">
      <c r="A41" s="293" t="s">
        <v>580</v>
      </c>
      <c r="B41" s="294" t="str">
        <f>VLOOKUP(Tableau2546[[#This Row],[CA O&amp;M s/parc
BN 2024]],Tableau106[],3,FALSE)</f>
        <v>A064</v>
      </c>
      <c r="C41" s="294" t="str">
        <f>VLOOKUP(Tableau2546[[#This Row],[CA O&amp;M s/parc
BN 2024]],Tableau106[],2,FALSE)</f>
        <v>FR34E92E</v>
      </c>
      <c r="D41" s="294" t="str">
        <f>VLOOKUP(Tableau2546[[#This Row],[CA O&amp;M s/parc
BN 2024]],Tableau106[],8,FALSE)</f>
        <v>EOLIEN</v>
      </c>
      <c r="E41" s="295">
        <f>VLOOKUP(Tableau2546[[#This Row],[CA O&amp;M s/parc
BN 2024]],Tableau106[],4,FALSE)</f>
        <v>12</v>
      </c>
      <c r="F41" s="296" t="str">
        <f>VLOOKUP(Tableau2546[[#This Row],[CA O&amp;M s/parc
BN 2024]],Tableau106[],5,FALSE)</f>
        <v>AUCO</v>
      </c>
      <c r="G41" s="297" t="str">
        <f>VLOOKUP(Tableau2546[[#This Row],[CA O&amp;M s/parc
BN 2024]],Tableau106[],7,FALSE)</f>
        <v>GROUPE</v>
      </c>
      <c r="H41" s="297" t="str">
        <f>VLOOKUP(Tableau2546[[#This Row],[CA O&amp;M s/parc
BN 2024]],Tableau106[],6,FALSE)</f>
        <v>S</v>
      </c>
      <c r="I41" s="297" t="str">
        <f>VLOOKUP(Tableau2546[[#This Row],[CA O&amp;M s/parc
BN 2024]],Tableau106[],9,FALSE)</f>
        <v>KéD</v>
      </c>
      <c r="J41" s="496">
        <v>19130.490000000002</v>
      </c>
      <c r="K41" s="120">
        <v>53</v>
      </c>
      <c r="L41" s="13"/>
      <c r="M41" s="18">
        <f>Tableau2546[[#This Row],[PROD en Mwh]]*Tableau2546[[#This Row],[TARIF]]</f>
        <v>1013915.9700000001</v>
      </c>
      <c r="N41" s="497" t="s">
        <v>1551</v>
      </c>
    </row>
    <row r="42" spans="1:14">
      <c r="A42" s="293" t="s">
        <v>106</v>
      </c>
      <c r="B42" s="294" t="str">
        <f>VLOOKUP(Tableau2546[[#This Row],[CA O&amp;M s/parc
BN 2024]],Tableau106[],3,FALSE)</f>
        <v>F069</v>
      </c>
      <c r="C42" s="294" t="str">
        <f>VLOOKUP(Tableau2546[[#This Row],[CA O&amp;M s/parc
BN 2024]],Tableau106[],2,FALSE)</f>
        <v>FR20E01E</v>
      </c>
      <c r="D42" s="294" t="str">
        <f>VLOOKUP(Tableau2546[[#This Row],[CA O&amp;M s/parc
BN 2024]],Tableau106[],8,FALSE)</f>
        <v>EOLIEN</v>
      </c>
      <c r="E42" s="295">
        <f>VLOOKUP(Tableau2546[[#This Row],[CA O&amp;M s/parc
BN 2024]],Tableau106[],4,FALSE)</f>
        <v>6</v>
      </c>
      <c r="F42" s="296" t="str">
        <f>VLOOKUP(Tableau2546[[#This Row],[CA O&amp;M s/parc
BN 2024]],Tableau106[],5,FALSE)</f>
        <v>CORS</v>
      </c>
      <c r="G42" s="297" t="str">
        <f>VLOOKUP(Tableau2546[[#This Row],[CA O&amp;M s/parc
BN 2024]],Tableau106[],7,FALSE)</f>
        <v>FUTUREN</v>
      </c>
      <c r="H42" s="297" t="str">
        <f>VLOOKUP(Tableau2546[[#This Row],[CA O&amp;M s/parc
BN 2024]],Tableau106[],6,FALSE)</f>
        <v>S</v>
      </c>
      <c r="I42" s="297" t="str">
        <f>VLOOKUP(Tableau2546[[#This Row],[CA O&amp;M s/parc
BN 2024]],Tableau106[],9,FALSE)</f>
        <v>SaH</v>
      </c>
      <c r="J42" s="18">
        <v>11516.915194265997</v>
      </c>
      <c r="K42" s="120">
        <v>55</v>
      </c>
      <c r="L42" s="13">
        <v>0</v>
      </c>
      <c r="M42" s="18">
        <f>Tableau2546[[#This Row],[PROD en Mwh]]*Tableau2546[[#This Row],[TARIF]]</f>
        <v>633430.33568462986</v>
      </c>
      <c r="N42" s="18"/>
    </row>
    <row r="43" spans="1:14">
      <c r="A43" s="293" t="s">
        <v>620</v>
      </c>
      <c r="B43" s="294" t="str">
        <f>VLOOKUP(Tableau2546[[#This Row],[CA O&amp;M s/parc
BN 2024]],Tableau106[],3,FALSE)</f>
        <v>A541</v>
      </c>
      <c r="C43" s="294" t="str">
        <f>VLOOKUP(Tableau2546[[#This Row],[CA O&amp;M s/parc
BN 2024]],Tableau106[],2,FALSE)</f>
        <v>FR55E02E</v>
      </c>
      <c r="D43" s="294" t="str">
        <f>VLOOKUP(Tableau2546[[#This Row],[CA O&amp;M s/parc
BN 2024]],Tableau106[],8,FALSE)</f>
        <v>EOLIEN</v>
      </c>
      <c r="E43" s="295">
        <f>VLOOKUP(Tableau2546[[#This Row],[CA O&amp;M s/parc
BN 2024]],Tableau106[],4,FALSE)</f>
        <v>12</v>
      </c>
      <c r="F43" s="296" t="str">
        <f>VLOOKUP(Tableau2546[[#This Row],[CA O&amp;M s/parc
BN 2024]],Tableau106[],5,FALSE)</f>
        <v>COUR</v>
      </c>
      <c r="G43" s="297" t="str">
        <f>VLOOKUP(Tableau2546[[#This Row],[CA O&amp;M s/parc
BN 2024]],Tableau106[],7,FALSE)</f>
        <v>EGM</v>
      </c>
      <c r="H43" s="297" t="str">
        <f>VLOOKUP(Tableau2546[[#This Row],[CA O&amp;M s/parc
BN 2024]],Tableau106[],6,FALSE)</f>
        <v>N</v>
      </c>
      <c r="I43" s="297" t="str">
        <f>VLOOKUP(Tableau2546[[#This Row],[CA O&amp;M s/parc
BN 2024]],Tableau106[],9,FALSE)</f>
        <v>BaB</v>
      </c>
      <c r="J43" s="18">
        <v>20935</v>
      </c>
      <c r="K43" s="120">
        <f>VLOOKUP(Tableau2546[[#This Row],[CODE PI]],Tableau254[[CODE PI]:[TARIF]],6,FALSE)*(1+$Q$1)</f>
        <v>172.49338062500001</v>
      </c>
      <c r="L43" s="13"/>
      <c r="M43" s="18">
        <f>Tableau2546[[#This Row],[PROD en Mwh]]*Tableau2546[[#This Row],[TARIF]]</f>
        <v>3611148.9233843754</v>
      </c>
      <c r="N43" s="18"/>
    </row>
    <row r="44" spans="1:14">
      <c r="A44" s="293" t="s">
        <v>486</v>
      </c>
      <c r="B44" s="294" t="str">
        <f>VLOOKUP(Tableau2546[[#This Row],[CA O&amp;M s/parc
BN 2024]],Tableau106[],3,FALSE)</f>
        <v>A290</v>
      </c>
      <c r="C44" s="294" t="str">
        <f>VLOOKUP(Tableau2546[[#This Row],[CA O&amp;M s/parc
BN 2024]],Tableau106[],2,FALSE)</f>
        <v>FR38S07E</v>
      </c>
      <c r="D44" s="294" t="str">
        <f>VLOOKUP(Tableau2546[[#This Row],[CA O&amp;M s/parc
BN 2024]],Tableau106[],8,FALSE)</f>
        <v>SOLAIRE</v>
      </c>
      <c r="E44" s="295">
        <f>VLOOKUP(Tableau2546[[#This Row],[CA O&amp;M s/parc
BN 2024]],Tableau106[],4,FALSE)</f>
        <v>10.8</v>
      </c>
      <c r="F44" s="296" t="str">
        <f>VLOOKUP(Tableau2546[[#This Row],[CA O&amp;M s/parc
BN 2024]],Tableau106[],5,FALSE)</f>
        <v>CRMA</v>
      </c>
      <c r="G44" s="297" t="str">
        <f>VLOOKUP(Tableau2546[[#This Row],[CA O&amp;M s/parc
BN 2024]],Tableau106[],7,FALSE)</f>
        <v>GROUPE</v>
      </c>
      <c r="H44" s="297" t="str">
        <f>VLOOKUP(Tableau2546[[#This Row],[CA O&amp;M s/parc
BN 2024]],Tableau106[],6,FALSE)</f>
        <v>S</v>
      </c>
      <c r="I44" s="297" t="str">
        <f>VLOOKUP(Tableau2546[[#This Row],[CA O&amp;M s/parc
BN 2024]],Tableau106[],9,FALSE)</f>
        <v>ZaA</v>
      </c>
      <c r="J44" s="18">
        <v>11891</v>
      </c>
      <c r="K44" s="120">
        <f>VLOOKUP(Tableau2546[[#This Row],[CODE PI]],Tableau254[[CODE PI]:[TARIF]],6,FALSE)*(1+$Q$1)</f>
        <v>179.46724999999998</v>
      </c>
      <c r="L44" s="13"/>
      <c r="M44" s="18">
        <f>Tableau2546[[#This Row],[PROD en Mwh]]*Tableau2546[[#This Row],[TARIF]]</f>
        <v>2134045.0697499998</v>
      </c>
      <c r="N44" s="18"/>
    </row>
    <row r="45" spans="1:14">
      <c r="A45" s="293" t="s">
        <v>487</v>
      </c>
      <c r="B45" s="294" t="str">
        <f>VLOOKUP(Tableau2546[[#This Row],[CA O&amp;M s/parc
BN 2024]],Tableau106[],3,FALSE)</f>
        <v>A385</v>
      </c>
      <c r="C45" s="294" t="str">
        <f>VLOOKUP(Tableau2546[[#This Row],[CA O&amp;M s/parc
BN 2024]],Tableau106[],2,FALSE)</f>
        <v>FR28S02E</v>
      </c>
      <c r="D45" s="294" t="str">
        <f>VLOOKUP(Tableau2546[[#This Row],[CA O&amp;M s/parc
BN 2024]],Tableau106[],8,FALSE)</f>
        <v>SOLAIRE</v>
      </c>
      <c r="E45" s="295">
        <f>VLOOKUP(Tableau2546[[#This Row],[CA O&amp;M s/parc
BN 2024]],Tableau106[],4,FALSE)</f>
        <v>36</v>
      </c>
      <c r="F45" s="298" t="str">
        <f>VLOOKUP(Tableau2546[[#This Row],[CA O&amp;M s/parc
BN 2024]],Tableau106[],5,FALSE)</f>
        <v>CY11, CY12, CY13</v>
      </c>
      <c r="G45" s="294" t="str">
        <f>VLOOKUP(Tableau2546[[#This Row],[CA O&amp;M s/parc
BN 2024]],Tableau106[],7,FALSE)</f>
        <v>GROUPE</v>
      </c>
      <c r="H45" s="294" t="str">
        <f>VLOOKUP(Tableau2546[[#This Row],[CA O&amp;M s/parc
BN 2024]],Tableau106[],6,FALSE)</f>
        <v>N</v>
      </c>
      <c r="I45" s="294" t="str">
        <f>VLOOKUP(Tableau2546[[#This Row],[CA O&amp;M s/parc
BN 2024]],Tableau106[],9,FALSE)</f>
        <v>LoG</v>
      </c>
      <c r="J45" s="18">
        <v>39888</v>
      </c>
      <c r="K45" s="120">
        <f>VLOOKUP(Tableau2546[[#This Row],[CODE PI]],Tableau254[[CODE PI]:[TARIF]],6,FALSE)*(1+$Q$1)</f>
        <v>370.95774999999998</v>
      </c>
      <c r="L45" s="13"/>
      <c r="M45" s="18">
        <f>Tableau2546[[#This Row],[PROD en Mwh]]*Tableau2546[[#This Row],[TARIF]]</f>
        <v>14796762.731999999</v>
      </c>
      <c r="N45" s="18"/>
    </row>
    <row r="46" spans="1:14">
      <c r="A46" s="293" t="s">
        <v>552</v>
      </c>
      <c r="B46" s="294" t="str">
        <f>VLOOKUP(Tableau2546[[#This Row],[CA O&amp;M s/parc
BN 2024]],Tableau106[],3,FALSE)</f>
        <v>A535</v>
      </c>
      <c r="C46" s="294" t="str">
        <f>VLOOKUP(Tableau2546[[#This Row],[CA O&amp;M s/parc
BN 2024]],Tableau106[],2,FALSE)</f>
        <v>FR02E10E</v>
      </c>
      <c r="D46" s="294" t="str">
        <f>VLOOKUP(Tableau2546[[#This Row],[CA O&amp;M s/parc
BN 2024]],Tableau106[],8,FALSE)</f>
        <v>EOLIEN</v>
      </c>
      <c r="E46" s="295">
        <f>VLOOKUP(Tableau2546[[#This Row],[CA O&amp;M s/parc
BN 2024]],Tableau106[],4,FALSE)</f>
        <v>15</v>
      </c>
      <c r="F46" s="296" t="str">
        <f>VLOOKUP(Tableau2546[[#This Row],[CA O&amp;M s/parc
BN 2024]],Tableau106[],5,FALSE)</f>
        <v>CLAN</v>
      </c>
      <c r="G46" s="297" t="str">
        <f>VLOOKUP(Tableau2546[[#This Row],[CA O&amp;M s/parc
BN 2024]],Tableau106[],7,FALSE)</f>
        <v>FUTUREN</v>
      </c>
      <c r="H46" s="297" t="str">
        <f>VLOOKUP(Tableau2546[[#This Row],[CA O&amp;M s/parc
BN 2024]],Tableau106[],6,FALSE)</f>
        <v>N</v>
      </c>
      <c r="I46" s="297" t="str">
        <f>VLOOKUP(Tableau2546[[#This Row],[CA O&amp;M s/parc
BN 2024]],Tableau106[],9,FALSE)</f>
        <v>NiL</v>
      </c>
      <c r="J46" s="18">
        <v>32414.283578692965</v>
      </c>
      <c r="K46" s="120">
        <f>VLOOKUP(Tableau2546[[#This Row],[CODE PI]],Tableau254[[CODE PI]:[TARIF]],6,FALSE)*(1+$Q$1)</f>
        <v>92.598500000000001</v>
      </c>
      <c r="L46" s="21"/>
      <c r="M46" s="18">
        <f>Tableau2546[[#This Row],[PROD en Mwh]]*Tableau2546[[#This Row],[TARIF]]</f>
        <v>3001514.0379616003</v>
      </c>
      <c r="N46" s="18"/>
    </row>
    <row r="47" spans="1:14">
      <c r="A47" s="293" t="s">
        <v>541</v>
      </c>
      <c r="B47" s="294" t="str">
        <f>VLOOKUP(Tableau2546[[#This Row],[CA O&amp;M s/parc
BN 2024]],Tableau106[],3,FALSE)</f>
        <v>A900</v>
      </c>
      <c r="C47" s="294" t="str">
        <f>VLOOKUP(Tableau2546[[#This Row],[CA O&amp;M s/parc
BN 2024]],Tableau106[],2,FALSE)</f>
        <v>FR66E99E</v>
      </c>
      <c r="D47" s="294" t="str">
        <f>VLOOKUP(Tableau2546[[#This Row],[CA O&amp;M s/parc
BN 2024]],Tableau106[],8,FALSE)</f>
        <v>EOLIEN</v>
      </c>
      <c r="E47" s="295">
        <f>VLOOKUP(Tableau2546[[#This Row],[CA O&amp;M s/parc
BN 2024]],Tableau106[],4,FALSE)</f>
        <v>96</v>
      </c>
      <c r="F47" s="296" t="str">
        <f>VLOOKUP(Tableau2546[[#This Row],[CA O&amp;M s/parc
BN 2024]],Tableau106[],5,FALSE)</f>
        <v>PEZI</v>
      </c>
      <c r="G47" s="297" t="str">
        <f>VLOOKUP(Tableau2546[[#This Row],[CA O&amp;M s/parc
BN 2024]],Tableau106[],7,FALSE)</f>
        <v>GROUPE</v>
      </c>
      <c r="H47" s="297" t="str">
        <f>VLOOKUP(Tableau2546[[#This Row],[CA O&amp;M s/parc
BN 2024]],Tableau106[],6,FALSE)</f>
        <v>S</v>
      </c>
      <c r="I47" s="297" t="str">
        <f>VLOOKUP(Tableau2546[[#This Row],[CA O&amp;M s/parc
BN 2024]],Tableau106[],9,FALSE)</f>
        <v>PiM</v>
      </c>
      <c r="J47" s="18">
        <v>253978.6143922334</v>
      </c>
      <c r="K47" s="120">
        <f>VLOOKUP(Tableau2546[[#This Row],[CODE PI]],Tableau254[[CODE PI]:[TARIF]],6,FALSE)*(1+$Q$1)</f>
        <v>99.02217499999999</v>
      </c>
      <c r="L47" s="13">
        <v>0</v>
      </c>
      <c r="M47" s="18">
        <f>Tableau2546[[#This Row],[PROD en Mwh]]*Tableau2546[[#This Row],[TARIF]]</f>
        <v>25149514.800605252</v>
      </c>
      <c r="N47" s="18"/>
    </row>
    <row r="48" spans="1:14">
      <c r="A48" s="293" t="s">
        <v>491</v>
      </c>
      <c r="B48" s="294" t="str">
        <f>VLOOKUP(Tableau2546[[#This Row],[CA O&amp;M s/parc
BN 2024]],Tableau106[],3,FALSE)</f>
        <v>A266</v>
      </c>
      <c r="C48" s="294" t="str">
        <f>VLOOKUP(Tableau2546[[#This Row],[CA O&amp;M s/parc
BN 2024]],Tableau106[],2,FALSE)</f>
        <v>FR71S05E</v>
      </c>
      <c r="D48" s="294" t="str">
        <f>VLOOKUP(Tableau2546[[#This Row],[CA O&amp;M s/parc
BN 2024]],Tableau106[],8,FALSE)</f>
        <v>SOLAIRE</v>
      </c>
      <c r="E48" s="295">
        <f>VLOOKUP(Tableau2546[[#This Row],[CA O&amp;M s/parc
BN 2024]],Tableau106[],4,FALSE)</f>
        <v>3.1</v>
      </c>
      <c r="F48" s="296" t="str">
        <f>VLOOKUP(Tableau2546[[#This Row],[CA O&amp;M s/parc
BN 2024]],Tableau106[],5,FALSE)</f>
        <v>EPIN</v>
      </c>
      <c r="G48" s="297" t="str">
        <f>VLOOKUP(Tableau2546[[#This Row],[CA O&amp;M s/parc
BN 2024]],Tableau106[],7,FALSE)</f>
        <v>GROUPE</v>
      </c>
      <c r="H48" s="297" t="str">
        <f>VLOOKUP(Tableau2546[[#This Row],[CA O&amp;M s/parc
BN 2024]],Tableau106[],6,FALSE)</f>
        <v>N</v>
      </c>
      <c r="I48" s="297" t="str">
        <f>VLOOKUP(Tableau2546[[#This Row],[CA O&amp;M s/parc
BN 2024]],Tableau106[],9,FALSE)</f>
        <v>LoG</v>
      </c>
      <c r="J48" s="18">
        <v>3119</v>
      </c>
      <c r="K48" s="120">
        <f>VLOOKUP(Tableau2546[[#This Row],[CODE PI]],Tableau254[[CODE PI]:[TARIF]],6,FALSE)*(1+$Q$1)</f>
        <v>179.46724999999998</v>
      </c>
      <c r="L48" s="13"/>
      <c r="M48" s="18">
        <f>Tableau2546[[#This Row],[PROD en Mwh]]*Tableau2546[[#This Row],[TARIF]]</f>
        <v>559758.35274999996</v>
      </c>
      <c r="N48" s="18"/>
    </row>
    <row r="49" spans="1:14">
      <c r="A49" s="293" t="s">
        <v>506</v>
      </c>
      <c r="B49" s="294" t="str">
        <f>VLOOKUP(Tableau2546[[#This Row],[CA O&amp;M s/parc
BN 2024]],Tableau106[],3,FALSE)</f>
        <v>A541</v>
      </c>
      <c r="C49" s="294" t="str">
        <f>VLOOKUP(Tableau2546[[#This Row],[CA O&amp;M s/parc
BN 2024]],Tableau106[],2,FALSE)</f>
        <v>FR55E03E</v>
      </c>
      <c r="D49" s="294" t="str">
        <f>VLOOKUP(Tableau2546[[#This Row],[CA O&amp;M s/parc
BN 2024]],Tableau106[],8,FALSE)</f>
        <v>EOLIEN</v>
      </c>
      <c r="E49" s="295">
        <f>VLOOKUP(Tableau2546[[#This Row],[CA O&amp;M s/parc
BN 2024]],Tableau106[],4,FALSE)</f>
        <v>11.5</v>
      </c>
      <c r="F49" s="296" t="str">
        <f>VLOOKUP(Tableau2546[[#This Row],[CA O&amp;M s/parc
BN 2024]],Tableau106[],5,FALSE)</f>
        <v>ERIZ</v>
      </c>
      <c r="G49" s="297" t="str">
        <f>VLOOKUP(Tableau2546[[#This Row],[CA O&amp;M s/parc
BN 2024]],Tableau106[],7,FALSE)</f>
        <v>EGM</v>
      </c>
      <c r="H49" s="297" t="str">
        <f>VLOOKUP(Tableau2546[[#This Row],[CA O&amp;M s/parc
BN 2024]],Tableau106[],6,FALSE)</f>
        <v>N</v>
      </c>
      <c r="I49" s="297" t="str">
        <f>VLOOKUP(Tableau2546[[#This Row],[CA O&amp;M s/parc
BN 2024]],Tableau106[],9,FALSE)</f>
        <v>MaA</v>
      </c>
      <c r="J49" s="18">
        <v>18951</v>
      </c>
      <c r="K49" s="120">
        <f>VLOOKUP(Tableau2546[[#This Row],[CODE PI]],Tableau254[[CODE PI]:[TARIF]],6,FALSE)*(1+$Q$1)</f>
        <v>172.45773624999998</v>
      </c>
      <c r="L49" s="13"/>
      <c r="M49" s="18">
        <f>Tableau2546[[#This Row],[PROD en Mwh]]*Tableau2546[[#This Row],[TARIF]]</f>
        <v>3268246.5596737498</v>
      </c>
      <c r="N49" s="18"/>
    </row>
    <row r="50" spans="1:14">
      <c r="A50" s="293" t="s">
        <v>526</v>
      </c>
      <c r="B50" s="294" t="str">
        <f>VLOOKUP(Tableau2546[[#This Row],[CA O&amp;M s/parc
BN 2024]],Tableau106[],3,FALSE)</f>
        <v>A967</v>
      </c>
      <c r="C50" s="294" t="str">
        <f>VLOOKUP(Tableau2546[[#This Row],[CA O&amp;M s/parc
BN 2024]],Tableau106[],2,FALSE)</f>
        <v>FR28E97E</v>
      </c>
      <c r="D50" s="294" t="str">
        <f>VLOOKUP(Tableau2546[[#This Row],[CA O&amp;M s/parc
BN 2024]],Tableau106[],8,FALSE)</f>
        <v>EOLIEN</v>
      </c>
      <c r="E50" s="295">
        <f>VLOOKUP(Tableau2546[[#This Row],[CA O&amp;M s/parc
BN 2024]],Tableau106[],4,FALSE)</f>
        <v>17</v>
      </c>
      <c r="F50" s="296" t="str">
        <f>VLOOKUP(Tableau2546[[#This Row],[CA O&amp;M s/parc
BN 2024]],Tableau106[],5,FALSE)</f>
        <v>ESPS</v>
      </c>
      <c r="G50" s="297" t="str">
        <f>VLOOKUP(Tableau2546[[#This Row],[CA O&amp;M s/parc
BN 2024]],Tableau106[],7,FALSE)</f>
        <v>FUTUREN</v>
      </c>
      <c r="H50" s="297" t="str">
        <f>VLOOKUP(Tableau2546[[#This Row],[CA O&amp;M s/parc
BN 2024]],Tableau106[],6,FALSE)</f>
        <v>N</v>
      </c>
      <c r="I50" s="297" t="str">
        <f>VLOOKUP(Tableau2546[[#This Row],[CA O&amp;M s/parc
BN 2024]],Tableau106[],9,FALSE)</f>
        <v>AlY</v>
      </c>
      <c r="J50" s="18">
        <v>43173.057967652938</v>
      </c>
      <c r="K50" s="120">
        <f>VLOOKUP(Tableau2546[[#This Row],[CODE PI]],Tableau254[[CODE PI]:[TARIF]],6,FALSE)*(1+$Q$1)</f>
        <v>94.54497499999998</v>
      </c>
      <c r="L50" s="13"/>
      <c r="M50" s="18">
        <f>Tableau2546[[#This Row],[PROD en Mwh]]*Tableau2546[[#This Row],[TARIF]]</f>
        <v>4081795.6862252969</v>
      </c>
      <c r="N50" s="18"/>
    </row>
    <row r="51" spans="1:14">
      <c r="A51" s="293" t="s">
        <v>493</v>
      </c>
      <c r="B51" s="294" t="str">
        <f>VLOOKUP(Tableau2546[[#This Row],[CA O&amp;M s/parc
BN 2024]],Tableau106[],3,FALSE)</f>
        <v>A353</v>
      </c>
      <c r="C51" s="294" t="str">
        <f>VLOOKUP(Tableau2546[[#This Row],[CA O&amp;M s/parc
BN 2024]],Tableau106[],2,FALSE)</f>
        <v>FR13S08E</v>
      </c>
      <c r="D51" s="294" t="str">
        <f>VLOOKUP(Tableau2546[[#This Row],[CA O&amp;M s/parc
BN 2024]],Tableau106[],8,FALSE)</f>
        <v>SOLAIRE</v>
      </c>
      <c r="E51" s="295">
        <f>VLOOKUP(Tableau2546[[#This Row],[CA O&amp;M s/parc
BN 2024]],Tableau106[],4,FALSE)</f>
        <v>10.4</v>
      </c>
      <c r="F51" s="296" t="str">
        <f>VLOOKUP(Tableau2546[[#This Row],[CA O&amp;M s/parc
BN 2024]],Tableau106[],5,FALSE)</f>
        <v>EYGU</v>
      </c>
      <c r="G51" s="297" t="str">
        <f>VLOOKUP(Tableau2546[[#This Row],[CA O&amp;M s/parc
BN 2024]],Tableau106[],7,FALSE)</f>
        <v>GROUPE</v>
      </c>
      <c r="H51" s="297" t="str">
        <f>VLOOKUP(Tableau2546[[#This Row],[CA O&amp;M s/parc
BN 2024]],Tableau106[],6,FALSE)</f>
        <v>S</v>
      </c>
      <c r="I51" s="297" t="str">
        <f>VLOOKUP(Tableau2546[[#This Row],[CA O&amp;M s/parc
BN 2024]],Tableau106[],9,FALSE)</f>
        <v>ArB</v>
      </c>
      <c r="J51" s="18">
        <v>14747.2</v>
      </c>
      <c r="K51" s="120">
        <f>VLOOKUP(Tableau2546[[#This Row],[CODE PI]],Tableau254[[CODE PI]:[TARIF]],6,FALSE)*(1+$Q$1)</f>
        <v>175.2177708333333</v>
      </c>
      <c r="L51" s="21"/>
      <c r="M51" s="18">
        <f>Tableau2546[[#This Row],[PROD en Mwh]]*Tableau2546[[#This Row],[TARIF]]</f>
        <v>2583971.5100333332</v>
      </c>
      <c r="N51" s="18"/>
    </row>
    <row r="52" spans="1:14">
      <c r="A52" s="293" t="s">
        <v>616</v>
      </c>
      <c r="B52" s="294" t="str">
        <f>VLOOKUP(Tableau2546[[#This Row],[CA O&amp;M s/parc
BN 2024]],Tableau106[],3,FALSE)</f>
        <v>A895</v>
      </c>
      <c r="C52" s="294" t="str">
        <f>VLOOKUP(Tableau2546[[#This Row],[CA O&amp;M s/parc
BN 2024]],Tableau106[],2,FALSE)</f>
        <v>FR76E99E</v>
      </c>
      <c r="D52" s="294" t="str">
        <f>VLOOKUP(Tableau2546[[#This Row],[CA O&amp;M s/parc
BN 2024]],Tableau106[],8,FALSE)</f>
        <v>EOLIEN</v>
      </c>
      <c r="E52" s="295">
        <f>VLOOKUP(Tableau2546[[#This Row],[CA O&amp;M s/parc
BN 2024]],Tableau106[],4,FALSE)</f>
        <v>4.5</v>
      </c>
      <c r="F52" s="296" t="str">
        <f>VLOOKUP(Tableau2546[[#This Row],[CA O&amp;M s/parc
BN 2024]],Tableau106[],5,FALSE)</f>
        <v>FECA</v>
      </c>
      <c r="G52" s="297" t="str">
        <f>VLOOKUP(Tableau2546[[#This Row],[CA O&amp;M s/parc
BN 2024]],Tableau106[],7,FALSE)</f>
        <v>GROUPE</v>
      </c>
      <c r="H52" s="297" t="str">
        <f>VLOOKUP(Tableau2546[[#This Row],[CA O&amp;M s/parc
BN 2024]],Tableau106[],6,FALSE)</f>
        <v>N</v>
      </c>
      <c r="I52" s="297" t="str">
        <f>VLOOKUP(Tableau2546[[#This Row],[CA O&amp;M s/parc
BN 2024]],Tableau106[],9,FALSE)</f>
        <v>AnN</v>
      </c>
      <c r="J52" s="18">
        <v>9950.8478151538802</v>
      </c>
      <c r="K52" s="120">
        <f>VLOOKUP(Tableau2546[[#This Row],[CODE PI]],Tableau254[[CODE PI]:[TARIF]],6,FALSE)*(1+$Q$1)</f>
        <v>165.85610416666665</v>
      </c>
      <c r="L52" s="13"/>
      <c r="M52" s="18">
        <f>Tableau2546[[#This Row],[PROD en Mwh]]*Tableau2546[[#This Row],[TARIF]]</f>
        <v>1650408.8517768092</v>
      </c>
      <c r="N52" s="18"/>
    </row>
    <row r="53" spans="1:14">
      <c r="A53" s="293" t="s">
        <v>353</v>
      </c>
      <c r="B53" s="294" t="str">
        <f>VLOOKUP(Tableau2546[[#This Row],[CA O&amp;M s/parc
BN 2024]],Tableau106[],3,FALSE)</f>
        <v>A257</v>
      </c>
      <c r="C53" s="294" t="str">
        <f>VLOOKUP(Tableau2546[[#This Row],[CA O&amp;M s/parc
BN 2024]],Tableau106[],2,FALSE)</f>
        <v>FR11S06E</v>
      </c>
      <c r="D53" s="294" t="str">
        <f>VLOOKUP(Tableau2546[[#This Row],[CA O&amp;M s/parc
BN 2024]],Tableau106[],8,FALSE)</f>
        <v>SOLAIRE</v>
      </c>
      <c r="E53" s="295">
        <f>VLOOKUP(Tableau2546[[#This Row],[CA O&amp;M s/parc
BN 2024]],Tableau106[],4,FALSE)</f>
        <v>4.5999999999999996</v>
      </c>
      <c r="F53" s="296" t="str">
        <f>VLOOKUP(Tableau2546[[#This Row],[CA O&amp;M s/parc
BN 2024]],Tableau106[],5,FALSE)</f>
        <v>STPA</v>
      </c>
      <c r="G53" s="297" t="str">
        <f>VLOOKUP(Tableau2546[[#This Row],[CA O&amp;M s/parc
BN 2024]],Tableau106[],7,FALSE)</f>
        <v>GROUPE</v>
      </c>
      <c r="H53" s="297" t="str">
        <f>VLOOKUP(Tableau2546[[#This Row],[CA O&amp;M s/parc
BN 2024]],Tableau106[],6,FALSE)</f>
        <v>S</v>
      </c>
      <c r="I53" s="297" t="str">
        <f>VLOOKUP(Tableau2546[[#This Row],[CA O&amp;M s/parc
BN 2024]],Tableau106[],9,FALSE)</f>
        <v>BaA</v>
      </c>
      <c r="J53" s="18">
        <v>6061</v>
      </c>
      <c r="K53" s="120">
        <f>VLOOKUP(Tableau2546[[#This Row],[CODE PI]],Tableau254[[CODE PI]:[TARIF]],6,FALSE)*(1+$Q$1)</f>
        <v>67.444999999999993</v>
      </c>
      <c r="L53" s="21"/>
      <c r="M53" s="18">
        <f>Tableau2546[[#This Row],[PROD en Mwh]]*Tableau2546[[#This Row],[TARIF]]</f>
        <v>408784.14499999996</v>
      </c>
      <c r="N53" s="18"/>
    </row>
    <row r="54" spans="1:14">
      <c r="A54" s="293" t="s">
        <v>586</v>
      </c>
      <c r="B54" s="294" t="str">
        <f>VLOOKUP(Tableau2546[[#This Row],[CA O&amp;M s/parc
BN 2024]],Tableau106[],3,FALSE)</f>
        <v>A053</v>
      </c>
      <c r="C54" s="294" t="str">
        <f>VLOOKUP(Tableau2546[[#This Row],[CA O&amp;M s/parc
BN 2024]],Tableau106[],2,FALSE)</f>
        <v>FR62E99E</v>
      </c>
      <c r="D54" s="294" t="str">
        <f>VLOOKUP(Tableau2546[[#This Row],[CA O&amp;M s/parc
BN 2024]],Tableau106[],8,FALSE)</f>
        <v>EOLIEN</v>
      </c>
      <c r="E54" s="295">
        <f>VLOOKUP(Tableau2546[[#This Row],[CA O&amp;M s/parc
BN 2024]],Tableau106[],4,FALSE)</f>
        <v>11.5</v>
      </c>
      <c r="F54" s="296" t="str">
        <f>VLOOKUP(Tableau2546[[#This Row],[CA O&amp;M s/parc
BN 2024]],Tableau106[],5,FALSE)</f>
        <v>FIEN</v>
      </c>
      <c r="G54" s="297" t="str">
        <f>VLOOKUP(Tableau2546[[#This Row],[CA O&amp;M s/parc
BN 2024]],Tableau106[],7,FALSE)</f>
        <v>GROUPE</v>
      </c>
      <c r="H54" s="297" t="str">
        <f>VLOOKUP(Tableau2546[[#This Row],[CA O&amp;M s/parc
BN 2024]],Tableau106[],6,FALSE)</f>
        <v>N</v>
      </c>
      <c r="I54" s="297" t="str">
        <f>VLOOKUP(Tableau2546[[#This Row],[CA O&amp;M s/parc
BN 2024]],Tableau106[],9,FALSE)</f>
        <v>MéS</v>
      </c>
      <c r="J54" s="18">
        <v>27669.96284326796</v>
      </c>
      <c r="K54" s="120">
        <f>VLOOKUP(Tableau2546[[#This Row],[CODE PI]],Tableau254[[CODE PI]:[TARIF]],6,FALSE)*(1+$Q$1)</f>
        <v>200.44440184999999</v>
      </c>
      <c r="L54" s="21"/>
      <c r="M54" s="18">
        <f>Tableau2546[[#This Row],[PROD en Mwh]]*Tableau2546[[#This Row],[TARIF]]</f>
        <v>5546289.1513305716</v>
      </c>
      <c r="N54" s="18"/>
    </row>
    <row r="55" spans="1:14">
      <c r="A55" s="293" t="s">
        <v>484</v>
      </c>
      <c r="B55" s="294" t="str">
        <f>VLOOKUP(Tableau2546[[#This Row],[CA O&amp;M s/parc
BN 2024]],Tableau106[],3,FALSE)</f>
        <v>A542</v>
      </c>
      <c r="C55" s="294" t="str">
        <f>VLOOKUP(Tableau2546[[#This Row],[CA O&amp;M s/parc
BN 2024]],Tableau106[],2,FALSE)</f>
        <v>FR11E03E</v>
      </c>
      <c r="D55" s="294" t="str">
        <f>VLOOKUP(Tableau2546[[#This Row],[CA O&amp;M s/parc
BN 2024]],Tableau106[],8,FALSE)</f>
        <v>EOLIEN</v>
      </c>
      <c r="E55" s="295">
        <f>VLOOKUP(Tableau2546[[#This Row],[CA O&amp;M s/parc
BN 2024]],Tableau106[],4,FALSE)</f>
        <v>11.7</v>
      </c>
      <c r="F55" s="296" t="str">
        <f>VLOOKUP(Tableau2546[[#This Row],[CA O&amp;M s/parc
BN 2024]],Tableau106[],5,FALSE)</f>
        <v>FITO</v>
      </c>
      <c r="G55" s="297" t="str">
        <f>VLOOKUP(Tableau2546[[#This Row],[CA O&amp;M s/parc
BN 2024]],Tableau106[],7,FALSE)</f>
        <v>EGM</v>
      </c>
      <c r="H55" s="297" t="str">
        <f>VLOOKUP(Tableau2546[[#This Row],[CA O&amp;M s/parc
BN 2024]],Tableau106[],6,FALSE)</f>
        <v>S</v>
      </c>
      <c r="I55" s="297" t="str">
        <f>VLOOKUP(Tableau2546[[#This Row],[CA O&amp;M s/parc
BN 2024]],Tableau106[],9,FALSE)</f>
        <v>StE</v>
      </c>
      <c r="J55" s="18">
        <v>17971</v>
      </c>
      <c r="K55" s="120">
        <v>50</v>
      </c>
      <c r="L55" s="13">
        <v>0</v>
      </c>
      <c r="M55" s="18">
        <f>Tableau2546[[#This Row],[PROD en Mwh]]*Tableau2546[[#This Row],[TARIF]]</f>
        <v>898550</v>
      </c>
      <c r="N55" s="18" t="s">
        <v>674</v>
      </c>
    </row>
    <row r="56" spans="1:14">
      <c r="A56" s="293" t="s">
        <v>496</v>
      </c>
      <c r="B56" s="294" t="str">
        <f>VLOOKUP(Tableau2546[[#This Row],[CA O&amp;M s/parc
BN 2024]],Tableau106[],3,FALSE)</f>
        <v>F032</v>
      </c>
      <c r="C56" s="294" t="str">
        <f>VLOOKUP(Tableau2546[[#This Row],[CA O&amp;M s/parc
BN 2024]],Tableau106[],2,FALSE)</f>
        <v>FR80E96E</v>
      </c>
      <c r="D56" s="294" t="str">
        <f>VLOOKUP(Tableau2546[[#This Row],[CA O&amp;M s/parc
BN 2024]],Tableau106[],8,FALSE)</f>
        <v>EOLIEN</v>
      </c>
      <c r="E56" s="295">
        <f>VLOOKUP(Tableau2546[[#This Row],[CA O&amp;M s/parc
BN 2024]],Tableau106[],4,FALSE)</f>
        <v>10</v>
      </c>
      <c r="F56" s="296" t="str">
        <f>VLOOKUP(Tableau2546[[#This Row],[CA O&amp;M s/parc
BN 2024]],Tableau106[],5,FALSE)</f>
        <v>CEFF</v>
      </c>
      <c r="G56" s="297" t="str">
        <f>VLOOKUP(Tableau2546[[#This Row],[CA O&amp;M s/parc
BN 2024]],Tableau106[],7,FALSE)</f>
        <v>FUTUREN</v>
      </c>
      <c r="H56" s="297" t="str">
        <f>VLOOKUP(Tableau2546[[#This Row],[CA O&amp;M s/parc
BN 2024]],Tableau106[],6,FALSE)</f>
        <v>N</v>
      </c>
      <c r="I56" s="297" t="str">
        <f>VLOOKUP(Tableau2546[[#This Row],[CA O&amp;M s/parc
BN 2024]],Tableau106[],9,FALSE)</f>
        <v>NiD</v>
      </c>
      <c r="J56" s="18">
        <v>18131.316917537992</v>
      </c>
      <c r="K56" s="120">
        <v>150</v>
      </c>
      <c r="L56" s="13"/>
      <c r="M56" s="18">
        <f>Tableau2546[[#This Row],[PROD en Mwh]]*Tableau2546[[#This Row],[TARIF]]</f>
        <v>2719697.5376306986</v>
      </c>
      <c r="N56" s="18"/>
    </row>
    <row r="57" spans="1:14">
      <c r="A57" s="293" t="s">
        <v>118</v>
      </c>
      <c r="B57" s="294" t="str">
        <f>VLOOKUP(Tableau2546[[#This Row],[CA O&amp;M s/parc
BN 2024]],Tableau106[],3,FALSE)</f>
        <v>F142</v>
      </c>
      <c r="C57" s="294" t="str">
        <f>VLOOKUP(Tableau2546[[#This Row],[CA O&amp;M s/parc
BN 2024]],Tableau106[],2,FALSE)</f>
        <v>FR55E14E</v>
      </c>
      <c r="D57" s="294" t="str">
        <f>VLOOKUP(Tableau2546[[#This Row],[CA O&amp;M s/parc
BN 2024]],Tableau106[],8,FALSE)</f>
        <v>EOLIEN</v>
      </c>
      <c r="E57" s="295">
        <f>VLOOKUP(Tableau2546[[#This Row],[CA O&amp;M s/parc
BN 2024]],Tableau106[],4,FALSE)</f>
        <v>19.8</v>
      </c>
      <c r="F57" s="296" t="str">
        <f>VLOOKUP(Tableau2546[[#This Row],[CA O&amp;M s/parc
BN 2024]],Tableau106[],5,FALSE)</f>
        <v>DEM1, DEM2</v>
      </c>
      <c r="G57" s="297" t="str">
        <f>VLOOKUP(Tableau2546[[#This Row],[CA O&amp;M s/parc
BN 2024]],Tableau106[],7,FALSE)</f>
        <v>FUTUREN</v>
      </c>
      <c r="H57" s="297" t="str">
        <f>VLOOKUP(Tableau2546[[#This Row],[CA O&amp;M s/parc
BN 2024]],Tableau106[],6,FALSE)</f>
        <v>N</v>
      </c>
      <c r="I57" s="297" t="str">
        <f>VLOOKUP(Tableau2546[[#This Row],[CA O&amp;M s/parc
BN 2024]],Tableau106[],9,FALSE)</f>
        <v>NiL</v>
      </c>
      <c r="J57" s="18">
        <v>46301.305267679985</v>
      </c>
      <c r="K57" s="120">
        <f>VLOOKUP(Tableau2546[[#This Row],[CODE PI]],Tableau254[[CODE PI]:[TARIF]],6,FALSE)*(1+$Q$1)</f>
        <v>92.967500000000001</v>
      </c>
      <c r="L57" s="21"/>
      <c r="M57" s="18">
        <f>Tableau2546[[#This Row],[PROD en Mwh]]*Tableau2546[[#This Row],[TARIF]]</f>
        <v>4304516.5974730393</v>
      </c>
      <c r="N57" s="18"/>
    </row>
    <row r="58" spans="1:14">
      <c r="A58" s="293" t="s">
        <v>498</v>
      </c>
      <c r="B58" s="294" t="str">
        <f>VLOOKUP(Tableau2546[[#This Row],[CA O&amp;M s/parc
BN 2024]],Tableau106[],3,FALSE)</f>
        <v>A037</v>
      </c>
      <c r="C58" s="294" t="str">
        <f>VLOOKUP(Tableau2546[[#This Row],[CA O&amp;M s/parc
BN 2024]],Tableau106[],2,FALSE)</f>
        <v>FR13S15E</v>
      </c>
      <c r="D58" s="294" t="str">
        <f>VLOOKUP(Tableau2546[[#This Row],[CA O&amp;M s/parc
BN 2024]],Tableau106[],8,FALSE)</f>
        <v>SOLAIRE</v>
      </c>
      <c r="E58" s="295">
        <f>VLOOKUP(Tableau2546[[#This Row],[CA O&amp;M s/parc
BN 2024]],Tableau106[],4,FALSE)</f>
        <v>11.9</v>
      </c>
      <c r="F58" s="296" t="str">
        <f>VLOOKUP(Tableau2546[[#This Row],[CA O&amp;M s/parc
BN 2024]],Tableau106[],5,FALSE)</f>
        <v>FOST</v>
      </c>
      <c r="G58" s="297" t="str">
        <f>VLOOKUP(Tableau2546[[#This Row],[CA O&amp;M s/parc
BN 2024]],Tableau106[],7,FALSE)</f>
        <v>GROUPE</v>
      </c>
      <c r="H58" s="297" t="str">
        <f>VLOOKUP(Tableau2546[[#This Row],[CA O&amp;M s/parc
BN 2024]],Tableau106[],6,FALSE)</f>
        <v>S</v>
      </c>
      <c r="I58" s="297" t="str">
        <f>VLOOKUP(Tableau2546[[#This Row],[CA O&amp;M s/parc
BN 2024]],Tableau106[],9,FALSE)</f>
        <v>ArB</v>
      </c>
      <c r="J58" s="18">
        <v>11284.211900264569</v>
      </c>
      <c r="K58" s="120">
        <f>VLOOKUP(Tableau2546[[#This Row],[CODE PI]],Tableau254[[CODE PI]:[TARIF]],6,FALSE)*(1+$Q$1)</f>
        <v>63.984599999999993</v>
      </c>
      <c r="L58" s="21"/>
      <c r="M58" s="18">
        <f>Tableau2546[[#This Row],[PROD en Mwh]]*Tableau2546[[#This Row],[TARIF]]</f>
        <v>722015.78475366824</v>
      </c>
      <c r="N58" s="18"/>
    </row>
    <row r="59" spans="1:14">
      <c r="A59" s="293" t="s">
        <v>581</v>
      </c>
      <c r="B59" s="294" t="str">
        <f>VLOOKUP(Tableau2546[[#This Row],[CA O&amp;M s/parc
BN 2024]],Tableau106[],3,FALSE)</f>
        <v>A063</v>
      </c>
      <c r="C59" s="294" t="str">
        <f>VLOOKUP(Tableau2546[[#This Row],[CA O&amp;M s/parc
BN 2024]],Tableau106[],2,FALSE)</f>
        <v>FR34E85E</v>
      </c>
      <c r="D59" s="294" t="str">
        <f>VLOOKUP(Tableau2546[[#This Row],[CA O&amp;M s/parc
BN 2024]],Tableau106[],8,FALSE)</f>
        <v>EOLIEN</v>
      </c>
      <c r="E59" s="295">
        <f>VLOOKUP(Tableau2546[[#This Row],[CA O&amp;M s/parc
BN 2024]],Tableau106[],4,FALSE)</f>
        <v>11.5</v>
      </c>
      <c r="F59" s="296" t="str">
        <f>VLOOKUP(Tableau2546[[#This Row],[CA O&amp;M s/parc
BN 2024]],Tableau106[],5,FALSE)</f>
        <v>FRA1</v>
      </c>
      <c r="G59" s="297" t="str">
        <f>VLOOKUP(Tableau2546[[#This Row],[CA O&amp;M s/parc
BN 2024]],Tableau106[],7,FALSE)</f>
        <v>FUTUREN</v>
      </c>
      <c r="H59" s="297" t="str">
        <f>VLOOKUP(Tableau2546[[#This Row],[CA O&amp;M s/parc
BN 2024]],Tableau106[],6,FALSE)</f>
        <v>S</v>
      </c>
      <c r="I59" s="297" t="str">
        <f>VLOOKUP(Tableau2546[[#This Row],[CA O&amp;M s/parc
BN 2024]],Tableau106[],9,FALSE)</f>
        <v>OdP</v>
      </c>
      <c r="J59" s="18">
        <v>43790</v>
      </c>
      <c r="K59" s="120">
        <f>VLOOKUP(Tableau2546[[#This Row],[CODE PI]],Tableau254[[CODE PI]:[TARIF]],6,FALSE)*(1+$Q$1)</f>
        <v>202.16036562499994</v>
      </c>
      <c r="L59" s="13"/>
      <c r="M59" s="18">
        <f>Tableau2546[[#This Row],[PROD en Mwh]]*Tableau2546[[#This Row],[TARIF]]</f>
        <v>8852602.4107187465</v>
      </c>
      <c r="N59" s="18" t="s">
        <v>672</v>
      </c>
    </row>
    <row r="60" spans="1:14">
      <c r="A60" s="293" t="s">
        <v>515</v>
      </c>
      <c r="B60" s="294" t="str">
        <f>VLOOKUP(Tableau2546[[#This Row],[CA O&amp;M s/parc
BN 2024]],Tableau106[],3,FALSE)</f>
        <v>A894</v>
      </c>
      <c r="C60" s="294" t="str">
        <f>VLOOKUP(Tableau2546[[#This Row],[CA O&amp;M s/parc
BN 2024]],Tableau106[],2,FALSE)</f>
        <v>FR07E99E</v>
      </c>
      <c r="D60" s="294" t="str">
        <f>VLOOKUP(Tableau2546[[#This Row],[CA O&amp;M s/parc
BN 2024]],Tableau106[],8,FALSE)</f>
        <v>EOLIEN</v>
      </c>
      <c r="E60" s="295">
        <f>VLOOKUP(Tableau2546[[#This Row],[CA O&amp;M s/parc
BN 2024]],Tableau106[],4,FALSE)</f>
        <v>10</v>
      </c>
      <c r="F60" s="296" t="str">
        <f>VLOOKUP(Tableau2546[[#This Row],[CA O&amp;M s/parc
BN 2024]],Tableau106[],5,FALSE)</f>
        <v>FREY</v>
      </c>
      <c r="G60" s="297" t="str">
        <f>VLOOKUP(Tableau2546[[#This Row],[CA O&amp;M s/parc
BN 2024]],Tableau106[],7,FALSE)</f>
        <v>GROUPE</v>
      </c>
      <c r="H60" s="297" t="str">
        <f>VLOOKUP(Tableau2546[[#This Row],[CA O&amp;M s/parc
BN 2024]],Tableau106[],6,FALSE)</f>
        <v>S</v>
      </c>
      <c r="I60" s="297" t="str">
        <f>VLOOKUP(Tableau2546[[#This Row],[CA O&amp;M s/parc
BN 2024]],Tableau106[],9,FALSE)</f>
        <v>ThC</v>
      </c>
      <c r="J60" s="18">
        <v>30638.013907703986</v>
      </c>
      <c r="K60" s="120">
        <v>100</v>
      </c>
      <c r="L60" s="21">
        <v>0</v>
      </c>
      <c r="M60" s="18">
        <f>Tableau2546[[#This Row],[PROD en Mwh]]*Tableau2546[[#This Row],[TARIF]]</f>
        <v>3063801.3907703985</v>
      </c>
      <c r="N60" s="18"/>
    </row>
    <row r="61" spans="1:14">
      <c r="A61" s="293" t="s">
        <v>500</v>
      </c>
      <c r="B61" s="294" t="str">
        <f>VLOOKUP(Tableau2546[[#This Row],[CA O&amp;M s/parc
BN 2024]],Tableau106[],3,FALSE)</f>
        <v>A191</v>
      </c>
      <c r="C61" s="294" t="str">
        <f>VLOOKUP(Tableau2546[[#This Row],[CA O&amp;M s/parc
BN 2024]],Tableau106[],2,FALSE)</f>
        <v>FR40S04E</v>
      </c>
      <c r="D61" s="294" t="str">
        <f>VLOOKUP(Tableau2546[[#This Row],[CA O&amp;M s/parc
BN 2024]],Tableau106[],8,FALSE)</f>
        <v>SOLAIRE</v>
      </c>
      <c r="E61" s="295">
        <f>VLOOKUP(Tableau2546[[#This Row],[CA O&amp;M s/parc
BN 2024]],Tableau106[],4,FALSE)</f>
        <v>11.9</v>
      </c>
      <c r="F61" s="296" t="str">
        <f>VLOOKUP(Tableau2546[[#This Row],[CA O&amp;M s/parc
BN 2024]],Tableau106[],5,FALSE)</f>
        <v>GAB1</v>
      </c>
      <c r="G61" s="297" t="str">
        <f>VLOOKUP(Tableau2546[[#This Row],[CA O&amp;M s/parc
BN 2024]],Tableau106[],7,FALSE)</f>
        <v>GROUPE</v>
      </c>
      <c r="H61" s="297" t="str">
        <f>VLOOKUP(Tableau2546[[#This Row],[CA O&amp;M s/parc
BN 2024]],Tableau106[],6,FALSE)</f>
        <v>S</v>
      </c>
      <c r="I61" s="297" t="str">
        <f>VLOOKUP(Tableau2546[[#This Row],[CA O&amp;M s/parc
BN 2024]],Tableau106[],9,FALSE)</f>
        <v>BaA</v>
      </c>
      <c r="J61" s="18">
        <v>12065.484988282853</v>
      </c>
      <c r="K61" s="120">
        <f>VLOOKUP(Tableau2546[[#This Row],[CODE PI]],Tableau254[[CODE PI]:[TARIF]],6,FALSE)*(1+$Q$1)</f>
        <v>404.48652499999997</v>
      </c>
      <c r="L61" s="21"/>
      <c r="M61" s="18">
        <f>Tableau2546[[#This Row],[PROD en Mwh]]*Tableau2546[[#This Row],[TARIF]]</f>
        <v>4880326.0953501966</v>
      </c>
      <c r="N61" s="18"/>
    </row>
    <row r="62" spans="1:14">
      <c r="A62" s="293" t="s">
        <v>501</v>
      </c>
      <c r="B62" s="294" t="str">
        <f>VLOOKUP(Tableau2546[[#This Row],[CA O&amp;M s/parc
BN 2024]],Tableau106[],3,FALSE)</f>
        <v>A194</v>
      </c>
      <c r="C62" s="294" t="str">
        <f>VLOOKUP(Tableau2546[[#This Row],[CA O&amp;M s/parc
BN 2024]],Tableau106[],2,FALSE)</f>
        <v>FR40S07E</v>
      </c>
      <c r="D62" s="294" t="str">
        <f>VLOOKUP(Tableau2546[[#This Row],[CA O&amp;M s/parc
BN 2024]],Tableau106[],8,FALSE)</f>
        <v>SOLAIRE</v>
      </c>
      <c r="E62" s="295">
        <f>VLOOKUP(Tableau2546[[#This Row],[CA O&amp;M s/parc
BN 2024]],Tableau106[],4,FALSE)</f>
        <v>11.89</v>
      </c>
      <c r="F62" s="296" t="str">
        <f>VLOOKUP(Tableau2546[[#This Row],[CA O&amp;M s/parc
BN 2024]],Tableau106[],5,FALSE)</f>
        <v>GAB4</v>
      </c>
      <c r="G62" s="297" t="str">
        <f>VLOOKUP(Tableau2546[[#This Row],[CA O&amp;M s/parc
BN 2024]],Tableau106[],7,FALSE)</f>
        <v>GROUPE</v>
      </c>
      <c r="H62" s="297" t="str">
        <f>VLOOKUP(Tableau2546[[#This Row],[CA O&amp;M s/parc
BN 2024]],Tableau106[],6,FALSE)</f>
        <v>S</v>
      </c>
      <c r="I62" s="297" t="str">
        <f>VLOOKUP(Tableau2546[[#This Row],[CA O&amp;M s/parc
BN 2024]],Tableau106[],9,FALSE)</f>
        <v>BaA</v>
      </c>
      <c r="J62" s="18">
        <v>12436.650363685087</v>
      </c>
      <c r="K62" s="120">
        <f>VLOOKUP(Tableau2546[[#This Row],[CODE PI]],Tableau254[[CODE PI]:[TARIF]],6,FALSE)*(1+$Q$1)</f>
        <v>404.35224999999997</v>
      </c>
      <c r="L62" s="13"/>
      <c r="M62" s="18">
        <f>Tableau2546[[#This Row],[PROD en Mwh]]*Tableau2546[[#This Row],[TARIF]]</f>
        <v>5028787.5570193827</v>
      </c>
      <c r="N62" s="18"/>
    </row>
    <row r="63" spans="1:14">
      <c r="A63" s="293" t="s">
        <v>502</v>
      </c>
      <c r="B63" s="294" t="str">
        <f>VLOOKUP(Tableau2546[[#This Row],[CA O&amp;M s/parc
BN 2024]],Tableau106[],3,FALSE)</f>
        <v>A197</v>
      </c>
      <c r="C63" s="294" t="str">
        <f>VLOOKUP(Tableau2546[[#This Row],[CA O&amp;M s/parc
BN 2024]],Tableau106[],2,FALSE)</f>
        <v>FR40S10E</v>
      </c>
      <c r="D63" s="294" t="str">
        <f>VLOOKUP(Tableau2546[[#This Row],[CA O&amp;M s/parc
BN 2024]],Tableau106[],8,FALSE)</f>
        <v>SOLAIRE</v>
      </c>
      <c r="E63" s="295">
        <f>VLOOKUP(Tableau2546[[#This Row],[CA O&amp;M s/parc
BN 2024]],Tableau106[],4,FALSE)</f>
        <v>2.89</v>
      </c>
      <c r="F63" s="296" t="str">
        <f>VLOOKUP(Tableau2546[[#This Row],[CA O&amp;M s/parc
BN 2024]],Tableau106[],5,FALSE)</f>
        <v>GAB7</v>
      </c>
      <c r="G63" s="297" t="str">
        <f>VLOOKUP(Tableau2546[[#This Row],[CA O&amp;M s/parc
BN 2024]],Tableau106[],7,FALSE)</f>
        <v>GROUPE</v>
      </c>
      <c r="H63" s="297" t="str">
        <f>VLOOKUP(Tableau2546[[#This Row],[CA O&amp;M s/parc
BN 2024]],Tableau106[],6,FALSE)</f>
        <v>S</v>
      </c>
      <c r="I63" s="297" t="str">
        <f>VLOOKUP(Tableau2546[[#This Row],[CA O&amp;M s/parc
BN 2024]],Tableau106[],9,FALSE)</f>
        <v>BaA</v>
      </c>
      <c r="J63" s="18">
        <v>2822.2468934254839</v>
      </c>
      <c r="K63" s="120">
        <f>VLOOKUP(Tableau2546[[#This Row],[CODE PI]],Tableau254[[CODE PI]:[TARIF]],6,FALSE)*(1+$Q$1)</f>
        <v>390.02274999999997</v>
      </c>
      <c r="L63" s="13"/>
      <c r="M63" s="18">
        <f>Tableau2546[[#This Row],[PROD en Mwh]]*Tableau2546[[#This Row],[TARIF]]</f>
        <v>1100740.4945527641</v>
      </c>
      <c r="N63" s="18"/>
    </row>
    <row r="64" spans="1:14">
      <c r="A64" s="293" t="s">
        <v>503</v>
      </c>
      <c r="B64" s="294" t="str">
        <f>VLOOKUP(Tableau2546[[#This Row],[CA O&amp;M s/parc
BN 2024]],Tableau106[],3,FALSE)</f>
        <v>A139</v>
      </c>
      <c r="C64" s="294" t="str">
        <f>VLOOKUP(Tableau2546[[#This Row],[CA O&amp;M s/parc
BN 2024]],Tableau106[],2,FALSE)</f>
        <v>FR40S99E</v>
      </c>
      <c r="D64" s="294" t="str">
        <f>VLOOKUP(Tableau2546[[#This Row],[CA O&amp;M s/parc
BN 2024]],Tableau106[],8,FALSE)</f>
        <v>SOLAIRE</v>
      </c>
      <c r="E64" s="295">
        <f>VLOOKUP(Tableau2546[[#This Row],[CA O&amp;M s/parc
BN 2024]],Tableau106[],4,FALSE)</f>
        <v>1.998</v>
      </c>
      <c r="F64" s="296" t="str">
        <f>VLOOKUP(Tableau2546[[#This Row],[CA O&amp;M s/parc
BN 2024]],Tableau106[],5,FALSE)</f>
        <v>GABT</v>
      </c>
      <c r="G64" s="294" t="str">
        <f>VLOOKUP(Tableau2546[[#This Row],[CA O&amp;M s/parc
BN 2024]],Tableau106[],7,FALSE)</f>
        <v>GROUPE</v>
      </c>
      <c r="H64" s="294" t="str">
        <f>VLOOKUP(Tableau2546[[#This Row],[CA O&amp;M s/parc
BN 2024]],Tableau106[],6,FALSE)</f>
        <v>S</v>
      </c>
      <c r="I64" s="294" t="str">
        <f>VLOOKUP(Tableau2546[[#This Row],[CA O&amp;M s/parc
BN 2024]],Tableau106[],9,FALSE)</f>
        <v>BaA</v>
      </c>
      <c r="J64" s="18">
        <v>2738.0118369875026</v>
      </c>
      <c r="K64" s="120">
        <f>VLOOKUP(Tableau2546[[#This Row],[CODE PI]],Tableau254[[CODE PI]:[TARIF]],6,FALSE)*(1+$Q$1)</f>
        <v>390.58137499999998</v>
      </c>
      <c r="L64" s="13"/>
      <c r="M64" s="18">
        <f>Tableau2546[[#This Row],[PROD en Mwh]]*Tableau2546[[#This Row],[TARIF]]</f>
        <v>1069416.4280568545</v>
      </c>
      <c r="N64" s="18"/>
    </row>
    <row r="65" spans="1:14">
      <c r="A65" s="293" t="s">
        <v>155</v>
      </c>
      <c r="B65" s="294" t="str">
        <f>VLOOKUP(Tableau2546[[#This Row],[CA O&amp;M s/parc
BN 2024]],Tableau106[],3,FALSE)</f>
        <v>F239</v>
      </c>
      <c r="C65" s="294" t="str">
        <f>VLOOKUP(Tableau2546[[#This Row],[CA O&amp;M s/parc
BN 2024]],Tableau106[],2,FALSE)</f>
        <v>FR28E91E</v>
      </c>
      <c r="D65" s="294" t="str">
        <f>VLOOKUP(Tableau2546[[#This Row],[CA O&amp;M s/parc
BN 2024]],Tableau106[],8,FALSE)</f>
        <v>EOLIEN</v>
      </c>
      <c r="E65" s="295">
        <f>VLOOKUP(Tableau2546[[#This Row],[CA O&amp;M s/parc
BN 2024]],Tableau106[],4,FALSE)</f>
        <v>18.399999999999999</v>
      </c>
      <c r="F65" s="296" t="str">
        <f>VLOOKUP(Tableau2546[[#This Row],[CA O&amp;M s/parc
BN 2024]],Tableau106[],5,FALSE)</f>
        <v>GAR1, GAR2</v>
      </c>
      <c r="G65" s="297" t="str">
        <f>VLOOKUP(Tableau2546[[#This Row],[CA O&amp;M s/parc
BN 2024]],Tableau106[],7,FALSE)</f>
        <v>FUTUREN</v>
      </c>
      <c r="H65" s="297" t="str">
        <f>VLOOKUP(Tableau2546[[#This Row],[CA O&amp;M s/parc
BN 2024]],Tableau106[],6,FALSE)</f>
        <v>N</v>
      </c>
      <c r="I65" s="297" t="str">
        <f>VLOOKUP(Tableau2546[[#This Row],[CA O&amp;M s/parc
BN 2024]],Tableau106[],9,FALSE)</f>
        <v>NoS</v>
      </c>
      <c r="J65" s="18">
        <v>34504</v>
      </c>
      <c r="K65" s="120">
        <f>VLOOKUP(Tableau2546[[#This Row],[CODE PI]],Tableau254[[CODE PI]:[TARIF]],6,FALSE)*(1+$Q$1)</f>
        <v>101.18799999999999</v>
      </c>
      <c r="L65" s="13"/>
      <c r="M65" s="18">
        <f>Tableau2546[[#This Row],[PROD en Mwh]]*Tableau2546[[#This Row],[TARIF]]</f>
        <v>3491390.7519999994</v>
      </c>
      <c r="N65" s="18"/>
    </row>
    <row r="66" spans="1:14">
      <c r="A66" s="293" t="s">
        <v>505</v>
      </c>
      <c r="B66" s="294" t="str">
        <f>VLOOKUP(Tableau2546[[#This Row],[CA O&amp;M s/parc
BN 2024]],Tableau106[],3,FALSE)</f>
        <v>A237</v>
      </c>
      <c r="C66" s="294" t="str">
        <f>VLOOKUP(Tableau2546[[#This Row],[CA O&amp;M s/parc
BN 2024]],Tableau106[],2,FALSE)</f>
        <v>FR23S01E</v>
      </c>
      <c r="D66" s="294" t="str">
        <f>VLOOKUP(Tableau2546[[#This Row],[CA O&amp;M s/parc
BN 2024]],Tableau106[],8,FALSE)</f>
        <v>SOLAIRE</v>
      </c>
      <c r="E66" s="295">
        <f>VLOOKUP(Tableau2546[[#This Row],[CA O&amp;M s/parc
BN 2024]],Tableau106[],4,FALSE)</f>
        <v>14.7</v>
      </c>
      <c r="F66" s="296" t="str">
        <f>VLOOKUP(Tableau2546[[#This Row],[CA O&amp;M s/parc
BN 2024]],Tableau106[],5,FALSE)</f>
        <v>GDGT</v>
      </c>
      <c r="G66" s="297" t="str">
        <f>VLOOKUP(Tableau2546[[#This Row],[CA O&amp;M s/parc
BN 2024]],Tableau106[],7,FALSE)</f>
        <v>GROUPE</v>
      </c>
      <c r="H66" s="297" t="str">
        <f>VLOOKUP(Tableau2546[[#This Row],[CA O&amp;M s/parc
BN 2024]],Tableau106[],6,FALSE)</f>
        <v>S</v>
      </c>
      <c r="I66" s="297" t="str">
        <f>VLOOKUP(Tableau2546[[#This Row],[CA O&amp;M s/parc
BN 2024]],Tableau106[],9,FALSE)</f>
        <v>ArB</v>
      </c>
      <c r="J66" s="18">
        <v>15217</v>
      </c>
      <c r="K66" s="120">
        <f>VLOOKUP(Tableau2546[[#This Row],[CODE PI]],Tableau254[[CODE PI]:[TARIF]],6,FALSE)*(1+$Q$1)</f>
        <v>61.426199999999994</v>
      </c>
      <c r="L66" s="13"/>
      <c r="M66" s="18">
        <f>Tableau2546[[#This Row],[PROD en Mwh]]*Tableau2546[[#This Row],[TARIF]]</f>
        <v>934722.48539999989</v>
      </c>
      <c r="N66" s="18"/>
    </row>
    <row r="67" spans="1:14">
      <c r="A67" s="293" t="s">
        <v>565</v>
      </c>
      <c r="B67" s="294" t="str">
        <f>VLOOKUP(Tableau2546[[#This Row],[CA O&amp;M s/parc
BN 2024]],Tableau106[],3,FALSE)</f>
        <v>A540</v>
      </c>
      <c r="C67" s="294" t="str">
        <f>VLOOKUP(Tableau2546[[#This Row],[CA O&amp;M s/parc
BN 2024]],Tableau106[],2,FALSE)</f>
        <v>FR56E02E</v>
      </c>
      <c r="D67" s="294" t="str">
        <f>VLOOKUP(Tableau2546[[#This Row],[CA O&amp;M s/parc
BN 2024]],Tableau106[],8,FALSE)</f>
        <v>EOLIEN</v>
      </c>
      <c r="E67" s="295">
        <f>VLOOKUP(Tableau2546[[#This Row],[CA O&amp;M s/parc
BN 2024]],Tableau106[],4,FALSE)</f>
        <v>12</v>
      </c>
      <c r="F67" s="296" t="str">
        <f>VLOOKUP(Tableau2546[[#This Row],[CA O&amp;M s/parc
BN 2024]],Tableau106[],5,FALSE)</f>
        <v>GRPL</v>
      </c>
      <c r="G67" s="297" t="str">
        <f>VLOOKUP(Tableau2546[[#This Row],[CA O&amp;M s/parc
BN 2024]],Tableau106[],7,FALSE)</f>
        <v>EGM</v>
      </c>
      <c r="H67" s="297" t="str">
        <f>VLOOKUP(Tableau2546[[#This Row],[CA O&amp;M s/parc
BN 2024]],Tableau106[],6,FALSE)</f>
        <v>N</v>
      </c>
      <c r="I67" s="297" t="str">
        <f>VLOOKUP(Tableau2546[[#This Row],[CA O&amp;M s/parc
BN 2024]],Tableau106[],9,FALSE)</f>
        <v>MaA</v>
      </c>
      <c r="J67" s="18">
        <v>21290.716</v>
      </c>
      <c r="K67" s="120">
        <f>VLOOKUP(Tableau2546[[#This Row],[CODE PI]],Tableau254[[CODE PI]:[TARIF]],6,FALSE)*(1+$Q$1)</f>
        <v>127.56808333333332</v>
      </c>
      <c r="L67" s="13"/>
      <c r="M67" s="18">
        <f>Tableau2546[[#This Row],[PROD en Mwh]]*Tableau2546[[#This Row],[TARIF]]</f>
        <v>2716015.8329143329</v>
      </c>
      <c r="N67" s="18"/>
    </row>
    <row r="68" spans="1:14">
      <c r="A68" s="293" t="s">
        <v>467</v>
      </c>
      <c r="B68" s="294" t="str">
        <f>VLOOKUP(Tableau2546[[#This Row],[CA O&amp;M s/parc
BN 2024]],Tableau106[],3,FALSE)</f>
        <v>A420</v>
      </c>
      <c r="C68" s="294" t="str">
        <f>VLOOKUP(Tableau2546[[#This Row],[CA O&amp;M s/parc
BN 2024]],Tableau106[],2,FALSE)</f>
        <v>FR28E02E</v>
      </c>
      <c r="D68" s="294" t="str">
        <f>VLOOKUP(Tableau2546[[#This Row],[CA O&amp;M s/parc
BN 2024]],Tableau106[],8,FALSE)</f>
        <v>EOLIEN</v>
      </c>
      <c r="E68" s="295">
        <f>VLOOKUP(Tableau2546[[#This Row],[CA O&amp;M s/parc
BN 2024]],Tableau106[],4,FALSE)</f>
        <v>17.7</v>
      </c>
      <c r="F68" s="296" t="str">
        <f>VLOOKUP(Tableau2546[[#This Row],[CA O&amp;M s/parc
BN 2024]],Tableau106[],5,FALSE)</f>
        <v>GUIL</v>
      </c>
      <c r="G68" s="297" t="str">
        <f>VLOOKUP(Tableau2546[[#This Row],[CA O&amp;M s/parc
BN 2024]],Tableau106[],7,FALSE)</f>
        <v>GROUPE</v>
      </c>
      <c r="H68" s="297" t="str">
        <f>VLOOKUP(Tableau2546[[#This Row],[CA O&amp;M s/parc
BN 2024]],Tableau106[],6,FALSE)</f>
        <v>N</v>
      </c>
      <c r="I68" s="297" t="str">
        <f>VLOOKUP(Tableau2546[[#This Row],[CA O&amp;M s/parc
BN 2024]],Tableau106[],9,FALSE)</f>
        <v>AlY</v>
      </c>
      <c r="J68" s="18">
        <v>42508.588327789977</v>
      </c>
      <c r="K68" s="120">
        <f>VLOOKUP(Tableau2546[[#This Row],[CODE PI]],Tableau254[[CODE PI]:[TARIF]],6,FALSE)*(1+$Q$1)</f>
        <v>93.459499999999991</v>
      </c>
      <c r="L68" s="21"/>
      <c r="M68" s="18">
        <f>Tableau2546[[#This Row],[PROD en Mwh]]*Tableau2546[[#This Row],[TARIF]]</f>
        <v>3972831.4108210872</v>
      </c>
      <c r="N68" s="18"/>
    </row>
    <row r="69" spans="1:14">
      <c r="A69" s="293" t="s">
        <v>547</v>
      </c>
      <c r="B69" s="294" t="str">
        <f>VLOOKUP(Tableau2546[[#This Row],[CA O&amp;M s/parc
BN 2024]],Tableau106[],3,FALSE)</f>
        <v>F168</v>
      </c>
      <c r="C69" s="294" t="str">
        <f>VLOOKUP(Tableau2546[[#This Row],[CA O&amp;M s/parc
BN 2024]],Tableau106[],2,FALSE)</f>
        <v>FR80E91E</v>
      </c>
      <c r="D69" s="294" t="str">
        <f>VLOOKUP(Tableau2546[[#This Row],[CA O&amp;M s/parc
BN 2024]],Tableau106[],8,FALSE)</f>
        <v>EOLIEN</v>
      </c>
      <c r="E69" s="295">
        <f>VLOOKUP(Tableau2546[[#This Row],[CA O&amp;M s/parc
BN 2024]],Tableau106[],4,FALSE)</f>
        <v>21</v>
      </c>
      <c r="F69" s="296" t="str">
        <f>VLOOKUP(Tableau2546[[#This Row],[CA O&amp;M s/parc
BN 2024]],Tableau106[],5,FALSE)</f>
        <v>HAB1, HAB2</v>
      </c>
      <c r="G69" s="297" t="str">
        <f>VLOOKUP(Tableau2546[[#This Row],[CA O&amp;M s/parc
BN 2024]],Tableau106[],7,FALSE)</f>
        <v>FUTUREN</v>
      </c>
      <c r="H69" s="297" t="str">
        <f>VLOOKUP(Tableau2546[[#This Row],[CA O&amp;M s/parc
BN 2024]],Tableau106[],6,FALSE)</f>
        <v>N</v>
      </c>
      <c r="I69" s="297" t="str">
        <f>VLOOKUP(Tableau2546[[#This Row],[CA O&amp;M s/parc
BN 2024]],Tableau106[],9,FALSE)</f>
        <v>NiD</v>
      </c>
      <c r="J69" s="18">
        <v>40607.339773274958</v>
      </c>
      <c r="K69" s="120">
        <f>VLOOKUP(Tableau2546[[#This Row],[CODE PI]],Tableau254[[CODE PI]:[TARIF]],6,FALSE)*(1+$Q$1)</f>
        <v>98.369249999999994</v>
      </c>
      <c r="L69" s="13"/>
      <c r="M69" s="18">
        <f>Tableau2546[[#This Row],[PROD en Mwh]]*Tableau2546[[#This Row],[TARIF]]</f>
        <v>3994513.5579922274</v>
      </c>
      <c r="N69" s="18"/>
    </row>
    <row r="70" spans="1:14">
      <c r="A70" s="293" t="s">
        <v>507</v>
      </c>
      <c r="B70" s="294" t="str">
        <f>VLOOKUP(Tableau2546[[#This Row],[CA O&amp;M s/parc
BN 2024]],Tableau106[],3,FALSE)</f>
        <v>A286</v>
      </c>
      <c r="C70" s="294" t="str">
        <f>VLOOKUP(Tableau2546[[#This Row],[CA O&amp;M s/parc
BN 2024]],Tableau106[],2,FALSE)</f>
        <v>FR28E03E</v>
      </c>
      <c r="D70" s="294" t="str">
        <f>VLOOKUP(Tableau2546[[#This Row],[CA O&amp;M s/parc
BN 2024]],Tableau106[],8,FALSE)</f>
        <v>EOLIEN</v>
      </c>
      <c r="E70" s="295">
        <f>VLOOKUP(Tableau2546[[#This Row],[CA O&amp;M s/parc
BN 2024]],Tableau106[],4,FALSE)</f>
        <v>13.2</v>
      </c>
      <c r="F70" s="296" t="str">
        <f>VLOOKUP(Tableau2546[[#This Row],[CA O&amp;M s/parc
BN 2024]],Tableau106[],5,FALSE)</f>
        <v>FOGU</v>
      </c>
      <c r="G70" s="297" t="str">
        <f>VLOOKUP(Tableau2546[[#This Row],[CA O&amp;M s/parc
BN 2024]],Tableau106[],7,FALSE)</f>
        <v>GROUPE</v>
      </c>
      <c r="H70" s="297" t="str">
        <f>VLOOKUP(Tableau2546[[#This Row],[CA O&amp;M s/parc
BN 2024]],Tableau106[],6,FALSE)</f>
        <v>N</v>
      </c>
      <c r="I70" s="297" t="str">
        <f>VLOOKUP(Tableau2546[[#This Row],[CA O&amp;M s/parc
BN 2024]],Tableau106[],9,FALSE)</f>
        <v>NiL</v>
      </c>
      <c r="J70" s="18">
        <v>27256</v>
      </c>
      <c r="K70" s="120">
        <f>VLOOKUP(Tableau2546[[#This Row],[CODE PI]],Tableau254[[CODE PI]:[TARIF]],6,FALSE)*(1+$Q$1)</f>
        <v>81.076475000000002</v>
      </c>
      <c r="L70" s="21"/>
      <c r="M70" s="18">
        <f>Tableau2546[[#This Row],[PROD en Mwh]]*Tableau2546[[#This Row],[TARIF]]</f>
        <v>2209820.4026000001</v>
      </c>
      <c r="N70" s="18"/>
    </row>
    <row r="71" spans="1:14" s="6" customFormat="1">
      <c r="A71" s="293" t="s">
        <v>443</v>
      </c>
      <c r="B71" s="294" t="str">
        <f>VLOOKUP(Tableau2546[[#This Row],[CA O&amp;M s/parc
BN 2024]],Tableau106[],3,FALSE)</f>
        <v>A051</v>
      </c>
      <c r="C71" s="294" t="str">
        <f>VLOOKUP(Tableau2546[[#This Row],[CA O&amp;M s/parc
BN 2024]],Tableau106[],2,FALSE)</f>
        <v>FR85E99E</v>
      </c>
      <c r="D71" s="294" t="str">
        <f>VLOOKUP(Tableau2546[[#This Row],[CA O&amp;M s/parc
BN 2024]],Tableau106[],8,FALSE)</f>
        <v>EOLIEN</v>
      </c>
      <c r="E71" s="295">
        <f>VLOOKUP(Tableau2546[[#This Row],[CA O&amp;M s/parc
BN 2024]],Tableau106[],4,FALSE)</f>
        <v>12</v>
      </c>
      <c r="F71" s="296" t="str">
        <f>VLOOKUP(Tableau2546[[#This Row],[CA O&amp;M s/parc
BN 2024]],Tableau106[],5,FALSE)</f>
        <v>JADE</v>
      </c>
      <c r="G71" s="297" t="str">
        <f>VLOOKUP(Tableau2546[[#This Row],[CA O&amp;M s/parc
BN 2024]],Tableau106[],7,FALSE)</f>
        <v>GROUPE</v>
      </c>
      <c r="H71" s="297" t="str">
        <f>VLOOKUP(Tableau2546[[#This Row],[CA O&amp;M s/parc
BN 2024]],Tableau106[],6,FALSE)</f>
        <v>N</v>
      </c>
      <c r="I71" s="297" t="str">
        <f>VLOOKUP(Tableau2546[[#This Row],[CA O&amp;M s/parc
BN 2024]],Tableau106[],9,FALSE)</f>
        <v>AyB</v>
      </c>
      <c r="J71" s="18">
        <v>22663.149453203943</v>
      </c>
      <c r="K71" s="120">
        <f>VLOOKUP(Tableau2546[[#This Row],[CODE PI]],Tableau254[[CODE PI]:[TARIF]],6,FALSE)*(1+$Q$1)</f>
        <v>122.04931249999998</v>
      </c>
      <c r="L71" s="21"/>
      <c r="M71" s="18">
        <f>Tableau2546[[#This Row],[PROD en Mwh]]*Tableau2546[[#This Row],[TARIF]]</f>
        <v>2766021.8098482918</v>
      </c>
      <c r="N71" s="18"/>
    </row>
    <row r="72" spans="1:14">
      <c r="A72" s="293" t="s">
        <v>464</v>
      </c>
      <c r="B72" s="294" t="str">
        <f>VLOOKUP(Tableau2546[[#This Row],[CA O&amp;M s/parc
BN 2024]],Tableau106[],3,FALSE)</f>
        <v>A281</v>
      </c>
      <c r="C72" s="294" t="str">
        <f>VLOOKUP(Tableau2546[[#This Row],[CA O&amp;M s/parc
BN 2024]],Tableau106[],2,FALSE)</f>
        <v>FR86E05E</v>
      </c>
      <c r="D72" s="294" t="str">
        <f>VLOOKUP(Tableau2546[[#This Row],[CA O&amp;M s/parc
BN 2024]],Tableau106[],8,FALSE)</f>
        <v>EOLIEN</v>
      </c>
      <c r="E72" s="295">
        <f>VLOOKUP(Tableau2546[[#This Row],[CA O&amp;M s/parc
BN 2024]],Tableau106[],4,FALSE)</f>
        <v>15</v>
      </c>
      <c r="F72" s="296" t="str">
        <f>VLOOKUP(Tableau2546[[#This Row],[CA O&amp;M s/parc
BN 2024]],Tableau106[],5,FALSE)</f>
        <v>JAVI</v>
      </c>
      <c r="G72" s="297" t="str">
        <f>VLOOKUP(Tableau2546[[#This Row],[CA O&amp;M s/parc
BN 2024]],Tableau106[],7,FALSE)</f>
        <v>PARTNER</v>
      </c>
      <c r="H72" s="297" t="str">
        <f>VLOOKUP(Tableau2546[[#This Row],[CA O&amp;M s/parc
BN 2024]],Tableau106[],6,FALSE)</f>
        <v>S</v>
      </c>
      <c r="I72" s="297" t="str">
        <f>VLOOKUP(Tableau2546[[#This Row],[CA O&amp;M s/parc
BN 2024]],Tableau106[],9,FALSE)</f>
        <v>PiM</v>
      </c>
      <c r="J72" s="18">
        <v>31050</v>
      </c>
      <c r="K72" s="120">
        <f>VLOOKUP(Tableau2546[[#This Row],[CODE PI]],Tableau254[[CODE PI]:[TARIF]],6,FALSE)*(1+$Q$1)</f>
        <v>81.009849999999986</v>
      </c>
      <c r="L72" s="21">
        <v>0</v>
      </c>
      <c r="M72" s="18">
        <f>Tableau2546[[#This Row],[PROD en Mwh]]*Tableau2546[[#This Row],[TARIF]]</f>
        <v>2515355.8424999998</v>
      </c>
      <c r="N72" s="18"/>
    </row>
    <row r="73" spans="1:14">
      <c r="A73" s="293" t="s">
        <v>549</v>
      </c>
      <c r="B73" s="294" t="str">
        <f>VLOOKUP(Tableau2546[[#This Row],[CA O&amp;M s/parc
BN 2024]],Tableau106[],3,FALSE)</f>
        <v>F156</v>
      </c>
      <c r="C73" s="294" t="str">
        <f>VLOOKUP(Tableau2546[[#This Row],[CA O&amp;M s/parc
BN 2024]],Tableau106[],2,FALSE)</f>
        <v>FR34E10E</v>
      </c>
      <c r="D73" s="294" t="str">
        <f>VLOOKUP(Tableau2546[[#This Row],[CA O&amp;M s/parc
BN 2024]],Tableau106[],8,FALSE)</f>
        <v>EOLIEN</v>
      </c>
      <c r="E73" s="295">
        <f>VLOOKUP(Tableau2546[[#This Row],[CA O&amp;M s/parc
BN 2024]],Tableau106[],4,FALSE)</f>
        <v>6.3</v>
      </c>
      <c r="F73" s="296" t="str">
        <f>VLOOKUP(Tableau2546[[#This Row],[CA O&amp;M s/parc
BN 2024]],Tableau106[],5,FALSE)</f>
        <v>JON2</v>
      </c>
      <c r="G73" s="297" t="str">
        <f>VLOOKUP(Tableau2546[[#This Row],[CA O&amp;M s/parc
BN 2024]],Tableau106[],7,FALSE)</f>
        <v>FUTUREN</v>
      </c>
      <c r="H73" s="297" t="str">
        <f>VLOOKUP(Tableau2546[[#This Row],[CA O&amp;M s/parc
BN 2024]],Tableau106[],6,FALSE)</f>
        <v>S</v>
      </c>
      <c r="I73" s="297" t="str">
        <f>VLOOKUP(Tableau2546[[#This Row],[CA O&amp;M s/parc
BN 2024]],Tableau106[],9,FALSE)</f>
        <v>KéC</v>
      </c>
      <c r="J73" s="18">
        <v>12279.716558087977</v>
      </c>
      <c r="K73" s="120">
        <f>VLOOKUP(Tableau2546[[#This Row],[CODE PI]],Tableau254[[CODE PI]:[TARIF]],6,FALSE)*(1+$Q$1)</f>
        <v>92.946999999999989</v>
      </c>
      <c r="L73" s="13"/>
      <c r="M73" s="18">
        <f>Tableau2546[[#This Row],[PROD en Mwh]]*Tableau2546[[#This Row],[TARIF]]</f>
        <v>1141362.8149246031</v>
      </c>
      <c r="N73" s="18"/>
    </row>
    <row r="74" spans="1:14">
      <c r="A74" s="293" t="s">
        <v>558</v>
      </c>
      <c r="B74" s="294" t="str">
        <f>VLOOKUP(Tableau2546[[#This Row],[CA O&amp;M s/parc
BN 2024]],Tableau106[],3,FALSE)</f>
        <v>A540</v>
      </c>
      <c r="C74" s="294" t="str">
        <f>VLOOKUP(Tableau2546[[#This Row],[CA O&amp;M s/parc
BN 2024]],Tableau106[],2,FALSE)</f>
        <v>FR56E01E</v>
      </c>
      <c r="D74" s="294" t="str">
        <f>VLOOKUP(Tableau2546[[#This Row],[CA O&amp;M s/parc
BN 2024]],Tableau106[],8,FALSE)</f>
        <v>EOLIEN</v>
      </c>
      <c r="E74" s="295">
        <f>VLOOKUP(Tableau2546[[#This Row],[CA O&amp;M s/parc
BN 2024]],Tableau106[],4,FALSE)</f>
        <v>12</v>
      </c>
      <c r="F74" s="296" t="str">
        <f>VLOOKUP(Tableau2546[[#This Row],[CA O&amp;M s/parc
BN 2024]],Tableau106[],5,FALSE)</f>
        <v>LBDF</v>
      </c>
      <c r="G74" s="297" t="str">
        <f>VLOOKUP(Tableau2546[[#This Row],[CA O&amp;M s/parc
BN 2024]],Tableau106[],7,FALSE)</f>
        <v>EGM</v>
      </c>
      <c r="H74" s="297" t="str">
        <f>VLOOKUP(Tableau2546[[#This Row],[CA O&amp;M s/parc
BN 2024]],Tableau106[],6,FALSE)</f>
        <v>N</v>
      </c>
      <c r="I74" s="297" t="str">
        <f>VLOOKUP(Tableau2546[[#This Row],[CA O&amp;M s/parc
BN 2024]],Tableau106[],9,FALSE)</f>
        <v>BoK</v>
      </c>
      <c r="J74" s="18">
        <v>17780</v>
      </c>
      <c r="K74" s="120">
        <f>VLOOKUP(Tableau2546[[#This Row],[CODE PI]],Tableau254[[CODE PI]:[TARIF]],6,FALSE)*(1+$Q$1)</f>
        <v>173.1062708333333</v>
      </c>
      <c r="L74" s="13"/>
      <c r="M74" s="18">
        <f>Tableau2546[[#This Row],[PROD en Mwh]]*Tableau2546[[#This Row],[TARIF]]</f>
        <v>3077829.4954166659</v>
      </c>
      <c r="N74" s="18"/>
    </row>
    <row r="75" spans="1:14">
      <c r="A75" s="293" t="s">
        <v>477</v>
      </c>
      <c r="B75" s="294" t="str">
        <f>VLOOKUP(Tableau2546[[#This Row],[CA O&amp;M s/parc
BN 2024]],Tableau106[],3,FALSE)</f>
        <v>A531</v>
      </c>
      <c r="C75" s="294" t="str">
        <f>VLOOKUP(Tableau2546[[#This Row],[CA O&amp;M s/parc
BN 2024]],Tableau106[],2,FALSE)</f>
        <v>FR62E01E</v>
      </c>
      <c r="D75" s="294" t="str">
        <f>VLOOKUP(Tableau2546[[#This Row],[CA O&amp;M s/parc
BN 2024]],Tableau106[],8,FALSE)</f>
        <v>EOLIEN</v>
      </c>
      <c r="E75" s="295">
        <f>VLOOKUP(Tableau2546[[#This Row],[CA O&amp;M s/parc
BN 2024]],Tableau106[],4,FALSE)</f>
        <v>6</v>
      </c>
      <c r="F75" s="296" t="str">
        <f>VLOOKUP(Tableau2546[[#This Row],[CA O&amp;M s/parc
BN 2024]],Tableau106[],5,FALSE)</f>
        <v>HENI</v>
      </c>
      <c r="G75" s="297" t="str">
        <f>VLOOKUP(Tableau2546[[#This Row],[CA O&amp;M s/parc
BN 2024]],Tableau106[],7,FALSE)</f>
        <v>GROUPE</v>
      </c>
      <c r="H75" s="297" t="str">
        <f>VLOOKUP(Tableau2546[[#This Row],[CA O&amp;M s/parc
BN 2024]],Tableau106[],6,FALSE)</f>
        <v>N</v>
      </c>
      <c r="I75" s="297" t="str">
        <f>VLOOKUP(Tableau2546[[#This Row],[CA O&amp;M s/parc
BN 2024]],Tableau106[],9,FALSE)</f>
        <v>NiL</v>
      </c>
      <c r="J75" s="18">
        <f>13267.304464225*(1-11.9%)</f>
        <v>11688.495232982226</v>
      </c>
      <c r="K75" s="120">
        <f>VLOOKUP(Tableau2546[[#This Row],[CODE PI]],Tableau254[[CODE PI]:[TARIF]],6,FALSE)*(1+$Q$1)</f>
        <v>103.63262499999999</v>
      </c>
      <c r="L75" s="13"/>
      <c r="M75" s="18">
        <f>Tableau2546[[#This Row],[PROD en Mwh]]*Tableau2546[[#This Row],[TARIF]]</f>
        <v>1211309.4432939347</v>
      </c>
      <c r="N75" s="18" t="s">
        <v>652</v>
      </c>
    </row>
    <row r="76" spans="1:14">
      <c r="A76" s="293" t="s">
        <v>458</v>
      </c>
      <c r="B76" s="294" t="str">
        <f>VLOOKUP(Tableau2546[[#This Row],[CA O&amp;M s/parc
BN 2024]],Tableau106[],3,FALSE)</f>
        <v>A540</v>
      </c>
      <c r="C76" s="294" t="str">
        <f>VLOOKUP(Tableau2546[[#This Row],[CA O&amp;M s/parc
BN 2024]],Tableau106[],2,FALSE)</f>
        <v>FR14E03E</v>
      </c>
      <c r="D76" s="294" t="str">
        <f>VLOOKUP(Tableau2546[[#This Row],[CA O&amp;M s/parc
BN 2024]],Tableau106[],8,FALSE)</f>
        <v>EOLIEN</v>
      </c>
      <c r="E76" s="295">
        <f>VLOOKUP(Tableau2546[[#This Row],[CA O&amp;M s/parc
BN 2024]],Tableau106[],4,FALSE)</f>
        <v>8</v>
      </c>
      <c r="F76" s="296" t="str">
        <f>VLOOKUP(Tableau2546[[#This Row],[CA O&amp;M s/parc
BN 2024]],Tableau106[],5,FALSE)</f>
        <v>HERO</v>
      </c>
      <c r="G76" s="297" t="str">
        <f>VLOOKUP(Tableau2546[[#This Row],[CA O&amp;M s/parc
BN 2024]],Tableau106[],7,FALSE)</f>
        <v>EGM</v>
      </c>
      <c r="H76" s="297" t="str">
        <f>VLOOKUP(Tableau2546[[#This Row],[CA O&amp;M s/parc
BN 2024]],Tableau106[],6,FALSE)</f>
        <v>N</v>
      </c>
      <c r="I76" s="297" t="str">
        <f>VLOOKUP(Tableau2546[[#This Row],[CA O&amp;M s/parc
BN 2024]],Tableau106[],9,FALSE)</f>
        <v>DeN</v>
      </c>
      <c r="J76" s="18">
        <v>14468</v>
      </c>
      <c r="K76" s="120">
        <f>VLOOKUP(Tableau2546[[#This Row],[CODE PI]],Tableau254[[CODE PI]:[TARIF]],6,FALSE)*(1+$Q$1)</f>
        <v>172.52835874999997</v>
      </c>
      <c r="L76" s="13"/>
      <c r="M76" s="18">
        <f>Tableau2546[[#This Row],[PROD en Mwh]]*Tableau2546[[#This Row],[TARIF]]</f>
        <v>2496140.2943949997</v>
      </c>
      <c r="N76" s="18"/>
    </row>
    <row r="77" spans="1:14">
      <c r="A77" s="293" t="s">
        <v>480</v>
      </c>
      <c r="B77" s="294" t="str">
        <f>VLOOKUP(Tableau2546[[#This Row],[CA O&amp;M s/parc
BN 2024]],Tableau106[],3,FALSE)</f>
        <v>A540</v>
      </c>
      <c r="C77" s="294" t="str">
        <f>VLOOKUP(Tableau2546[[#This Row],[CA O&amp;M s/parc
BN 2024]],Tableau106[],2,FALSE)</f>
        <v>FR35E02E</v>
      </c>
      <c r="D77" s="294" t="str">
        <f>VLOOKUP(Tableau2546[[#This Row],[CA O&amp;M s/parc
BN 2024]],Tableau106[],8,FALSE)</f>
        <v>EOLIEN</v>
      </c>
      <c r="E77" s="295">
        <f>VLOOKUP(Tableau2546[[#This Row],[CA O&amp;M s/parc
BN 2024]],Tableau106[],4,FALSE)</f>
        <v>10</v>
      </c>
      <c r="F77" s="296" t="str">
        <f>VLOOKUP(Tableau2546[[#This Row],[CA O&amp;M s/parc
BN 2024]],Tableau106[],5,FALSE)</f>
        <v>NOUR</v>
      </c>
      <c r="G77" s="297" t="str">
        <f>VLOOKUP(Tableau2546[[#This Row],[CA O&amp;M s/parc
BN 2024]],Tableau106[],7,FALSE)</f>
        <v>EGM</v>
      </c>
      <c r="H77" s="297" t="str">
        <f>VLOOKUP(Tableau2546[[#This Row],[CA O&amp;M s/parc
BN 2024]],Tableau106[],6,FALSE)</f>
        <v>N</v>
      </c>
      <c r="I77" s="297" t="str">
        <f>VLOOKUP(Tableau2546[[#This Row],[CA O&amp;M s/parc
BN 2024]],Tableau106[],9,FALSE)</f>
        <v>MaA</v>
      </c>
      <c r="J77" s="18">
        <v>15577.644</v>
      </c>
      <c r="K77" s="120">
        <f>VLOOKUP(Tableau2546[[#This Row],[CODE PI]],Tableau254[[CODE PI]:[TARIF]],6,FALSE)*(1+$Q$1)</f>
        <v>172.61330562500001</v>
      </c>
      <c r="L77" s="13"/>
      <c r="M77" s="18">
        <f>Tableau2546[[#This Row],[PROD en Mwh]]*Tableau2546[[#This Row],[TARIF]]</f>
        <v>2688908.6246894477</v>
      </c>
      <c r="N77" s="18"/>
    </row>
    <row r="78" spans="1:14">
      <c r="A78" s="293" t="s">
        <v>519</v>
      </c>
      <c r="B78" s="294" t="str">
        <f>VLOOKUP(Tableau2546[[#This Row],[CA O&amp;M s/parc
BN 2024]],Tableau106[],3,FALSE)</f>
        <v>A071</v>
      </c>
      <c r="C78" s="294" t="str">
        <f>VLOOKUP(Tableau2546[[#This Row],[CA O&amp;M s/parc
BN 2024]],Tableau106[],2,FALSE)</f>
        <v>FR97S87E</v>
      </c>
      <c r="D78" s="294" t="str">
        <f>VLOOKUP(Tableau2546[[#This Row],[CA O&amp;M s/parc
BN 2024]],Tableau106[],8,FALSE)</f>
        <v>SOLAIRE DOM</v>
      </c>
      <c r="E78" s="295">
        <f>VLOOKUP(Tableau2546[[#This Row],[CA O&amp;M s/parc
BN 2024]],Tableau106[],4,FALSE)</f>
        <v>10.452</v>
      </c>
      <c r="F78" s="296" t="str">
        <f>VLOOKUP(Tableau2546[[#This Row],[CA O&amp;M s/parc
BN 2024]],Tableau106[],5,FALSE)</f>
        <v>ROSE</v>
      </c>
      <c r="G78" s="297" t="str">
        <f>VLOOKUP(Tableau2546[[#This Row],[CA O&amp;M s/parc
BN 2024]],Tableau106[],7,FALSE)</f>
        <v>GROUPE</v>
      </c>
      <c r="H78" s="297" t="str">
        <f>VLOOKUP(Tableau2546[[#This Row],[CA O&amp;M s/parc
BN 2024]],Tableau106[],6,FALSE)</f>
        <v>DOM</v>
      </c>
      <c r="I78" s="297" t="str">
        <f>VLOOKUP(Tableau2546[[#This Row],[CA O&amp;M s/parc
BN 2024]],Tableau106[],9,FALSE)</f>
        <v>BéK</v>
      </c>
      <c r="J78" s="18">
        <v>12375.391170319641</v>
      </c>
      <c r="K78" s="120">
        <f>VLOOKUP(Tableau2546[[#This Row],[CODE PI]],Tableau254[[CODE PI]:[TARIF]],6,FALSE)*(1+$Q$1)</f>
        <v>563.18009999999992</v>
      </c>
      <c r="L78" s="21"/>
      <c r="M78" s="18">
        <f>Tableau2546[[#This Row],[PROD en Mwh]]*Tableau2546[[#This Row],[TARIF]]</f>
        <v>6969574.036839731</v>
      </c>
      <c r="N78" s="18"/>
    </row>
    <row r="79" spans="1:14">
      <c r="A79" s="293" t="s">
        <v>520</v>
      </c>
      <c r="B79" s="294" t="str">
        <f>VLOOKUP(Tableau2546[[#This Row],[CA O&amp;M s/parc
BN 2024]],Tableau106[],3,FALSE)</f>
        <v>A257</v>
      </c>
      <c r="C79" s="294" t="str">
        <f>VLOOKUP(Tableau2546[[#This Row],[CA O&amp;M s/parc
BN 2024]],Tableau106[],2,FALSE)</f>
        <v>FR01S06E</v>
      </c>
      <c r="D79" s="294" t="str">
        <f>VLOOKUP(Tableau2546[[#This Row],[CA O&amp;M s/parc
BN 2024]],Tableau106[],8,FALSE)</f>
        <v>SOLAIRE</v>
      </c>
      <c r="E79" s="295">
        <f>VLOOKUP(Tableau2546[[#This Row],[CA O&amp;M s/parc
BN 2024]],Tableau106[],4,FALSE)</f>
        <v>2.9</v>
      </c>
      <c r="F79" s="296" t="str">
        <f>VLOOKUP(Tableau2546[[#This Row],[CA O&amp;M s/parc
BN 2024]],Tableau106[],5,FALSE)</f>
        <v>LAGN</v>
      </c>
      <c r="G79" s="297" t="str">
        <f>VLOOKUP(Tableau2546[[#This Row],[CA O&amp;M s/parc
BN 2024]],Tableau106[],7,FALSE)</f>
        <v>GROUPE</v>
      </c>
      <c r="H79" s="297" t="str">
        <f>VLOOKUP(Tableau2546[[#This Row],[CA O&amp;M s/parc
BN 2024]],Tableau106[],6,FALSE)</f>
        <v>S</v>
      </c>
      <c r="I79" s="297" t="str">
        <f>VLOOKUP(Tableau2546[[#This Row],[CA O&amp;M s/parc
BN 2024]],Tableau106[],9,FALSE)</f>
        <v>ArB</v>
      </c>
      <c r="J79" s="18">
        <v>3094</v>
      </c>
      <c r="K79" s="120">
        <f>VLOOKUP(Tableau2546[[#This Row],[CODE PI]],Tableau254[[CODE PI]:[TARIF]],6,FALSE)*(1+$Q$1)</f>
        <v>72.066724999999991</v>
      </c>
      <c r="L79" s="21"/>
      <c r="M79" s="18">
        <f>Tableau2546[[#This Row],[PROD en Mwh]]*Tableau2546[[#This Row],[TARIF]]</f>
        <v>222974.44714999996</v>
      </c>
      <c r="N79" s="18"/>
    </row>
    <row r="80" spans="1:14">
      <c r="A80" s="293" t="s">
        <v>499</v>
      </c>
      <c r="B80" s="294" t="str">
        <f>VLOOKUP(Tableau2546[[#This Row],[CA O&amp;M s/parc
BN 2024]],Tableau106[],3,FALSE)</f>
        <v>A540</v>
      </c>
      <c r="C80" s="294" t="str">
        <f>VLOOKUP(Tableau2546[[#This Row],[CA O&amp;M s/parc
BN 2024]],Tableau106[],2,FALSE)</f>
        <v>FR22E03E</v>
      </c>
      <c r="D80" s="294" t="str">
        <f>VLOOKUP(Tableau2546[[#This Row],[CA O&amp;M s/parc
BN 2024]],Tableau106[],8,FALSE)</f>
        <v>EOLIEN</v>
      </c>
      <c r="E80" s="295">
        <f>VLOOKUP(Tableau2546[[#This Row],[CA O&amp;M s/parc
BN 2024]],Tableau106[],4,FALSE)</f>
        <v>10</v>
      </c>
      <c r="F80" s="296" t="str">
        <f>VLOOKUP(Tableau2546[[#This Row],[CA O&amp;M s/parc
BN 2024]],Tableau106[],5,FALSE)</f>
        <v>LDTE</v>
      </c>
      <c r="G80" s="297" t="str">
        <f>VLOOKUP(Tableau2546[[#This Row],[CA O&amp;M s/parc
BN 2024]],Tableau106[],7,FALSE)</f>
        <v>EGM</v>
      </c>
      <c r="H80" s="297" t="str">
        <f>VLOOKUP(Tableau2546[[#This Row],[CA O&amp;M s/parc
BN 2024]],Tableau106[],6,FALSE)</f>
        <v>N</v>
      </c>
      <c r="I80" s="297" t="str">
        <f>VLOOKUP(Tableau2546[[#This Row],[CA O&amp;M s/parc
BN 2024]],Tableau106[],9,FALSE)</f>
        <v>BoK</v>
      </c>
      <c r="J80" s="18">
        <v>12900.412</v>
      </c>
      <c r="K80" s="120">
        <f>VLOOKUP(Tableau2546[[#This Row],[CODE PI]],Tableau254[[CODE PI]:[TARIF]],6,FALSE)*(1+$Q$1)</f>
        <v>127.87216666666666</v>
      </c>
      <c r="L80" s="13"/>
      <c r="M80" s="18">
        <f>Tableau2546[[#This Row],[PROD en Mwh]]*Tableau2546[[#This Row],[TARIF]]</f>
        <v>1649603.6333326665</v>
      </c>
      <c r="N80" s="18"/>
    </row>
    <row r="81" spans="1:14">
      <c r="A81" s="293" t="s">
        <v>546</v>
      </c>
      <c r="B81" s="294" t="str">
        <f>VLOOKUP(Tableau2546[[#This Row],[CA O&amp;M s/parc
BN 2024]],Tableau106[],3,FALSE)</f>
        <v>A541</v>
      </c>
      <c r="C81" s="294" t="str">
        <f>VLOOKUP(Tableau2546[[#This Row],[CA O&amp;M s/parc
BN 2024]],Tableau106[],2,FALSE)</f>
        <v>FR55E04E</v>
      </c>
      <c r="D81" s="294" t="str">
        <f>VLOOKUP(Tableau2546[[#This Row],[CA O&amp;M s/parc
BN 2024]],Tableau106[],8,FALSE)</f>
        <v>EOLIEN</v>
      </c>
      <c r="E81" s="295">
        <f>VLOOKUP(Tableau2546[[#This Row],[CA O&amp;M s/parc
BN 2024]],Tableau106[],4,FALSE)</f>
        <v>11.5</v>
      </c>
      <c r="F81" s="296" t="str">
        <f>VLOOKUP(Tableau2546[[#This Row],[CA O&amp;M s/parc
BN 2024]],Tableau106[],5,FALSE)</f>
        <v>LANE</v>
      </c>
      <c r="G81" s="297" t="str">
        <f>VLOOKUP(Tableau2546[[#This Row],[CA O&amp;M s/parc
BN 2024]],Tableau106[],7,FALSE)</f>
        <v>EGM</v>
      </c>
      <c r="H81" s="297" t="str">
        <f>VLOOKUP(Tableau2546[[#This Row],[CA O&amp;M s/parc
BN 2024]],Tableau106[],6,FALSE)</f>
        <v>N</v>
      </c>
      <c r="I81" s="297" t="str">
        <f>VLOOKUP(Tableau2546[[#This Row],[CA O&amp;M s/parc
BN 2024]],Tableau106[],9,FALSE)</f>
        <v>MaA</v>
      </c>
      <c r="J81" s="18">
        <v>15597</v>
      </c>
      <c r="K81" s="120">
        <f>VLOOKUP(Tableau2546[[#This Row],[CODE PI]],Tableau254[[CODE PI]:[TARIF]],6,FALSE)*(1+$Q$1)</f>
        <v>172.339476875</v>
      </c>
      <c r="L81" s="13"/>
      <c r="M81" s="18">
        <f>Tableau2546[[#This Row],[PROD en Mwh]]*Tableau2546[[#This Row],[TARIF]]</f>
        <v>2687978.8208193751</v>
      </c>
      <c r="N81" s="18"/>
    </row>
    <row r="82" spans="1:14">
      <c r="A82" s="293" t="s">
        <v>522</v>
      </c>
      <c r="B82" s="294" t="str">
        <f>VLOOKUP(Tableau2546[[#This Row],[CA O&amp;M s/parc
BN 2024]],Tableau106[],3,FALSE)</f>
        <v>A258</v>
      </c>
      <c r="C82" s="294" t="str">
        <f>VLOOKUP(Tableau2546[[#This Row],[CA O&amp;M s/parc
BN 2024]],Tableau106[],2,FALSE)</f>
        <v>FR05S02E</v>
      </c>
      <c r="D82" s="294" t="str">
        <f>VLOOKUP(Tableau2546[[#This Row],[CA O&amp;M s/parc
BN 2024]],Tableau106[],8,FALSE)</f>
        <v>SOLAIRE</v>
      </c>
      <c r="E82" s="295">
        <f>VLOOKUP(Tableau2546[[#This Row],[CA O&amp;M s/parc
BN 2024]],Tableau106[],4,FALSE)</f>
        <v>19.8</v>
      </c>
      <c r="F82" s="296" t="str">
        <f>VLOOKUP(Tableau2546[[#This Row],[CA O&amp;M s/parc
BN 2024]],Tableau106[],5,FALSE)</f>
        <v>LAZE</v>
      </c>
      <c r="G82" s="297" t="str">
        <f>VLOOKUP(Tableau2546[[#This Row],[CA O&amp;M s/parc
BN 2024]],Tableau106[],7,FALSE)</f>
        <v>GROUPE</v>
      </c>
      <c r="H82" s="297" t="str">
        <f>VLOOKUP(Tableau2546[[#This Row],[CA O&amp;M s/parc
BN 2024]],Tableau106[],6,FALSE)</f>
        <v>S</v>
      </c>
      <c r="I82" s="297" t="str">
        <f>VLOOKUP(Tableau2546[[#This Row],[CA O&amp;M s/parc
BN 2024]],Tableau106[],9,FALSE)</f>
        <v>ArB</v>
      </c>
      <c r="J82" s="18">
        <v>24810</v>
      </c>
      <c r="K82" s="120">
        <f>VLOOKUP(Tableau2546[[#This Row],[CODE PI]],Tableau254[[CODE PI]:[TARIF]],6,FALSE)*(1+$Q$1)</f>
        <v>175.2177708333333</v>
      </c>
      <c r="L82" s="13"/>
      <c r="M82" s="18">
        <f>Tableau2546[[#This Row],[PROD en Mwh]]*Tableau2546[[#This Row],[TARIF]]</f>
        <v>4347152.8943749992</v>
      </c>
      <c r="N82" s="18"/>
    </row>
    <row r="83" spans="1:14">
      <c r="A83" s="293" t="s">
        <v>523</v>
      </c>
      <c r="B83" s="294" t="str">
        <f>VLOOKUP(Tableau2546[[#This Row],[CA O&amp;M s/parc
BN 2024]],Tableau106[],3,FALSE)</f>
        <v>A272</v>
      </c>
      <c r="C83" s="294" t="str">
        <f>VLOOKUP(Tableau2546[[#This Row],[CA O&amp;M s/parc
BN 2024]],Tableau106[],2,FALSE)</f>
        <v>FR07S04E</v>
      </c>
      <c r="D83" s="294" t="str">
        <f>VLOOKUP(Tableau2546[[#This Row],[CA O&amp;M s/parc
BN 2024]],Tableau106[],8,FALSE)</f>
        <v>SOLAIRE</v>
      </c>
      <c r="E83" s="295">
        <f>VLOOKUP(Tableau2546[[#This Row],[CA O&amp;M s/parc
BN 2024]],Tableau106[],4,FALSE)</f>
        <v>8.1999999999999993</v>
      </c>
      <c r="F83" s="296" t="str">
        <f>VLOOKUP(Tableau2546[[#This Row],[CA O&amp;M s/parc
BN 2024]],Tableau106[],5,FALSE)</f>
        <v>PZIN</v>
      </c>
      <c r="G83" s="297" t="str">
        <f>VLOOKUP(Tableau2546[[#This Row],[CA O&amp;M s/parc
BN 2024]],Tableau106[],7,FALSE)</f>
        <v>GROUPE</v>
      </c>
      <c r="H83" s="297" t="str">
        <f>VLOOKUP(Tableau2546[[#This Row],[CA O&amp;M s/parc
BN 2024]],Tableau106[],6,FALSE)</f>
        <v>S</v>
      </c>
      <c r="I83" s="297" t="str">
        <f>VLOOKUP(Tableau2546[[#This Row],[CA O&amp;M s/parc
BN 2024]],Tableau106[],9,FALSE)</f>
        <v>ArB</v>
      </c>
      <c r="J83" s="18">
        <v>9819</v>
      </c>
      <c r="K83" s="120">
        <f>VLOOKUP(Tableau2546[[#This Row],[CODE PI]],Tableau254[[CODE PI]:[TARIF]],6,FALSE)*(1+$Q$1)</f>
        <v>175.83618749999997</v>
      </c>
      <c r="L83" s="21"/>
      <c r="M83" s="18">
        <f>Tableau2546[[#This Row],[PROD en Mwh]]*Tableau2546[[#This Row],[TARIF]]</f>
        <v>1726535.5250624996</v>
      </c>
      <c r="N83" s="18"/>
    </row>
    <row r="84" spans="1:14">
      <c r="A84" s="293" t="s">
        <v>609</v>
      </c>
      <c r="B84" s="294" t="str">
        <f>VLOOKUP(Tableau2546[[#This Row],[CA O&amp;M s/parc
BN 2024]],Tableau106[],3,FALSE)</f>
        <v>A540</v>
      </c>
      <c r="C84" s="294" t="str">
        <f>VLOOKUP(Tableau2546[[#This Row],[CA O&amp;M s/parc
BN 2024]],Tableau106[],2,FALSE)</f>
        <v>FR56E06E</v>
      </c>
      <c r="D84" s="294" t="str">
        <f>VLOOKUP(Tableau2546[[#This Row],[CA O&amp;M s/parc
BN 2024]],Tableau106[],8,FALSE)</f>
        <v>EOLIEN</v>
      </c>
      <c r="E84" s="295">
        <f>VLOOKUP(Tableau2546[[#This Row],[CA O&amp;M s/parc
BN 2024]],Tableau106[],4,FALSE)</f>
        <v>6.85</v>
      </c>
      <c r="F84" s="296" t="str">
        <f>VLOOKUP(Tableau2546[[#This Row],[CA O&amp;M s/parc
BN 2024]],Tableau106[],5,FALSE)</f>
        <v>RODU</v>
      </c>
      <c r="G84" s="297" t="str">
        <f>VLOOKUP(Tableau2546[[#This Row],[CA O&amp;M s/parc
BN 2024]],Tableau106[],7,FALSE)</f>
        <v>EGM</v>
      </c>
      <c r="H84" s="297" t="str">
        <f>VLOOKUP(Tableau2546[[#This Row],[CA O&amp;M s/parc
BN 2024]],Tableau106[],6,FALSE)</f>
        <v>N</v>
      </c>
      <c r="I84" s="297" t="str">
        <f>VLOOKUP(Tableau2546[[#This Row],[CA O&amp;M s/parc
BN 2024]],Tableau106[],9,FALSE)</f>
        <v>DeN</v>
      </c>
      <c r="J84" s="18">
        <v>6695.91</v>
      </c>
      <c r="K84" s="120">
        <f>VLOOKUP(Tableau2546[[#This Row],[CODE PI]],Tableau254[[CODE PI]:[TARIF]],6,FALSE)*(1+$Q$1)</f>
        <v>127.35283333333332</v>
      </c>
      <c r="L84" s="13"/>
      <c r="M84" s="18">
        <f>Tableau2546[[#This Row],[PROD en Mwh]]*Tableau2546[[#This Row],[TARIF]]</f>
        <v>852743.11024499987</v>
      </c>
      <c r="N84" s="18"/>
    </row>
    <row r="85" spans="1:14">
      <c r="A85" s="293" t="s">
        <v>606</v>
      </c>
      <c r="B85" s="294" t="str">
        <f>VLOOKUP(Tableau2546[[#This Row],[CA O&amp;M s/parc
BN 2024]],Tableau106[],3,FALSE)</f>
        <v>A540</v>
      </c>
      <c r="C85" s="294" t="str">
        <f>VLOOKUP(Tableau2546[[#This Row],[CA O&amp;M s/parc
BN 2024]],Tableau106[],2,FALSE)</f>
        <v>FR56E03E</v>
      </c>
      <c r="D85" s="294" t="str">
        <f>VLOOKUP(Tableau2546[[#This Row],[CA O&amp;M s/parc
BN 2024]],Tableau106[],8,FALSE)</f>
        <v>EOLIEN</v>
      </c>
      <c r="E85" s="295">
        <f>VLOOKUP(Tableau2546[[#This Row],[CA O&amp;M s/parc
BN 2024]],Tableau106[],4,FALSE)</f>
        <v>4.8499999999999996</v>
      </c>
      <c r="F85" s="296" t="str">
        <f>VLOOKUP(Tableau2546[[#This Row],[CA O&amp;M s/parc
BN 2024]],Tableau106[],5,FALSE)</f>
        <v>LERO</v>
      </c>
      <c r="G85" s="297" t="str">
        <f>VLOOKUP(Tableau2546[[#This Row],[CA O&amp;M s/parc
BN 2024]],Tableau106[],7,FALSE)</f>
        <v>EGM</v>
      </c>
      <c r="H85" s="297" t="str">
        <f>VLOOKUP(Tableau2546[[#This Row],[CA O&amp;M s/parc
BN 2024]],Tableau106[],6,FALSE)</f>
        <v>N</v>
      </c>
      <c r="I85" s="297" t="str">
        <f>VLOOKUP(Tableau2546[[#This Row],[CA O&amp;M s/parc
BN 2024]],Tableau106[],9,FALSE)</f>
        <v>DeN</v>
      </c>
      <c r="J85" s="18">
        <v>6695.91</v>
      </c>
      <c r="K85" s="120">
        <f>VLOOKUP(Tableau2546[[#This Row],[CODE PI]],Tableau254[[CODE PI]:[TARIF]],6,FALSE)*(1+$Q$1)</f>
        <v>127.86362499999998</v>
      </c>
      <c r="L85" s="21"/>
      <c r="M85" s="18">
        <f>Tableau2546[[#This Row],[PROD en Mwh]]*Tableau2546[[#This Row],[TARIF]]</f>
        <v>856163.32527374988</v>
      </c>
      <c r="N85" s="18"/>
    </row>
    <row r="86" spans="1:14">
      <c r="A86" s="293" t="s">
        <v>192</v>
      </c>
      <c r="B86" s="294" t="str">
        <f>VLOOKUP(Tableau2546[[#This Row],[CA O&amp;M s/parc
BN 2024]],Tableau106[],3,FALSE)</f>
        <v>F247</v>
      </c>
      <c r="C86" s="294" t="str">
        <f>VLOOKUP(Tableau2546[[#This Row],[CA O&amp;M s/parc
BN 2024]],Tableau106[],2,FALSE)</f>
        <v>FR10E02E</v>
      </c>
      <c r="D86" s="294" t="str">
        <f>VLOOKUP(Tableau2546[[#This Row],[CA O&amp;M s/parc
BN 2024]],Tableau106[],8,FALSE)</f>
        <v>EOLIEN</v>
      </c>
      <c r="E86" s="295">
        <f>VLOOKUP(Tableau2546[[#This Row],[CA O&amp;M s/parc
BN 2024]],Tableau106[],4,FALSE)</f>
        <v>37.950000000000003</v>
      </c>
      <c r="F86" s="296" t="str">
        <f>VLOOKUP(Tableau2546[[#This Row],[CA O&amp;M s/parc
BN 2024]],Tableau106[],5,FALSE)</f>
        <v>COT1, COT2, COT3, COT4</v>
      </c>
      <c r="G86" s="297" t="str">
        <f>VLOOKUP(Tableau2546[[#This Row],[CA O&amp;M s/parc
BN 2024]],Tableau106[],7,FALSE)</f>
        <v>FUTUREN</v>
      </c>
      <c r="H86" s="297" t="str">
        <f>VLOOKUP(Tableau2546[[#This Row],[CA O&amp;M s/parc
BN 2024]],Tableau106[],6,FALSE)</f>
        <v>N</v>
      </c>
      <c r="I86" s="297" t="str">
        <f>VLOOKUP(Tableau2546[[#This Row],[CA O&amp;M s/parc
BN 2024]],Tableau106[],9,FALSE)</f>
        <v>MéS</v>
      </c>
      <c r="J86" s="18">
        <v>76936.592333333334</v>
      </c>
      <c r="K86" s="120">
        <f>VLOOKUP(Tableau2546[[#This Row],[CODE PI]],Tableau254[[CODE PI]:[TARIF]],6,FALSE)*(1+$Q$1)</f>
        <v>92.650774999999982</v>
      </c>
      <c r="L86" s="21"/>
      <c r="M86" s="18">
        <f>Tableau2546[[#This Row],[PROD en Mwh]]*Tableau2546[[#This Row],[TARIF]]</f>
        <v>7128234.9055423904</v>
      </c>
      <c r="N86" s="18"/>
    </row>
    <row r="87" spans="1:14">
      <c r="A87" s="293" t="s">
        <v>194</v>
      </c>
      <c r="B87" s="294" t="str">
        <f>VLOOKUP(Tableau2546[[#This Row],[CA O&amp;M s/parc
BN 2024]],Tableau106[],3,FALSE)</f>
        <v>F046</v>
      </c>
      <c r="C87" s="294" t="str">
        <f>VLOOKUP(Tableau2546[[#This Row],[CA O&amp;M s/parc
BN 2024]],Tableau106[],2,FALSE)</f>
        <v>FR10E03E</v>
      </c>
      <c r="D87" s="294" t="str">
        <f>VLOOKUP(Tableau2546[[#This Row],[CA O&amp;M s/parc
BN 2024]],Tableau106[],8,FALSE)</f>
        <v>EOLIEN</v>
      </c>
      <c r="E87" s="295">
        <f>VLOOKUP(Tableau2546[[#This Row],[CA O&amp;M s/parc
BN 2024]],Tableau106[],4,FALSE)</f>
        <v>13.2</v>
      </c>
      <c r="F87" s="296" t="str">
        <f>VLOOKUP(Tableau2546[[#This Row],[CA O&amp;M s/parc
BN 2024]],Tableau106[],5,FALSE)</f>
        <v>LEMO</v>
      </c>
      <c r="G87" s="297" t="str">
        <f>VLOOKUP(Tableau2546[[#This Row],[CA O&amp;M s/parc
BN 2024]],Tableau106[],7,FALSE)</f>
        <v>FUTUREN</v>
      </c>
      <c r="H87" s="297" t="str">
        <f>VLOOKUP(Tableau2546[[#This Row],[CA O&amp;M s/parc
BN 2024]],Tableau106[],6,FALSE)</f>
        <v>N</v>
      </c>
      <c r="I87" s="297" t="str">
        <f>VLOOKUP(Tableau2546[[#This Row],[CA O&amp;M s/parc
BN 2024]],Tableau106[],9,FALSE)</f>
        <v>MéS</v>
      </c>
      <c r="J87" s="18">
        <v>24447.689006637956</v>
      </c>
      <c r="K87" s="120">
        <f>VLOOKUP(Tableau2546[[#This Row],[CODE PI]],Tableau254[[CODE PI]:[TARIF]],6,FALSE)*(1+$Q$1)</f>
        <v>96.985500000000002</v>
      </c>
      <c r="L87" s="13"/>
      <c r="M87" s="18">
        <f>Tableau2546[[#This Row],[PROD en Mwh]]*Tableau2546[[#This Row],[TARIF]]</f>
        <v>2371071.3421532856</v>
      </c>
      <c r="N87" s="18"/>
    </row>
    <row r="88" spans="1:14">
      <c r="A88" s="293" t="s">
        <v>195</v>
      </c>
      <c r="B88" s="294" t="str">
        <f>VLOOKUP(Tableau2546[[#This Row],[CA O&amp;M s/parc
BN 2024]],Tableau106[],3,FALSE)</f>
        <v>F034</v>
      </c>
      <c r="C88" s="294" t="str">
        <f>VLOOKUP(Tableau2546[[#This Row],[CA O&amp;M s/parc
BN 2024]],Tableau106[],2,FALSE)</f>
        <v>FR12E94E</v>
      </c>
      <c r="D88" s="294" t="str">
        <f>VLOOKUP(Tableau2546[[#This Row],[CA O&amp;M s/parc
BN 2024]],Tableau106[],8,FALSE)</f>
        <v>EOLIEN</v>
      </c>
      <c r="E88" s="295">
        <f>VLOOKUP(Tableau2546[[#This Row],[CA O&amp;M s/parc
BN 2024]],Tableau106[],4,FALSE)</f>
        <v>11.5</v>
      </c>
      <c r="F88" s="296" t="str">
        <f>VLOOKUP(Tableau2546[[#This Row],[CA O&amp;M s/parc
BN 2024]],Tableau106[],5,FALSE)</f>
        <v>PLOS</v>
      </c>
      <c r="G88" s="297" t="str">
        <f>VLOOKUP(Tableau2546[[#This Row],[CA O&amp;M s/parc
BN 2024]],Tableau106[],7,FALSE)</f>
        <v>FUTUREN</v>
      </c>
      <c r="H88" s="297" t="str">
        <f>VLOOKUP(Tableau2546[[#This Row],[CA O&amp;M s/parc
BN 2024]],Tableau106[],6,FALSE)</f>
        <v>S</v>
      </c>
      <c r="I88" s="297" t="str">
        <f>VLOOKUP(Tableau2546[[#This Row],[CA O&amp;M s/parc
BN 2024]],Tableau106[],9,FALSE)</f>
        <v>OdP</v>
      </c>
      <c r="J88" s="18">
        <v>31490.07637812848</v>
      </c>
      <c r="K88" s="120">
        <v>63.6</v>
      </c>
      <c r="L88" s="13"/>
      <c r="M88" s="18">
        <f>Tableau2546[[#This Row],[PROD en Mwh]]*Tableau2546[[#This Row],[TARIF]]</f>
        <v>2002768.8576489715</v>
      </c>
      <c r="N88" s="18" t="s">
        <v>672</v>
      </c>
    </row>
    <row r="89" spans="1:14">
      <c r="A89" s="293" t="s">
        <v>573</v>
      </c>
      <c r="B89" s="294" t="str">
        <f>VLOOKUP(Tableau2546[[#This Row],[CA O&amp;M s/parc
BN 2024]],Tableau106[],3,FALSE)</f>
        <v>F037</v>
      </c>
      <c r="C89" s="294" t="str">
        <f>VLOOKUP(Tableau2546[[#This Row],[CA O&amp;M s/parc
BN 2024]],Tableau106[],2,FALSE)</f>
        <v>FR14E05E</v>
      </c>
      <c r="D89" s="294" t="str">
        <f>VLOOKUP(Tableau2546[[#This Row],[CA O&amp;M s/parc
BN 2024]],Tableau106[],8,FALSE)</f>
        <v>EOLIEN</v>
      </c>
      <c r="E89" s="295">
        <f>VLOOKUP(Tableau2546[[#This Row],[CA O&amp;M s/parc
BN 2024]],Tableau106[],4,FALSE)</f>
        <v>10</v>
      </c>
      <c r="F89" s="296" t="str">
        <f>VLOOKUP(Tableau2546[[#This Row],[CA O&amp;M s/parc
BN 2024]],Tableau106[],5,FALSE)</f>
        <v>SABL</v>
      </c>
      <c r="G89" s="297" t="str">
        <f>VLOOKUP(Tableau2546[[#This Row],[CA O&amp;M s/parc
BN 2024]],Tableau106[],7,FALSE)</f>
        <v>FUTUREN</v>
      </c>
      <c r="H89" s="297" t="str">
        <f>VLOOKUP(Tableau2546[[#This Row],[CA O&amp;M s/parc
BN 2024]],Tableau106[],6,FALSE)</f>
        <v>N</v>
      </c>
      <c r="I89" s="297" t="str">
        <f>VLOOKUP(Tableau2546[[#This Row],[CA O&amp;M s/parc
BN 2024]],Tableau106[],9,FALSE)</f>
        <v>AnN</v>
      </c>
      <c r="J89" s="18">
        <v>18200.365259777431</v>
      </c>
      <c r="K89" s="120">
        <f>VLOOKUP(Tableau2546[[#This Row],[CODE PI]],Tableau254[[CODE PI]:[TARIF]],6,FALSE)*(1+$Q$1)</f>
        <v>107.02024999999998</v>
      </c>
      <c r="L89" s="13"/>
      <c r="M89" s="18">
        <f>Tableau2546[[#This Row],[PROD en Mwh]]*Tableau2546[[#This Row],[TARIF]]</f>
        <v>1947807.6401926952</v>
      </c>
      <c r="N89" s="18"/>
    </row>
    <row r="90" spans="1:14">
      <c r="A90" s="293" t="s">
        <v>579</v>
      </c>
      <c r="B90" s="294" t="str">
        <f>VLOOKUP(Tableau2546[[#This Row],[CA O&amp;M s/parc
BN 2024]],Tableau106[],3,FALSE)</f>
        <v>A899</v>
      </c>
      <c r="C90" s="294" t="str">
        <f>VLOOKUP(Tableau2546[[#This Row],[CA O&amp;M s/parc
BN 2024]],Tableau106[],2,FALSE)</f>
        <v>FR25E01E</v>
      </c>
      <c r="D90" s="294" t="str">
        <f>VLOOKUP(Tableau2546[[#This Row],[CA O&amp;M s/parc
BN 2024]],Tableau106[],8,FALSE)</f>
        <v>EOLIEN</v>
      </c>
      <c r="E90" s="295">
        <f>VLOOKUP(Tableau2546[[#This Row],[CA O&amp;M s/parc
BN 2024]],Tableau106[],4,FALSE)</f>
        <v>20</v>
      </c>
      <c r="F90" s="296" t="str">
        <f>VLOOKUP(Tableau2546[[#This Row],[CA O&amp;M s/parc
BN 2024]],Tableau106[],5,FALSE)</f>
        <v>LOMO</v>
      </c>
      <c r="G90" s="297" t="str">
        <f>VLOOKUP(Tableau2546[[#This Row],[CA O&amp;M s/parc
BN 2024]],Tableau106[],7,FALSE)</f>
        <v>GROUPE</v>
      </c>
      <c r="H90" s="297" t="str">
        <f>VLOOKUP(Tableau2546[[#This Row],[CA O&amp;M s/parc
BN 2024]],Tableau106[],6,FALSE)</f>
        <v>N</v>
      </c>
      <c r="I90" s="297" t="str">
        <f>VLOOKUP(Tableau2546[[#This Row],[CA O&amp;M s/parc
BN 2024]],Tableau106[],9,FALSE)</f>
        <v>LoH</v>
      </c>
      <c r="J90" s="18">
        <f>35631.0686902222*0.99</f>
        <v>35274.758003319977</v>
      </c>
      <c r="K90" s="120">
        <f>VLOOKUP(Tableau2546[[#This Row],[CODE PI]],Tableau254[[CODE PI]:[TARIF]],6,FALSE)*(1+$Q$1)</f>
        <v>200.58972429999997</v>
      </c>
      <c r="L90" s="13"/>
      <c r="M90" s="18">
        <f>Tableau2546[[#This Row],[PROD en Mwh]]*Tableau2546[[#This Row],[TARIF]]</f>
        <v>7075753.9826351721</v>
      </c>
      <c r="N90" s="18" t="s">
        <v>675</v>
      </c>
    </row>
    <row r="91" spans="1:14">
      <c r="A91" s="293" t="s">
        <v>497</v>
      </c>
      <c r="B91" s="294" t="str">
        <f>VLOOKUP(Tableau2546[[#This Row],[CA O&amp;M s/parc
BN 2024]],Tableau106[],3,FALSE)</f>
        <v>A895</v>
      </c>
      <c r="C91" s="294" t="str">
        <f>VLOOKUP(Tableau2546[[#This Row],[CA O&amp;M s/parc
BN 2024]],Tableau106[],2,FALSE)</f>
        <v>FR80E97E</v>
      </c>
      <c r="D91" s="294" t="str">
        <f>VLOOKUP(Tableau2546[[#This Row],[CA O&amp;M s/parc
BN 2024]],Tableau106[],8,FALSE)</f>
        <v>EOLIEN</v>
      </c>
      <c r="E91" s="295">
        <f>VLOOKUP(Tableau2546[[#This Row],[CA O&amp;M s/parc
BN 2024]],Tableau106[],4,FALSE)</f>
        <v>10</v>
      </c>
      <c r="F91" s="296" t="str">
        <f>VLOOKUP(Tableau2546[[#This Row],[CA O&amp;M s/parc
BN 2024]],Tableau106[],5,FALSE)</f>
        <v>LEPI</v>
      </c>
      <c r="G91" s="297" t="str">
        <f>VLOOKUP(Tableau2546[[#This Row],[CA O&amp;M s/parc
BN 2024]],Tableau106[],7,FALSE)</f>
        <v>GROUPE</v>
      </c>
      <c r="H91" s="297" t="str">
        <f>VLOOKUP(Tableau2546[[#This Row],[CA O&amp;M s/parc
BN 2024]],Tableau106[],6,FALSE)</f>
        <v>N</v>
      </c>
      <c r="I91" s="297" t="str">
        <f>VLOOKUP(Tableau2546[[#This Row],[CA O&amp;M s/parc
BN 2024]],Tableau106[],9,FALSE)</f>
        <v>NiD</v>
      </c>
      <c r="J91" s="18">
        <v>17804.658754125572</v>
      </c>
      <c r="K91" s="120">
        <v>150</v>
      </c>
      <c r="L91" s="21"/>
      <c r="M91" s="18">
        <f>Tableau2546[[#This Row],[PROD en Mwh]]*Tableau2546[[#This Row],[TARIF]]</f>
        <v>2670698.8131188359</v>
      </c>
      <c r="N91" s="18"/>
    </row>
    <row r="92" spans="1:14">
      <c r="A92" s="293" t="s">
        <v>450</v>
      </c>
      <c r="B92" s="294" t="str">
        <f>VLOOKUP(Tableau2546[[#This Row],[CA O&amp;M s/parc
BN 2024]],Tableau106[],3,FALSE)</f>
        <v>A279</v>
      </c>
      <c r="C92" s="294" t="str">
        <f>VLOOKUP(Tableau2546[[#This Row],[CA O&amp;M s/parc
BN 2024]],Tableau106[],2,FALSE)</f>
        <v>FR51E07E</v>
      </c>
      <c r="D92" s="294" t="str">
        <f>VLOOKUP(Tableau2546[[#This Row],[CA O&amp;M s/parc
BN 2024]],Tableau106[],8,FALSE)</f>
        <v>EOLIEN</v>
      </c>
      <c r="E92" s="295">
        <f>VLOOKUP(Tableau2546[[#This Row],[CA O&amp;M s/parc
BN 2024]],Tableau106[],4,FALSE)</f>
        <v>43.2</v>
      </c>
      <c r="F92" s="296" t="str">
        <f>VLOOKUP(Tableau2546[[#This Row],[CA O&amp;M s/parc
BN 2024]],Tableau106[],5,FALSE)</f>
        <v>LORO</v>
      </c>
      <c r="G92" s="297" t="str">
        <f>VLOOKUP(Tableau2546[[#This Row],[CA O&amp;M s/parc
BN 2024]],Tableau106[],7,FALSE)</f>
        <v>GROUPE</v>
      </c>
      <c r="H92" s="297" t="str">
        <f>VLOOKUP(Tableau2546[[#This Row],[CA O&amp;M s/parc
BN 2024]],Tableau106[],6,FALSE)</f>
        <v>N</v>
      </c>
      <c r="I92" s="297" t="str">
        <f>VLOOKUP(Tableau2546[[#This Row],[CA O&amp;M s/parc
BN 2024]],Tableau106[],9,FALSE)</f>
        <v>BaB</v>
      </c>
      <c r="J92" s="18">
        <v>78422</v>
      </c>
      <c r="K92" s="120">
        <f>VLOOKUP(Tableau2546[[#This Row],[CODE PI]],Tableau254[[CODE PI]:[TARIF]],6,FALSE)*(1+$Q$1)</f>
        <v>73.703649999999996</v>
      </c>
      <c r="L92" s="21"/>
      <c r="M92" s="18">
        <f>Tableau2546[[#This Row],[PROD en Mwh]]*Tableau2546[[#This Row],[TARIF]]</f>
        <v>5779987.6403000001</v>
      </c>
      <c r="N92" s="18"/>
    </row>
    <row r="93" spans="1:14">
      <c r="A93" s="293" t="s">
        <v>452</v>
      </c>
      <c r="B93" s="294" t="str">
        <f>VLOOKUP(Tableau2546[[#This Row],[CA O&amp;M s/parc
BN 2024]],Tableau106[],3,FALSE)</f>
        <v>A896</v>
      </c>
      <c r="C93" s="294" t="str">
        <f>VLOOKUP(Tableau2546[[#This Row],[CA O&amp;M s/parc
BN 2024]],Tableau106[],2,FALSE)</f>
        <v>FR48E99E</v>
      </c>
      <c r="D93" s="294" t="str">
        <f>VLOOKUP(Tableau2546[[#This Row],[CA O&amp;M s/parc
BN 2024]],Tableau106[],8,FALSE)</f>
        <v>EOLIEN</v>
      </c>
      <c r="E93" s="295">
        <f>VLOOKUP(Tableau2546[[#This Row],[CA O&amp;M s/parc
BN 2024]],Tableau106[],4,FALSE)</f>
        <v>14</v>
      </c>
      <c r="F93" s="296" t="str">
        <f>VLOOKUP(Tableau2546[[#This Row],[CA O&amp;M s/parc
BN 2024]],Tableau106[],5,FALSE)</f>
        <v>LOPV</v>
      </c>
      <c r="G93" s="297" t="str">
        <f>VLOOKUP(Tableau2546[[#This Row],[CA O&amp;M s/parc
BN 2024]],Tableau106[],7,FALSE)</f>
        <v>GROUPE</v>
      </c>
      <c r="H93" s="297" t="str">
        <f>VLOOKUP(Tableau2546[[#This Row],[CA O&amp;M s/parc
BN 2024]],Tableau106[],6,FALSE)</f>
        <v>S</v>
      </c>
      <c r="I93" s="297" t="str">
        <f>VLOOKUP(Tableau2546[[#This Row],[CA O&amp;M s/parc
BN 2024]],Tableau106[],9,FALSE)</f>
        <v>ThC</v>
      </c>
      <c r="J93" s="18">
        <v>30978</v>
      </c>
      <c r="K93" s="120">
        <v>53</v>
      </c>
      <c r="L93" s="21">
        <v>0</v>
      </c>
      <c r="M93" s="18">
        <f>Tableau2546[[#This Row],[PROD en Mwh]]*Tableau2546[[#This Row],[TARIF]]</f>
        <v>1641834</v>
      </c>
      <c r="N93" s="18"/>
    </row>
    <row r="94" spans="1:14">
      <c r="A94" s="293" t="s">
        <v>533</v>
      </c>
      <c r="B94" s="294" t="str">
        <f>VLOOKUP(Tableau2546[[#This Row],[CA O&amp;M s/parc
BN 2024]],Tableau106[],3,FALSE)</f>
        <v>A257</v>
      </c>
      <c r="C94" s="294" t="str">
        <f>VLOOKUP(Tableau2546[[#This Row],[CA O&amp;M s/parc
BN 2024]],Tableau106[],2,FALSE)</f>
        <v>FR01S02E</v>
      </c>
      <c r="D94" s="294" t="str">
        <f>VLOOKUP(Tableau2546[[#This Row],[CA O&amp;M s/parc
BN 2024]],Tableau106[],8,FALSE)</f>
        <v>SOLAIRE</v>
      </c>
      <c r="E94" s="295">
        <f>VLOOKUP(Tableau2546[[#This Row],[CA O&amp;M s/parc
BN 2024]],Tableau106[],4,FALSE)</f>
        <v>4.8</v>
      </c>
      <c r="F94" s="296" t="str">
        <f>VLOOKUP(Tableau2546[[#This Row],[CA O&amp;M s/parc
BN 2024]],Tableau106[],5,FALSE)</f>
        <v>LOYE</v>
      </c>
      <c r="G94" s="297" t="str">
        <f>VLOOKUP(Tableau2546[[#This Row],[CA O&amp;M s/parc
BN 2024]],Tableau106[],7,FALSE)</f>
        <v>GROUPE</v>
      </c>
      <c r="H94" s="297" t="str">
        <f>VLOOKUP(Tableau2546[[#This Row],[CA O&amp;M s/parc
BN 2024]],Tableau106[],6,FALSE)</f>
        <v>S</v>
      </c>
      <c r="I94" s="297" t="str">
        <f>VLOOKUP(Tableau2546[[#This Row],[CA O&amp;M s/parc
BN 2024]],Tableau106[],9,FALSE)</f>
        <v>LoG</v>
      </c>
      <c r="J94" s="18">
        <v>5419</v>
      </c>
      <c r="K94" s="120">
        <f>VLOOKUP(Tableau2546[[#This Row],[CODE PI]],Tableau254[[CODE PI]:[TARIF]],6,FALSE)*(1+$Q$1)</f>
        <v>77.592500000000001</v>
      </c>
      <c r="L94" s="13"/>
      <c r="M94" s="18">
        <f>Tableau2546[[#This Row],[PROD en Mwh]]*Tableau2546[[#This Row],[TARIF]]</f>
        <v>420473.75750000001</v>
      </c>
      <c r="N94" s="18"/>
    </row>
    <row r="95" spans="1:14">
      <c r="A95" s="293" t="s">
        <v>469</v>
      </c>
      <c r="B95" s="294" t="str">
        <f>VLOOKUP(Tableau2546[[#This Row],[CA O&amp;M s/parc
BN 2024]],Tableau106[],3,FALSE)</f>
        <v>A039</v>
      </c>
      <c r="C95" s="294" t="str">
        <f>VLOOKUP(Tableau2546[[#This Row],[CA O&amp;M s/parc
BN 2024]],Tableau106[],2,FALSE)</f>
        <v>FR11E99E</v>
      </c>
      <c r="D95" s="294" t="str">
        <f>VLOOKUP(Tableau2546[[#This Row],[CA O&amp;M s/parc
BN 2024]],Tableau106[],8,FALSE)</f>
        <v>EOLIEN</v>
      </c>
      <c r="E95" s="295">
        <f>VLOOKUP(Tableau2546[[#This Row],[CA O&amp;M s/parc
BN 2024]],Tableau106[],4,FALSE)</f>
        <v>12</v>
      </c>
      <c r="F95" s="296" t="str">
        <f>VLOOKUP(Tableau2546[[#This Row],[CA O&amp;M s/parc
BN 2024]],Tableau106[],5,FALSE)</f>
        <v>LUCO</v>
      </c>
      <c r="G95" s="297" t="str">
        <f>VLOOKUP(Tableau2546[[#This Row],[CA O&amp;M s/parc
BN 2024]],Tableau106[],7,FALSE)</f>
        <v>GROUPE</v>
      </c>
      <c r="H95" s="297" t="str">
        <f>VLOOKUP(Tableau2546[[#This Row],[CA O&amp;M s/parc
BN 2024]],Tableau106[],6,FALSE)</f>
        <v>S</v>
      </c>
      <c r="I95" s="297" t="str">
        <f>VLOOKUP(Tableau2546[[#This Row],[CA O&amp;M s/parc
BN 2024]],Tableau106[],9,FALSE)</f>
        <v>SaH</v>
      </c>
      <c r="J95" s="18">
        <v>25098.18950117756</v>
      </c>
      <c r="K95" s="120">
        <f>VLOOKUP(Tableau2546[[#This Row],[CODE PI]],Tableau254[[CODE PI]:[TARIF]],6,FALSE)*(1+$Q$1)</f>
        <v>82</v>
      </c>
      <c r="L95" s="21">
        <v>0</v>
      </c>
      <c r="M95" s="18">
        <f>Tableau2546[[#This Row],[PROD en Mwh]]*Tableau2546[[#This Row],[TARIF]]</f>
        <v>2058051.5390965599</v>
      </c>
      <c r="N95" s="18"/>
    </row>
    <row r="96" spans="1:14">
      <c r="A96" s="293" t="s">
        <v>400</v>
      </c>
      <c r="B96" s="294" t="str">
        <f>VLOOKUP(Tableau2546[[#This Row],[CA O&amp;M s/parc
BN 2024]],Tableau106[],3,FALSE)</f>
        <v>A272</v>
      </c>
      <c r="C96" s="294" t="str">
        <f>VLOOKUP(Tableau2546[[#This Row],[CA O&amp;M s/parc
BN 2024]],Tableau106[],2,FALSE)</f>
        <v>FR21S02E</v>
      </c>
      <c r="D96" s="294" t="str">
        <f>VLOOKUP(Tableau2546[[#This Row],[CA O&amp;M s/parc
BN 2024]],Tableau106[],8,FALSE)</f>
        <v>SOLAIRE</v>
      </c>
      <c r="E96" s="295">
        <f>VLOOKUP(Tableau2546[[#This Row],[CA O&amp;M s/parc
BN 2024]],Tableau106[],4,FALSE)</f>
        <v>8.4</v>
      </c>
      <c r="F96" s="296" t="str">
        <f>VLOOKUP(Tableau2546[[#This Row],[CA O&amp;M s/parc
BN 2024]],Tableau106[],5,FALSE)</f>
        <v>LUX1</v>
      </c>
      <c r="G96" s="297" t="str">
        <f>VLOOKUP(Tableau2546[[#This Row],[CA O&amp;M s/parc
BN 2024]],Tableau106[],7,FALSE)</f>
        <v>GROUPE</v>
      </c>
      <c r="H96" s="297" t="str">
        <f>VLOOKUP(Tableau2546[[#This Row],[CA O&amp;M s/parc
BN 2024]],Tableau106[],6,FALSE)</f>
        <v>N</v>
      </c>
      <c r="I96" s="297" t="str">
        <f>VLOOKUP(Tableau2546[[#This Row],[CA O&amp;M s/parc
BN 2024]],Tableau106[],9,FALSE)</f>
        <v>ZaA</v>
      </c>
      <c r="J96" s="18">
        <v>8351</v>
      </c>
      <c r="K96" s="120">
        <f>VLOOKUP(Tableau2546[[#This Row],[CODE PI]],Tableau254[[CODE PI]:[TARIF]],6,FALSE)*(1+$Q$1)</f>
        <v>175.2177708333333</v>
      </c>
      <c r="L96" s="13"/>
      <c r="M96" s="18">
        <f>Tableau2546[[#This Row],[PROD en Mwh]]*Tableau2546[[#This Row],[TARIF]]</f>
        <v>1463243.6042291664</v>
      </c>
      <c r="N96" s="18"/>
    </row>
    <row r="97" spans="1:14">
      <c r="A97" s="293" t="s">
        <v>599</v>
      </c>
      <c r="B97" s="294" t="str">
        <f>VLOOKUP(Tableau2546[[#This Row],[CA O&amp;M s/parc
BN 2024]],Tableau106[],3,FALSE)</f>
        <v>A541</v>
      </c>
      <c r="C97" s="294" t="str">
        <f>VLOOKUP(Tableau2546[[#This Row],[CA O&amp;M s/parc
BN 2024]],Tableau106[],2,FALSE)</f>
        <v>FR85E02E</v>
      </c>
      <c r="D97" s="294" t="str">
        <f>VLOOKUP(Tableau2546[[#This Row],[CA O&amp;M s/parc
BN 2024]],Tableau106[],8,FALSE)</f>
        <v>EOLIEN</v>
      </c>
      <c r="E97" s="295">
        <f>VLOOKUP(Tableau2546[[#This Row],[CA O&amp;M s/parc
BN 2024]],Tableau106[],4,FALSE)</f>
        <v>8</v>
      </c>
      <c r="F97" s="296" t="str">
        <f>VLOOKUP(Tableau2546[[#This Row],[CA O&amp;M s/parc
BN 2024]],Tableau106[],5,FALSE)</f>
        <v>MACH</v>
      </c>
      <c r="G97" s="297" t="str">
        <f>VLOOKUP(Tableau2546[[#This Row],[CA O&amp;M s/parc
BN 2024]],Tableau106[],7,FALSE)</f>
        <v>EGM</v>
      </c>
      <c r="H97" s="297" t="str">
        <f>VLOOKUP(Tableau2546[[#This Row],[CA O&amp;M s/parc
BN 2024]],Tableau106[],6,FALSE)</f>
        <v>N</v>
      </c>
      <c r="I97" s="297" t="str">
        <f>VLOOKUP(Tableau2546[[#This Row],[CA O&amp;M s/parc
BN 2024]],Tableau106[],9,FALSE)</f>
        <v>BoK</v>
      </c>
      <c r="J97" s="18">
        <v>15093.945</v>
      </c>
      <c r="K97" s="120">
        <f>VLOOKUP(Tableau2546[[#This Row],[CODE PI]],Tableau254[[CODE PI]:[TARIF]],6,FALSE)*(1+$Q$1)</f>
        <v>172.67859812500001</v>
      </c>
      <c r="L97" s="21"/>
      <c r="M97" s="18">
        <f>Tableau2546[[#This Row],[PROD en Mwh]]*Tableau2546[[#This Row],[TARIF]]</f>
        <v>2606401.2627758533</v>
      </c>
      <c r="N97" s="18"/>
    </row>
    <row r="98" spans="1:14">
      <c r="A98" s="293" t="s">
        <v>214</v>
      </c>
      <c r="B98" s="294" t="str">
        <f>VLOOKUP(Tableau2546[[#This Row],[CA O&amp;M s/parc
BN 2024]],Tableau106[],3,FALSE)</f>
        <v>F240</v>
      </c>
      <c r="C98" s="294" t="str">
        <f>VLOOKUP(Tableau2546[[#This Row],[CA O&amp;M s/parc
BN 2024]],Tableau106[],2,FALSE)</f>
        <v>FR80E93E</v>
      </c>
      <c r="D98" s="294" t="str">
        <f>VLOOKUP(Tableau2546[[#This Row],[CA O&amp;M s/parc
BN 2024]],Tableau106[],8,FALSE)</f>
        <v>EOLIEN</v>
      </c>
      <c r="E98" s="295">
        <f>VLOOKUP(Tableau2546[[#This Row],[CA O&amp;M s/parc
BN 2024]],Tableau106[],4,FALSE)</f>
        <v>15</v>
      </c>
      <c r="F98" s="296" t="str">
        <f>VLOOKUP(Tableau2546[[#This Row],[CA O&amp;M s/parc
BN 2024]],Tableau106[],5,FALSE)</f>
        <v>MAG1, MAG3</v>
      </c>
      <c r="G98" s="297" t="str">
        <f>VLOOKUP(Tableau2546[[#This Row],[CA O&amp;M s/parc
BN 2024]],Tableau106[],7,FALSE)</f>
        <v>FUTUREN</v>
      </c>
      <c r="H98" s="297" t="str">
        <f>VLOOKUP(Tableau2546[[#This Row],[CA O&amp;M s/parc
BN 2024]],Tableau106[],6,FALSE)</f>
        <v>N</v>
      </c>
      <c r="I98" s="297" t="str">
        <f>VLOOKUP(Tableau2546[[#This Row],[CA O&amp;M s/parc
BN 2024]],Tableau106[],9,FALSE)</f>
        <v>AlY</v>
      </c>
      <c r="J98" s="414">
        <f>28622.23049737*(1-0.085)</f>
        <v>26189.340905093552</v>
      </c>
      <c r="K98" s="120">
        <f>VLOOKUP(Tableau2546[[#This Row],[CODE PI]],Tableau254[[CODE PI]:[TARIF]],6,FALSE)*(1+$Q$1)</f>
        <v>100.02974999999999</v>
      </c>
      <c r="L98" s="13"/>
      <c r="M98" s="18">
        <f>Tableau2546[[#This Row],[PROD en Mwh]]*Tableau2546[[#This Row],[TARIF]]</f>
        <v>2619713.2234012815</v>
      </c>
      <c r="N98" s="18"/>
    </row>
    <row r="99" spans="1:14">
      <c r="A99" s="293" t="s">
        <v>536</v>
      </c>
      <c r="B99" s="294" t="str">
        <f>VLOOKUP(Tableau2546[[#This Row],[CA O&amp;M s/parc
BN 2024]],Tableau106[],3,FALSE)</f>
        <v>A134</v>
      </c>
      <c r="C99" s="294" t="str">
        <f>VLOOKUP(Tableau2546[[#This Row],[CA O&amp;M s/parc
BN 2024]],Tableau106[],2,FALSE)</f>
        <v>FR04S99E</v>
      </c>
      <c r="D99" s="294" t="str">
        <f>VLOOKUP(Tableau2546[[#This Row],[CA O&amp;M s/parc
BN 2024]],Tableau106[],8,FALSE)</f>
        <v>SOLAIRE</v>
      </c>
      <c r="E99" s="295">
        <f>VLOOKUP(Tableau2546[[#This Row],[CA O&amp;M s/parc
BN 2024]],Tableau106[],4,FALSE)</f>
        <v>4.0999999999999996</v>
      </c>
      <c r="F99" s="296" t="str">
        <f>VLOOKUP(Tableau2546[[#This Row],[CA O&amp;M s/parc
BN 2024]],Tableau106[],5,FALSE)</f>
        <v>MANO</v>
      </c>
      <c r="G99" s="294" t="str">
        <f>VLOOKUP(Tableau2546[[#This Row],[CA O&amp;M s/parc
BN 2024]],Tableau106[],7,FALSE)</f>
        <v>GROUPE</v>
      </c>
      <c r="H99" s="294" t="str">
        <f>VLOOKUP(Tableau2546[[#This Row],[CA O&amp;M s/parc
BN 2024]],Tableau106[],6,FALSE)</f>
        <v>S</v>
      </c>
      <c r="I99" s="294" t="str">
        <f>VLOOKUP(Tableau2546[[#This Row],[CA O&amp;M s/parc
BN 2024]],Tableau106[],9,FALSE)</f>
        <v>ArB</v>
      </c>
      <c r="J99" s="18">
        <v>5603.1102988230759</v>
      </c>
      <c r="K99" s="120">
        <f>VLOOKUP(Tableau2546[[#This Row],[CODE PI]],Tableau254[[CODE PI]:[TARIF]],6,FALSE)*(1+$Q$1)</f>
        <v>428.1343</v>
      </c>
      <c r="L99" s="13"/>
      <c r="M99" s="18">
        <f>Tableau2546[[#This Row],[PROD en Mwh]]*Tableau2546[[#This Row],[TARIF]]</f>
        <v>2398883.7056094082</v>
      </c>
      <c r="N99" s="18"/>
    </row>
    <row r="100" spans="1:14">
      <c r="A100" s="293" t="s">
        <v>568</v>
      </c>
      <c r="B100" s="294" t="str">
        <f>VLOOKUP(Tableau2546[[#This Row],[CA O&amp;M s/parc
BN 2024]],Tableau106[],3,FALSE)</f>
        <v>A100</v>
      </c>
      <c r="C100" s="294" t="str">
        <f>VLOOKUP(Tableau2546[[#This Row],[CA O&amp;M s/parc
BN 2024]],Tableau106[],2,FALSE)</f>
        <v>FR34E05E</v>
      </c>
      <c r="D100" s="294" t="str">
        <f>VLOOKUP(Tableau2546[[#This Row],[CA O&amp;M s/parc
BN 2024]],Tableau106[],8,FALSE)</f>
        <v>EOLIEN</v>
      </c>
      <c r="E100" s="295">
        <f>VLOOKUP(Tableau2546[[#This Row],[CA O&amp;M s/parc
BN 2024]],Tableau106[],4,FALSE)</f>
        <v>14.5</v>
      </c>
      <c r="F100" s="296" t="str">
        <f>VLOOKUP(Tableau2546[[#This Row],[CA O&amp;M s/parc
BN 2024]],Tableau106[],5,FALSE)</f>
        <v>JONC</v>
      </c>
      <c r="G100" s="297" t="str">
        <f>VLOOKUP(Tableau2546[[#This Row],[CA O&amp;M s/parc
BN 2024]],Tableau106[],7,FALSE)</f>
        <v>GROUPE</v>
      </c>
      <c r="H100" s="297" t="str">
        <f>VLOOKUP(Tableau2546[[#This Row],[CA O&amp;M s/parc
BN 2024]],Tableau106[],6,FALSE)</f>
        <v>S</v>
      </c>
      <c r="I100" s="297" t="str">
        <f>VLOOKUP(Tableau2546[[#This Row],[CA O&amp;M s/parc
BN 2024]],Tableau106[],9,FALSE)</f>
        <v>KéC</v>
      </c>
      <c r="J100" s="18">
        <v>26600.015679059787</v>
      </c>
      <c r="K100" s="120">
        <f>VLOOKUP(Tableau2546[[#This Row],[CODE PI]],Tableau254[[CODE PI]:[TARIF]],6,FALSE)*(1+$Q$1)</f>
        <v>97.509274999999988</v>
      </c>
      <c r="L100" s="13"/>
      <c r="M100" s="18">
        <f>Tableau2546[[#This Row],[PROD en Mwh]]*Tableau2546[[#This Row],[TARIF]]</f>
        <v>2593748.243853752</v>
      </c>
      <c r="N100" s="18"/>
    </row>
    <row r="101" spans="1:14">
      <c r="A101" s="293" t="s">
        <v>537</v>
      </c>
      <c r="B101" s="294" t="str">
        <f>VLOOKUP(Tableau2546[[#This Row],[CA O&amp;M s/parc
BN 2024]],Tableau106[],3,FALSE)</f>
        <v>A389</v>
      </c>
      <c r="C101" s="294" t="str">
        <f>VLOOKUP(Tableau2546[[#This Row],[CA O&amp;M s/parc
BN 2024]],Tableau106[],2,FALSE)</f>
        <v>FR89S02E</v>
      </c>
      <c r="D101" s="294" t="str">
        <f>VLOOKUP(Tableau2546[[#This Row],[CA O&amp;M s/parc
BN 2024]],Tableau106[],8,FALSE)</f>
        <v>SOLAIRE</v>
      </c>
      <c r="E101" s="295">
        <f>VLOOKUP(Tableau2546[[#This Row],[CA O&amp;M s/parc
BN 2024]],Tableau106[],4,FALSE)</f>
        <v>20</v>
      </c>
      <c r="F101" s="296" t="str">
        <f>VLOOKUP(Tableau2546[[#This Row],[CA O&amp;M s/parc
BN 2024]],Tableau106[],5,FALSE)</f>
        <v>MA22</v>
      </c>
      <c r="G101" s="297" t="str">
        <f>VLOOKUP(Tableau2546[[#This Row],[CA O&amp;M s/parc
BN 2024]],Tableau106[],7,FALSE)</f>
        <v>GROUPE</v>
      </c>
      <c r="H101" s="297" t="str">
        <f>VLOOKUP(Tableau2546[[#This Row],[CA O&amp;M s/parc
BN 2024]],Tableau106[],6,FALSE)</f>
        <v>S</v>
      </c>
      <c r="I101" s="297" t="str">
        <f>VLOOKUP(Tableau2546[[#This Row],[CA O&amp;M s/parc
BN 2024]],Tableau106[],9,FALSE)</f>
        <v>LoG</v>
      </c>
      <c r="J101" s="18">
        <v>22581.273301166886</v>
      </c>
      <c r="K101" s="120">
        <f>VLOOKUP(Tableau2546[[#This Row],[CODE PI]],Tableau254[[CODE PI]:[TARIF]],6,FALSE)*(1+$Q$1)</f>
        <v>370.96184999999997</v>
      </c>
      <c r="L101" s="13"/>
      <c r="M101" s="18">
        <f>Tableau2546[[#This Row],[PROD en Mwh]]*Tableau2546[[#This Row],[TARIF]]</f>
        <v>8376790.919156475</v>
      </c>
      <c r="N101" s="18"/>
    </row>
    <row r="102" spans="1:14">
      <c r="A102" s="293" t="s">
        <v>475</v>
      </c>
      <c r="B102" s="294" t="str">
        <f>VLOOKUP(Tableau2546[[#This Row],[CA O&amp;M s/parc
BN 2024]],Tableau106[],3,FALSE)</f>
        <v>A540</v>
      </c>
      <c r="C102" s="294" t="str">
        <f>VLOOKUP(Tableau2546[[#This Row],[CA O&amp;M s/parc
BN 2024]],Tableau106[],2,FALSE)</f>
        <v>FR56E04E</v>
      </c>
      <c r="D102" s="294" t="str">
        <f>VLOOKUP(Tableau2546[[#This Row],[CA O&amp;M s/parc
BN 2024]],Tableau106[],8,FALSE)</f>
        <v>EOLIEN</v>
      </c>
      <c r="E102" s="295">
        <f>VLOOKUP(Tableau2546[[#This Row],[CA O&amp;M s/parc
BN 2024]],Tableau106[],4,FALSE)</f>
        <v>10</v>
      </c>
      <c r="F102" s="296" t="str">
        <f>VLOOKUP(Tableau2546[[#This Row],[CA O&amp;M s/parc
BN 2024]],Tableau106[],5,FALSE)</f>
        <v>MAUR</v>
      </c>
      <c r="G102" s="297" t="str">
        <f>VLOOKUP(Tableau2546[[#This Row],[CA O&amp;M s/parc
BN 2024]],Tableau106[],7,FALSE)</f>
        <v>EGM</v>
      </c>
      <c r="H102" s="297" t="str">
        <f>VLOOKUP(Tableau2546[[#This Row],[CA O&amp;M s/parc
BN 2024]],Tableau106[],6,FALSE)</f>
        <v>N</v>
      </c>
      <c r="I102" s="297" t="str">
        <f>VLOOKUP(Tableau2546[[#This Row],[CA O&amp;M s/parc
BN 2024]],Tableau106[],9,FALSE)</f>
        <v>DeN</v>
      </c>
      <c r="J102" s="18">
        <v>13280.054</v>
      </c>
      <c r="K102" s="120">
        <f>VLOOKUP(Tableau2546[[#This Row],[CODE PI]],Tableau254[[CODE PI]:[TARIF]],6,FALSE)*(1+$Q$1)</f>
        <v>172.67393437500002</v>
      </c>
      <c r="L102" s="13"/>
      <c r="M102" s="18">
        <f>Tableau2546[[#This Row],[PROD en Mwh]]*Tableau2546[[#This Row],[TARIF]]</f>
        <v>2293119.1728924564</v>
      </c>
      <c r="N102" s="18"/>
    </row>
    <row r="103" spans="1:14">
      <c r="A103" s="293" t="s">
        <v>539</v>
      </c>
      <c r="B103" s="294" t="str">
        <f>VLOOKUP(Tableau2546[[#This Row],[CA O&amp;M s/parc
BN 2024]],Tableau106[],3,FALSE)</f>
        <v>A295</v>
      </c>
      <c r="C103" s="294" t="str">
        <f>VLOOKUP(Tableau2546[[#This Row],[CA O&amp;M s/parc
BN 2024]],Tableau106[],2,FALSE)</f>
        <v>FR43S04E</v>
      </c>
      <c r="D103" s="294" t="str">
        <f>VLOOKUP(Tableau2546[[#This Row],[CA O&amp;M s/parc
BN 2024]],Tableau106[],8,FALSE)</f>
        <v>SOLAIRE</v>
      </c>
      <c r="E103" s="295">
        <f>VLOOKUP(Tableau2546[[#This Row],[CA O&amp;M s/parc
BN 2024]],Tableau106[],4,FALSE)</f>
        <v>2.8</v>
      </c>
      <c r="F103" s="296" t="str">
        <f>VLOOKUP(Tableau2546[[#This Row],[CA O&amp;M s/parc
BN 2024]],Tableau106[],5,FALSE)</f>
        <v>MSTV</v>
      </c>
      <c r="G103" s="297" t="str">
        <f>VLOOKUP(Tableau2546[[#This Row],[CA O&amp;M s/parc
BN 2024]],Tableau106[],7,FALSE)</f>
        <v>GROUPE</v>
      </c>
      <c r="H103" s="297" t="str">
        <f>VLOOKUP(Tableau2546[[#This Row],[CA O&amp;M s/parc
BN 2024]],Tableau106[],6,FALSE)</f>
        <v>S</v>
      </c>
      <c r="I103" s="297" t="str">
        <f>VLOOKUP(Tableau2546[[#This Row],[CA O&amp;M s/parc
BN 2024]],Tableau106[],9,FALSE)</f>
        <v>ArB</v>
      </c>
      <c r="J103" s="18">
        <v>3234</v>
      </c>
      <c r="K103" s="120">
        <f>VLOOKUP(Tableau2546[[#This Row],[CODE PI]],Tableau254[[CODE PI]:[TARIF]],6,FALSE)*(1+$Q$1)</f>
        <v>175.08879166666662</v>
      </c>
      <c r="L103" s="13"/>
      <c r="M103" s="18">
        <f>Tableau2546[[#This Row],[PROD en Mwh]]*Tableau2546[[#This Row],[TARIF]]</f>
        <v>566237.15224999981</v>
      </c>
      <c r="N103" s="18"/>
    </row>
    <row r="104" spans="1:14">
      <c r="A104" s="293" t="s">
        <v>228</v>
      </c>
      <c r="B104" s="294" t="str">
        <f>VLOOKUP(Tableau2546[[#This Row],[CA O&amp;M s/parc
BN 2024]],Tableau106[],3,FALSE)</f>
        <v>F159</v>
      </c>
      <c r="C104" s="294" t="str">
        <f>VLOOKUP(Tableau2546[[#This Row],[CA O&amp;M s/parc
BN 2024]],Tableau106[],2,FALSE)</f>
        <v>FR02E13E</v>
      </c>
      <c r="D104" s="294" t="str">
        <f>VLOOKUP(Tableau2546[[#This Row],[CA O&amp;M s/parc
BN 2024]],Tableau106[],8,FALSE)</f>
        <v>EOLIEN</v>
      </c>
      <c r="E104" s="295">
        <f>VLOOKUP(Tableau2546[[#This Row],[CA O&amp;M s/parc
BN 2024]],Tableau106[],4,FALSE)</f>
        <v>12.8</v>
      </c>
      <c r="F104" s="296" t="str">
        <f>VLOOKUP(Tableau2546[[#This Row],[CA O&amp;M s/parc
BN 2024]],Tableau106[],5,FALSE)</f>
        <v>MAZU</v>
      </c>
      <c r="G104" s="297" t="str">
        <f>VLOOKUP(Tableau2546[[#This Row],[CA O&amp;M s/parc
BN 2024]],Tableau106[],7,FALSE)</f>
        <v>FUTUREN</v>
      </c>
      <c r="H104" s="297" t="str">
        <f>VLOOKUP(Tableau2546[[#This Row],[CA O&amp;M s/parc
BN 2024]],Tableau106[],6,FALSE)</f>
        <v>N</v>
      </c>
      <c r="I104" s="297" t="str">
        <f>VLOOKUP(Tableau2546[[#This Row],[CA O&amp;M s/parc
BN 2024]],Tableau106[],9,FALSE)</f>
        <v>NiD</v>
      </c>
      <c r="J104" s="18">
        <v>28129.243746779968</v>
      </c>
      <c r="K104" s="120">
        <f>VLOOKUP(Tableau2546[[#This Row],[CODE PI]],Tableau254[[CODE PI]:[TARIF]],6,FALSE)*(1+$Q$1)</f>
        <v>92.682549999999992</v>
      </c>
      <c r="L104" s="13"/>
      <c r="M104" s="18">
        <f>Tableau2546[[#This Row],[PROD en Mwh]]*Tableau2546[[#This Row],[TARIF]]</f>
        <v>2607090.0400231215</v>
      </c>
      <c r="N104" s="18"/>
    </row>
    <row r="105" spans="1:14">
      <c r="A105" s="293" t="s">
        <v>531</v>
      </c>
      <c r="B105" s="294" t="str">
        <f>VLOOKUP(Tableau2546[[#This Row],[CA O&amp;M s/parc
BN 2024]],Tableau106[],3,FALSE)</f>
        <v>A432</v>
      </c>
      <c r="C105" s="294" t="str">
        <f>VLOOKUP(Tableau2546[[#This Row],[CA O&amp;M s/parc
BN 2024]],Tableau106[],2,FALSE)</f>
        <v>FR07E97E</v>
      </c>
      <c r="D105" s="294" t="str">
        <f>VLOOKUP(Tableau2546[[#This Row],[CA O&amp;M s/parc
BN 2024]],Tableau106[],8,FALSE)</f>
        <v>EOLIEN</v>
      </c>
      <c r="E105" s="295">
        <f>VLOOKUP(Tableau2546[[#This Row],[CA O&amp;M s/parc
BN 2024]],Tableau106[],4,FALSE)</f>
        <v>56.4</v>
      </c>
      <c r="F105" s="296" t="str">
        <f>VLOOKUP(Tableau2546[[#This Row],[CA O&amp;M s/parc
BN 2024]],Tableau106[],5,FALSE)</f>
        <v>MTAR</v>
      </c>
      <c r="G105" s="297" t="str">
        <f>VLOOKUP(Tableau2546[[#This Row],[CA O&amp;M s/parc
BN 2024]],Tableau106[],7,FALSE)</f>
        <v>GROUPE</v>
      </c>
      <c r="H105" s="297" t="str">
        <f>VLOOKUP(Tableau2546[[#This Row],[CA O&amp;M s/parc
BN 2024]],Tableau106[],6,FALSE)</f>
        <v>S</v>
      </c>
      <c r="I105" s="297" t="str">
        <f>VLOOKUP(Tableau2546[[#This Row],[CA O&amp;M s/parc
BN 2024]],Tableau106[],9,FALSE)</f>
        <v>StE</v>
      </c>
      <c r="J105" s="18">
        <v>134352.72488729903</v>
      </c>
      <c r="K105" s="120">
        <f>VLOOKUP(Tableau2546[[#This Row],[CODE PI]],Tableau254[[CODE PI]:[TARIF]],6,FALSE)*(1+$Q$1)</f>
        <v>96.649299999999997</v>
      </c>
      <c r="L105" s="21">
        <v>0</v>
      </c>
      <c r="M105" s="18">
        <f>Tableau2546[[#This Row],[PROD en Mwh]]*Tableau2546[[#This Row],[TARIF]]</f>
        <v>12985096.813450029</v>
      </c>
      <c r="N105" s="18" t="s">
        <v>676</v>
      </c>
    </row>
    <row r="106" spans="1:14">
      <c r="A106" s="293" t="s">
        <v>543</v>
      </c>
      <c r="B106" s="294" t="str">
        <f>VLOOKUP(Tableau2546[[#This Row],[CA O&amp;M s/parc
BN 2024]],Tableau106[],3,FALSE)</f>
        <v>A902</v>
      </c>
      <c r="C106" s="294" t="str">
        <f>VLOOKUP(Tableau2546[[#This Row],[CA O&amp;M s/parc
BN 2024]],Tableau106[],2,FALSE)</f>
        <v>FR17S01E</v>
      </c>
      <c r="D106" s="294" t="str">
        <f>VLOOKUP(Tableau2546[[#This Row],[CA O&amp;M s/parc
BN 2024]],Tableau106[],8,FALSE)</f>
        <v>SOLAIRE</v>
      </c>
      <c r="E106" s="295">
        <f>VLOOKUP(Tableau2546[[#This Row],[CA O&amp;M s/parc
BN 2024]],Tableau106[],4,FALSE)</f>
        <v>5.5</v>
      </c>
      <c r="F106" s="296" t="str">
        <f>VLOOKUP(Tableau2546[[#This Row],[CA O&amp;M s/parc
BN 2024]],Tableau106[],5,FALSE)</f>
        <v>MDR1</v>
      </c>
      <c r="G106" s="297" t="str">
        <f>VLOOKUP(Tableau2546[[#This Row],[CA O&amp;M s/parc
BN 2024]],Tableau106[],7,FALSE)</f>
        <v>GROUPE</v>
      </c>
      <c r="H106" s="297" t="str">
        <f>VLOOKUP(Tableau2546[[#This Row],[CA O&amp;M s/parc
BN 2024]],Tableau106[],6,FALSE)</f>
        <v>N</v>
      </c>
      <c r="I106" s="297" t="str">
        <f>VLOOKUP(Tableau2546[[#This Row],[CA O&amp;M s/parc
BN 2024]],Tableau106[],9,FALSE)</f>
        <v>BaA</v>
      </c>
      <c r="J106" s="18">
        <v>6787.8540195372625</v>
      </c>
      <c r="K106" s="120">
        <f>VLOOKUP(Tableau2546[[#This Row],[CODE PI]],Tableau254[[CODE PI]:[TARIF]],6,FALSE)*(1+$Q$1)</f>
        <v>362.85922499999998</v>
      </c>
      <c r="L106" s="21"/>
      <c r="M106" s="18">
        <f>Tableau2546[[#This Row],[PROD en Mwh]]*Tableau2546[[#This Row],[TARIF]]</f>
        <v>2463035.4489424257</v>
      </c>
      <c r="N106" s="18"/>
    </row>
    <row r="107" spans="1:14">
      <c r="A107" s="293" t="s">
        <v>513</v>
      </c>
      <c r="B107" s="294" t="str">
        <f>VLOOKUP(Tableau2546[[#This Row],[CA O&amp;M s/parc
BN 2024]],Tableau106[],3,FALSE)</f>
        <v>A540</v>
      </c>
      <c r="C107" s="294" t="str">
        <f>VLOOKUP(Tableau2546[[#This Row],[CA O&amp;M s/parc
BN 2024]],Tableau106[],2,FALSE)</f>
        <v>FR15E03E</v>
      </c>
      <c r="D107" s="294" t="str">
        <f>VLOOKUP(Tableau2546[[#This Row],[CA O&amp;M s/parc
BN 2024]],Tableau106[],8,FALSE)</f>
        <v>EOLIEN</v>
      </c>
      <c r="E107" s="295">
        <f>VLOOKUP(Tableau2546[[#This Row],[CA O&amp;M s/parc
BN 2024]],Tableau106[],4,FALSE)</f>
        <v>12</v>
      </c>
      <c r="F107" s="296" t="str">
        <f>VLOOKUP(Tableau2546[[#This Row],[CA O&amp;M s/parc
BN 2024]],Tableau106[],5,FALSE)</f>
        <v>MTL1</v>
      </c>
      <c r="G107" s="297" t="str">
        <f>VLOOKUP(Tableau2546[[#This Row],[CA O&amp;M s/parc
BN 2024]],Tableau106[],7,FALSE)</f>
        <v>EGM</v>
      </c>
      <c r="H107" s="297" t="str">
        <f>VLOOKUP(Tableau2546[[#This Row],[CA O&amp;M s/parc
BN 2024]],Tableau106[],6,FALSE)</f>
        <v>S</v>
      </c>
      <c r="I107" s="297" t="str">
        <f>VLOOKUP(Tableau2546[[#This Row],[CA O&amp;M s/parc
BN 2024]],Tableau106[],9,FALSE)</f>
        <v>AuE</v>
      </c>
      <c r="J107" s="18">
        <v>23414.287</v>
      </c>
      <c r="K107" s="120">
        <f>VLOOKUP(Tableau2546[[#This Row],[CODE PI]],Tableau254[[CODE PI]:[TARIF]],6,FALSE)*(1+$Q$1)</f>
        <v>172.56999937500001</v>
      </c>
      <c r="L107" s="13"/>
      <c r="M107" s="18">
        <f>Tableau2546[[#This Row],[PROD en Mwh]]*Tableau2546[[#This Row],[TARIF]]</f>
        <v>4040603.4929560707</v>
      </c>
      <c r="N107" s="18" t="s">
        <v>490</v>
      </c>
    </row>
    <row r="108" spans="1:14">
      <c r="A108" s="293" t="s">
        <v>236</v>
      </c>
      <c r="B108" s="294" t="str">
        <f>VLOOKUP(Tableau2546[[#This Row],[CA O&amp;M s/parc
BN 2024]],Tableau106[],3,FALSE)</f>
        <v>F140</v>
      </c>
      <c r="C108" s="294" t="str">
        <f>VLOOKUP(Tableau2546[[#This Row],[CA O&amp;M s/parc
BN 2024]],Tableau106[],2,FALSE)</f>
        <v>FR57E06E</v>
      </c>
      <c r="D108" s="294" t="str">
        <f>VLOOKUP(Tableau2546[[#This Row],[CA O&amp;M s/parc
BN 2024]],Tableau106[],8,FALSE)</f>
        <v>EOLIEN</v>
      </c>
      <c r="E108" s="295">
        <f>VLOOKUP(Tableau2546[[#This Row],[CA O&amp;M s/parc
BN 2024]],Tableau106[],4,FALSE)</f>
        <v>15.4</v>
      </c>
      <c r="F108" s="296" t="str">
        <f>VLOOKUP(Tableau2546[[#This Row],[CA O&amp;M s/parc
BN 2024]],Tableau106[],5,FALSE)</f>
        <v>MOTT</v>
      </c>
      <c r="G108" s="297" t="str">
        <f>VLOOKUP(Tableau2546[[#This Row],[CA O&amp;M s/parc
BN 2024]],Tableau106[],7,FALSE)</f>
        <v>FUTUREN</v>
      </c>
      <c r="H108" s="297" t="str">
        <f>VLOOKUP(Tableau2546[[#This Row],[CA O&amp;M s/parc
BN 2024]],Tableau106[],6,FALSE)</f>
        <v>N</v>
      </c>
      <c r="I108" s="297" t="str">
        <f>VLOOKUP(Tableau2546[[#This Row],[CA O&amp;M s/parc
BN 2024]],Tableau106[],9,FALSE)</f>
        <v>NiL</v>
      </c>
      <c r="J108" s="18">
        <v>30394</v>
      </c>
      <c r="K108" s="120">
        <f>VLOOKUP(Tableau2546[[#This Row],[CODE PI]],Tableau254[[CODE PI]:[TARIF]],6,FALSE)*(1+$Q$1)</f>
        <v>81.35629999999999</v>
      </c>
      <c r="L108" s="13"/>
      <c r="M108" s="18">
        <f>Tableau2546[[#This Row],[PROD en Mwh]]*Tableau2546[[#This Row],[TARIF]]</f>
        <v>2472743.3821999999</v>
      </c>
      <c r="N108" s="18"/>
    </row>
    <row r="109" spans="1:14">
      <c r="A109" s="293" t="s">
        <v>238</v>
      </c>
      <c r="B109" s="294" t="str">
        <f>VLOOKUP(Tableau2546[[#This Row],[CA O&amp;M s/parc
BN 2024]],Tableau106[],3,FALSE)</f>
        <v>F036</v>
      </c>
      <c r="C109" s="294" t="str">
        <f>VLOOKUP(Tableau2546[[#This Row],[CA O&amp;M s/parc
BN 2024]],Tableau106[],2,FALSE)</f>
        <v>FR80E95E</v>
      </c>
      <c r="D109" s="294" t="str">
        <f>VLOOKUP(Tableau2546[[#This Row],[CA O&amp;M s/parc
BN 2024]],Tableau106[],8,FALSE)</f>
        <v>EOLIEN</v>
      </c>
      <c r="E109" s="295">
        <f>VLOOKUP(Tableau2546[[#This Row],[CA O&amp;M s/parc
BN 2024]],Tableau106[],4,FALSE)</f>
        <v>12</v>
      </c>
      <c r="F109" s="296" t="str">
        <f>VLOOKUP(Tableau2546[[#This Row],[CA O&amp;M s/parc
BN 2024]],Tableau106[],5,FALSE)</f>
        <v>MODF</v>
      </c>
      <c r="G109" s="297" t="str">
        <f>VLOOKUP(Tableau2546[[#This Row],[CA O&amp;M s/parc
BN 2024]],Tableau106[],7,FALSE)</f>
        <v>FUTUREN</v>
      </c>
      <c r="H109" s="297" t="str">
        <f>VLOOKUP(Tableau2546[[#This Row],[CA O&amp;M s/parc
BN 2024]],Tableau106[],6,FALSE)</f>
        <v>N</v>
      </c>
      <c r="I109" s="297" t="str">
        <f>VLOOKUP(Tableau2546[[#This Row],[CA O&amp;M s/parc
BN 2024]],Tableau106[],9,FALSE)</f>
        <v>NiD</v>
      </c>
      <c r="J109" s="18">
        <v>20793.277889279998</v>
      </c>
      <c r="K109" s="120">
        <f>VLOOKUP(Tableau2546[[#This Row],[CODE PI]],Tableau254[[CODE PI]:[TARIF]],6,FALSE)*(1+$Q$1)</f>
        <v>201.88801458333333</v>
      </c>
      <c r="L109" s="13"/>
      <c r="M109" s="18">
        <f>Tableau2546[[#This Row],[PROD en Mwh]]*Tableau2546[[#This Row],[TARIF]]</f>
        <v>4197913.5897462629</v>
      </c>
      <c r="N109" s="18"/>
    </row>
    <row r="110" spans="1:14">
      <c r="A110" s="293" t="s">
        <v>240</v>
      </c>
      <c r="B110" s="294" t="str">
        <f>VLOOKUP(Tableau2546[[#This Row],[CA O&amp;M s/parc
BN 2024]],Tableau106[],3,FALSE)</f>
        <v>F208</v>
      </c>
      <c r="C110" s="294" t="str">
        <f>VLOOKUP(Tableau2546[[#This Row],[CA O&amp;M s/parc
BN 2024]],Tableau106[],2,FALSE)</f>
        <v>FR17E05E</v>
      </c>
      <c r="D110" s="294" t="str">
        <f>VLOOKUP(Tableau2546[[#This Row],[CA O&amp;M s/parc
BN 2024]],Tableau106[],8,FALSE)</f>
        <v>EOLIEN</v>
      </c>
      <c r="E110" s="295">
        <f>VLOOKUP(Tableau2546[[#This Row],[CA O&amp;M s/parc
BN 2024]],Tableau106[],4,FALSE)</f>
        <v>21</v>
      </c>
      <c r="F110" s="296" t="str">
        <f>VLOOKUP(Tableau2546[[#This Row],[CA O&amp;M s/parc
BN 2024]],Tableau106[],5,FALSE)</f>
        <v>NAC1, NAC2</v>
      </c>
      <c r="G110" s="297" t="str">
        <f>VLOOKUP(Tableau2546[[#This Row],[CA O&amp;M s/parc
BN 2024]],Tableau106[],7,FALSE)</f>
        <v>FUTUREN</v>
      </c>
      <c r="H110" s="297" t="str">
        <f>VLOOKUP(Tableau2546[[#This Row],[CA O&amp;M s/parc
BN 2024]],Tableau106[],6,FALSE)</f>
        <v>S</v>
      </c>
      <c r="I110" s="297" t="str">
        <f>VLOOKUP(Tableau2546[[#This Row],[CA O&amp;M s/parc
BN 2024]],Tableau106[],9,FALSE)</f>
        <v>NoS</v>
      </c>
      <c r="J110" s="18">
        <v>52372.184842799958</v>
      </c>
      <c r="K110" s="120">
        <f>VLOOKUP(Tableau2546[[#This Row],[CODE PI]],Tableau254[[CODE PI]:[TARIF]],6,FALSE)*(1+$Q$1)</f>
        <v>93.45335</v>
      </c>
      <c r="L110" s="21"/>
      <c r="M110" s="18">
        <f>Tableau2546[[#This Row],[PROD en Mwh]]*Tableau2546[[#This Row],[TARIF]]</f>
        <v>4894356.1203788798</v>
      </c>
      <c r="N110" s="18"/>
    </row>
    <row r="111" spans="1:14">
      <c r="A111" s="293" t="s">
        <v>548</v>
      </c>
      <c r="B111" s="294" t="str">
        <f>VLOOKUP(Tableau2546[[#This Row],[CA O&amp;M s/parc
BN 2024]],Tableau106[],3,FALSE)</f>
        <v>A119</v>
      </c>
      <c r="C111" s="294" t="str">
        <f>VLOOKUP(Tableau2546[[#This Row],[CA O&amp;M s/parc
BN 2024]],Tableau106[],2,FALSE)</f>
        <v>FR11S97E</v>
      </c>
      <c r="D111" s="294" t="str">
        <f>VLOOKUP(Tableau2546[[#This Row],[CA O&amp;M s/parc
BN 2024]],Tableau106[],8,FALSE)</f>
        <v>SOLAIRE</v>
      </c>
      <c r="E111" s="295">
        <f>VLOOKUP(Tableau2546[[#This Row],[CA O&amp;M s/parc
BN 2024]],Tableau106[],4,FALSE)</f>
        <v>7</v>
      </c>
      <c r="F111" s="296" t="str">
        <f>VLOOKUP(Tableau2546[[#This Row],[CA O&amp;M s/parc
BN 2024]],Tableau106[],5,FALSE)</f>
        <v>NARB</v>
      </c>
      <c r="G111" s="297" t="str">
        <f>VLOOKUP(Tableau2546[[#This Row],[CA O&amp;M s/parc
BN 2024]],Tableau106[],7,FALSE)</f>
        <v>GROUPE</v>
      </c>
      <c r="H111" s="297" t="str">
        <f>VLOOKUP(Tableau2546[[#This Row],[CA O&amp;M s/parc
BN 2024]],Tableau106[],6,FALSE)</f>
        <v>S</v>
      </c>
      <c r="I111" s="297" t="str">
        <f>VLOOKUP(Tableau2546[[#This Row],[CA O&amp;M s/parc
BN 2024]],Tableau106[],9,FALSE)</f>
        <v>BaA</v>
      </c>
      <c r="J111" s="18">
        <v>8763.0729078064178</v>
      </c>
      <c r="K111" s="120">
        <f>VLOOKUP(Tableau2546[[#This Row],[CODE PI]],Tableau254[[CODE PI]:[TARIF]],6,FALSE)*(1+$Q$1)</f>
        <v>388.17570000000001</v>
      </c>
      <c r="L111" s="13"/>
      <c r="M111" s="18">
        <f>Tableau2546[[#This Row],[PROD en Mwh]]*Tableau2546[[#This Row],[TARIF]]</f>
        <v>3401611.9601387917</v>
      </c>
      <c r="N111" s="18"/>
    </row>
    <row r="112" spans="1:14" ht="12" customHeight="1">
      <c r="A112" s="293" t="s">
        <v>594</v>
      </c>
      <c r="B112" s="294" t="str">
        <f>VLOOKUP(Tableau2546[[#This Row],[CA O&amp;M s/parc
BN 2024]],Tableau106[],3,FALSE)</f>
        <v>A938</v>
      </c>
      <c r="C112" s="294" t="str">
        <f>VLOOKUP(Tableau2546[[#This Row],[CA O&amp;M s/parc
BN 2024]],Tableau106[],2,FALSE)</f>
        <v>FR34E81E</v>
      </c>
      <c r="D112" s="294" t="str">
        <f>VLOOKUP(Tableau2546[[#This Row],[CA O&amp;M s/parc
BN 2024]],Tableau106[],8,FALSE)</f>
        <v>EOLIEN</v>
      </c>
      <c r="E112" s="295">
        <f>VLOOKUP(Tableau2546[[#This Row],[CA O&amp;M s/parc
BN 2024]],Tableau106[],4,FALSE)</f>
        <v>6</v>
      </c>
      <c r="F112" s="296" t="str">
        <f>VLOOKUP(Tableau2546[[#This Row],[CA O&amp;M s/parc
BN 2024]],Tableau106[],5,FALSE)</f>
        <v>TRFR</v>
      </c>
      <c r="G112" s="297" t="str">
        <f>VLOOKUP(Tableau2546[[#This Row],[CA O&amp;M s/parc
BN 2024]],Tableau106[],7,FALSE)</f>
        <v>FUTUREN</v>
      </c>
      <c r="H112" s="297" t="str">
        <f>VLOOKUP(Tableau2546[[#This Row],[CA O&amp;M s/parc
BN 2024]],Tableau106[],6,FALSE)</f>
        <v>S</v>
      </c>
      <c r="I112" s="297" t="str">
        <f>VLOOKUP(Tableau2546[[#This Row],[CA O&amp;M s/parc
BN 2024]],Tableau106[],9,FALSE)</f>
        <v>KéD</v>
      </c>
      <c r="J112" s="496">
        <v>14111.455</v>
      </c>
      <c r="K112" s="120">
        <f>VLOOKUP(Tableau2546[[#This Row],[CODE PI]],Tableau254[[CODE PI]:[TARIF]],6,FALSE)*(1+$Q$1)</f>
        <v>127.40408333333332</v>
      </c>
      <c r="L112" s="13"/>
      <c r="M112" s="18">
        <f>Tableau2546[[#This Row],[PROD en Mwh]]*Tableau2546[[#This Row],[TARIF]]</f>
        <v>1797856.9887745832</v>
      </c>
      <c r="N112" s="497" t="s">
        <v>1551</v>
      </c>
    </row>
    <row r="113" spans="1:14" ht="12" customHeight="1">
      <c r="A113" s="293" t="s">
        <v>601</v>
      </c>
      <c r="B113" s="294" t="str">
        <f>VLOOKUP(Tableau2546[[#This Row],[CA O&amp;M s/parc
BN 2024]],Tableau106[],3,FALSE)</f>
        <v>A936</v>
      </c>
      <c r="C113" s="294" t="str">
        <f>VLOOKUP(Tableau2546[[#This Row],[CA O&amp;M s/parc
BN 2024]],Tableau106[],2,FALSE)</f>
        <v>FR34E83E</v>
      </c>
      <c r="D113" s="294" t="str">
        <f>VLOOKUP(Tableau2546[[#This Row],[CA O&amp;M s/parc
BN 2024]],Tableau106[],8,FALSE)</f>
        <v>EOLIEN</v>
      </c>
      <c r="E113" s="295">
        <f>VLOOKUP(Tableau2546[[#This Row],[CA O&amp;M s/parc
BN 2024]],Tableau106[],4,FALSE)</f>
        <v>8</v>
      </c>
      <c r="F113" s="296" t="str">
        <f>VLOOKUP(Tableau2546[[#This Row],[CA O&amp;M s/parc
BN 2024]],Tableau106[],5,FALSE)</f>
        <v>LAPI</v>
      </c>
      <c r="G113" s="297" t="str">
        <f>VLOOKUP(Tableau2546[[#This Row],[CA O&amp;M s/parc
BN 2024]],Tableau106[],7,FALSE)</f>
        <v>FUTUREN</v>
      </c>
      <c r="H113" s="297" t="str">
        <f>VLOOKUP(Tableau2546[[#This Row],[CA O&amp;M s/parc
BN 2024]],Tableau106[],6,FALSE)</f>
        <v>S</v>
      </c>
      <c r="I113" s="297" t="str">
        <f>VLOOKUP(Tableau2546[[#This Row],[CA O&amp;M s/parc
BN 2024]],Tableau106[],9,FALSE)</f>
        <v>KéD</v>
      </c>
      <c r="J113" s="496">
        <v>15251.171</v>
      </c>
      <c r="K113" s="120">
        <f>VLOOKUP(Tableau2546[[#This Row],[CODE PI]],Tableau254[[CODE PI]:[TARIF]],6,FALSE)*(1+$Q$1)</f>
        <v>127.36820833333331</v>
      </c>
      <c r="L113" s="13"/>
      <c r="M113" s="18">
        <f>Tableau2546[[#This Row],[PROD en Mwh]]*Tableau2546[[#This Row],[TARIF]]</f>
        <v>1942514.3252552913</v>
      </c>
      <c r="N113" s="497" t="s">
        <v>1551</v>
      </c>
    </row>
    <row r="114" spans="1:14" ht="12" customHeight="1">
      <c r="A114" s="293" t="s">
        <v>626</v>
      </c>
      <c r="B114" s="294" t="str">
        <f>VLOOKUP(Tableau2546[[#This Row],[CA O&amp;M s/parc
BN 2024]],Tableau106[],3,FALSE)</f>
        <v>A937</v>
      </c>
      <c r="C114" s="294" t="str">
        <f>VLOOKUP(Tableau2546[[#This Row],[CA O&amp;M s/parc
BN 2024]],Tableau106[],2,FALSE)</f>
        <v>FR34E82E</v>
      </c>
      <c r="D114" s="294" t="str">
        <f>VLOOKUP(Tableau2546[[#This Row],[CA O&amp;M s/parc
BN 2024]],Tableau106[],8,FALSE)</f>
        <v>EOLIEN</v>
      </c>
      <c r="E114" s="295">
        <f>VLOOKUP(Tableau2546[[#This Row],[CA O&amp;M s/parc
BN 2024]],Tableau106[],4,FALSE)</f>
        <v>6</v>
      </c>
      <c r="F114" s="296" t="str">
        <f>VLOOKUP(Tableau2546[[#This Row],[CA O&amp;M s/parc
BN 2024]],Tableau106[],5,FALSE)</f>
        <v>NIPL</v>
      </c>
      <c r="G114" s="297" t="str">
        <f>VLOOKUP(Tableau2546[[#This Row],[CA O&amp;M s/parc
BN 2024]],Tableau106[],7,FALSE)</f>
        <v>FUTUREN</v>
      </c>
      <c r="H114" s="297" t="str">
        <f>VLOOKUP(Tableau2546[[#This Row],[CA O&amp;M s/parc
BN 2024]],Tableau106[],6,FALSE)</f>
        <v>S</v>
      </c>
      <c r="I114" s="297" t="str">
        <f>VLOOKUP(Tableau2546[[#This Row],[CA O&amp;M s/parc
BN 2024]],Tableau106[],9,FALSE)</f>
        <v>KéD</v>
      </c>
      <c r="J114" s="496">
        <v>12105.129000000001</v>
      </c>
      <c r="K114" s="120">
        <f>VLOOKUP(Tableau2546[[#This Row],[CODE PI]],Tableau254[[CODE PI]:[TARIF]],6,FALSE)*(1+$Q$1)</f>
        <v>127.29304166666665</v>
      </c>
      <c r="L114" s="13"/>
      <c r="M114" s="18">
        <f>Tableau2546[[#This Row],[PROD en Mwh]]*Tableau2546[[#This Row],[TARIF]]</f>
        <v>1540898.690177375</v>
      </c>
      <c r="N114" s="497" t="s">
        <v>1551</v>
      </c>
    </row>
    <row r="115" spans="1:14" ht="12" customHeight="1">
      <c r="A115" s="293" t="s">
        <v>595</v>
      </c>
      <c r="B115" s="294" t="str">
        <f>VLOOKUP(Tableau2546[[#This Row],[CA O&amp;M s/parc
BN 2024]],Tableau106[],3,FALSE)</f>
        <v>A935</v>
      </c>
      <c r="C115" s="294" t="str">
        <f>VLOOKUP(Tableau2546[[#This Row],[CA O&amp;M s/parc
BN 2024]],Tableau106[],2,FALSE)</f>
        <v>FR34E84E</v>
      </c>
      <c r="D115" s="294" t="str">
        <f>VLOOKUP(Tableau2546[[#This Row],[CA O&amp;M s/parc
BN 2024]],Tableau106[],8,FALSE)</f>
        <v>EOLIEN</v>
      </c>
      <c r="E115" s="295">
        <f>VLOOKUP(Tableau2546[[#This Row],[CA O&amp;M s/parc
BN 2024]],Tableau106[],4,FALSE)</f>
        <v>6</v>
      </c>
      <c r="F115" s="296" t="str">
        <f>VLOOKUP(Tableau2546[[#This Row],[CA O&amp;M s/parc
BN 2024]],Tableau106[],5,FALSE)</f>
        <v>PEMO</v>
      </c>
      <c r="G115" s="297" t="str">
        <f>VLOOKUP(Tableau2546[[#This Row],[CA O&amp;M s/parc
BN 2024]],Tableau106[],7,FALSE)</f>
        <v>FUTUREN</v>
      </c>
      <c r="H115" s="297" t="str">
        <f>VLOOKUP(Tableau2546[[#This Row],[CA O&amp;M s/parc
BN 2024]],Tableau106[],6,FALSE)</f>
        <v>S</v>
      </c>
      <c r="I115" s="297" t="str">
        <f>VLOOKUP(Tableau2546[[#This Row],[CA O&amp;M s/parc
BN 2024]],Tableau106[],9,FALSE)</f>
        <v>KéD</v>
      </c>
      <c r="J115" s="496">
        <v>12805.066000000001</v>
      </c>
      <c r="K115" s="120">
        <f>VLOOKUP(Tableau2546[[#This Row],[CODE PI]],Tableau254[[CODE PI]:[TARIF]],6,FALSE)*(1+$Q$1)</f>
        <v>127.33745833333333</v>
      </c>
      <c r="L115" s="13"/>
      <c r="M115" s="18">
        <f>Tableau2546[[#This Row],[PROD en Mwh]]*Tableau2546[[#This Row],[TARIF]]</f>
        <v>1630564.5582305833</v>
      </c>
      <c r="N115" s="497" t="s">
        <v>1551</v>
      </c>
    </row>
    <row r="116" spans="1:14">
      <c r="A116" s="293" t="s">
        <v>478</v>
      </c>
      <c r="B116" s="294" t="str">
        <f>VLOOKUP(Tableau2546[[#This Row],[CA O&amp;M s/parc
BN 2024]],Tableau106[],3,FALSE)</f>
        <v>A530</v>
      </c>
      <c r="C116" s="294" t="str">
        <f>VLOOKUP(Tableau2546[[#This Row],[CA O&amp;M s/parc
BN 2024]],Tableau106[],2,FALSE)</f>
        <v>FR57E02E</v>
      </c>
      <c r="D116" s="294" t="str">
        <f>VLOOKUP(Tableau2546[[#This Row],[CA O&amp;M s/parc
BN 2024]],Tableau106[],8,FALSE)</f>
        <v>EOLIEN</v>
      </c>
      <c r="E116" s="295">
        <f>VLOOKUP(Tableau2546[[#This Row],[CA O&amp;M s/parc
BN 2024]],Tableau106[],4,FALSE)</f>
        <v>12</v>
      </c>
      <c r="F116" s="296" t="str">
        <f>VLOOKUP(Tableau2546[[#This Row],[CA O&amp;M s/parc
BN 2024]],Tableau106[],5,FALSE)</f>
        <v>NIED</v>
      </c>
      <c r="G116" s="297" t="str">
        <f>VLOOKUP(Tableau2546[[#This Row],[CA O&amp;M s/parc
BN 2024]],Tableau106[],7,FALSE)</f>
        <v>GROUPE</v>
      </c>
      <c r="H116" s="297" t="str">
        <f>VLOOKUP(Tableau2546[[#This Row],[CA O&amp;M s/parc
BN 2024]],Tableau106[],6,FALSE)</f>
        <v>N</v>
      </c>
      <c r="I116" s="297" t="str">
        <f>VLOOKUP(Tableau2546[[#This Row],[CA O&amp;M s/parc
BN 2024]],Tableau106[],9,FALSE)</f>
        <v>HuB</v>
      </c>
      <c r="J116" s="18">
        <v>22799.196203452993</v>
      </c>
      <c r="K116" s="120">
        <f>VLOOKUP(Tableau2546[[#This Row],[CODE PI]],Tableau254[[CODE PI]:[TARIF]],6,FALSE)*(1+$Q$1)</f>
        <v>172.74324999999999</v>
      </c>
      <c r="L116" s="21"/>
      <c r="M116" s="18">
        <f>Tableau2546[[#This Row],[PROD en Mwh]]*Tableau2546[[#This Row],[TARIF]]</f>
        <v>3938407.2495721309</v>
      </c>
      <c r="N116" s="18"/>
    </row>
    <row r="117" spans="1:14">
      <c r="A117" s="293" t="s">
        <v>403</v>
      </c>
      <c r="B117" s="294" t="str">
        <f>VLOOKUP(Tableau2546[[#This Row],[CA O&amp;M s/parc
BN 2024]],Tableau106[],3,FALSE)</f>
        <v>A258</v>
      </c>
      <c r="C117" s="294" t="str">
        <f>VLOOKUP(Tableau2546[[#This Row],[CA O&amp;M s/parc
BN 2024]],Tableau106[],2,FALSE)</f>
        <v>FR01S04E</v>
      </c>
      <c r="D117" s="294" t="str">
        <f>VLOOKUP(Tableau2546[[#This Row],[CA O&amp;M s/parc
BN 2024]],Tableau106[],8,FALSE)</f>
        <v>SOLAIRE</v>
      </c>
      <c r="E117" s="295">
        <f>VLOOKUP(Tableau2546[[#This Row],[CA O&amp;M s/parc
BN 2024]],Tableau106[],4,FALSE)</f>
        <v>13.4</v>
      </c>
      <c r="F117" s="296" t="str">
        <f>VLOOKUP(Tableau2546[[#This Row],[CA O&amp;M s/parc
BN 2024]],Tableau106[],5,FALSE)</f>
        <v>NIEV</v>
      </c>
      <c r="G117" s="297" t="str">
        <f>VLOOKUP(Tableau2546[[#This Row],[CA O&amp;M s/parc
BN 2024]],Tableau106[],7,FALSE)</f>
        <v>GROUPE</v>
      </c>
      <c r="H117" s="297" t="str">
        <f>VLOOKUP(Tableau2546[[#This Row],[CA O&amp;M s/parc
BN 2024]],Tableau106[],6,FALSE)</f>
        <v>S</v>
      </c>
      <c r="I117" s="297" t="str">
        <f>VLOOKUP(Tableau2546[[#This Row],[CA O&amp;M s/parc
BN 2024]],Tableau106[],9,FALSE)</f>
        <v>ZaA</v>
      </c>
      <c r="J117" s="18">
        <v>14949</v>
      </c>
      <c r="K117" s="120">
        <f>VLOOKUP(Tableau2546[[#This Row],[CODE PI]],Tableau254[[CODE PI]:[TARIF]],6,FALSE)*(1+$Q$1)</f>
        <v>93.274999999999991</v>
      </c>
      <c r="L117" s="21"/>
      <c r="M117" s="18">
        <f>Tableau2546[[#This Row],[PROD en Mwh]]*Tableau2546[[#This Row],[TARIF]]</f>
        <v>1394367.9749999999</v>
      </c>
      <c r="N117" s="18"/>
    </row>
    <row r="118" spans="1:14">
      <c r="A118" s="293" t="s">
        <v>551</v>
      </c>
      <c r="B118" s="294" t="str">
        <f>VLOOKUP(Tableau2546[[#This Row],[CA O&amp;M s/parc
BN 2024]],Tableau106[],3,FALSE)</f>
        <v>A313</v>
      </c>
      <c r="C118" s="294" t="str">
        <f>VLOOKUP(Tableau2546[[#This Row],[CA O&amp;M s/parc
BN 2024]],Tableau106[],2,FALSE)</f>
        <v>FR89S16E</v>
      </c>
      <c r="D118" s="294" t="str">
        <f>VLOOKUP(Tableau2546[[#This Row],[CA O&amp;M s/parc
BN 2024]],Tableau106[],8,FALSE)</f>
        <v>SOLAIRE</v>
      </c>
      <c r="E118" s="295">
        <f>VLOOKUP(Tableau2546[[#This Row],[CA O&amp;M s/parc
BN 2024]],Tableau106[],4,FALSE)</f>
        <v>3.8</v>
      </c>
      <c r="F118" s="296" t="str">
        <f>VLOOKUP(Tableau2546[[#This Row],[CA O&amp;M s/parc
BN 2024]],Tableau106[],5,FALSE)</f>
        <v>NITR</v>
      </c>
      <c r="G118" s="297" t="str">
        <f>VLOOKUP(Tableau2546[[#This Row],[CA O&amp;M s/parc
BN 2024]],Tableau106[],7,FALSE)</f>
        <v>GROUPE</v>
      </c>
      <c r="H118" s="297" t="str">
        <f>VLOOKUP(Tableau2546[[#This Row],[CA O&amp;M s/parc
BN 2024]],Tableau106[],6,FALSE)</f>
        <v>N</v>
      </c>
      <c r="I118" s="297" t="str">
        <f>VLOOKUP(Tableau2546[[#This Row],[CA O&amp;M s/parc
BN 2024]],Tableau106[],9,FALSE)</f>
        <v>LoG</v>
      </c>
      <c r="J118" s="18">
        <v>3656</v>
      </c>
      <c r="K118" s="120">
        <f>VLOOKUP(Tableau2546[[#This Row],[CODE PI]],Tableau254[[CODE PI]:[TARIF]],6,FALSE)*(1+$Q$1)</f>
        <v>179.46724999999998</v>
      </c>
      <c r="L118" s="13"/>
      <c r="M118" s="18">
        <f>Tableau2546[[#This Row],[PROD en Mwh]]*Tableau2546[[#This Row],[TARIF]]</f>
        <v>656132.26599999995</v>
      </c>
      <c r="N118" s="18"/>
    </row>
    <row r="119" spans="1:14">
      <c r="A119" s="293" t="s">
        <v>529</v>
      </c>
      <c r="B119" s="294" t="str">
        <f>VLOOKUP(Tableau2546[[#This Row],[CA O&amp;M s/parc
BN 2024]],Tableau106[],3,FALSE)</f>
        <v>A540</v>
      </c>
      <c r="C119" s="294" t="str">
        <f>VLOOKUP(Tableau2546[[#This Row],[CA O&amp;M s/parc
BN 2024]],Tableau106[],2,FALSE)</f>
        <v>FR80E01E</v>
      </c>
      <c r="D119" s="294" t="str">
        <f>VLOOKUP(Tableau2546[[#This Row],[CA O&amp;M s/parc
BN 2024]],Tableau106[],8,FALSE)</f>
        <v>EOLIEN</v>
      </c>
      <c r="E119" s="295">
        <f>VLOOKUP(Tableau2546[[#This Row],[CA O&amp;M s/parc
BN 2024]],Tableau106[],4,FALSE)</f>
        <v>8</v>
      </c>
      <c r="F119" s="296" t="str">
        <f>VLOOKUP(Tableau2546[[#This Row],[CA O&amp;M s/parc
BN 2024]],Tableau106[],5,FALSE)</f>
        <v>NURL</v>
      </c>
      <c r="G119" s="297" t="str">
        <f>VLOOKUP(Tableau2546[[#This Row],[CA O&amp;M s/parc
BN 2024]],Tableau106[],7,FALSE)</f>
        <v>EGM</v>
      </c>
      <c r="H119" s="297" t="str">
        <f>VLOOKUP(Tableau2546[[#This Row],[CA O&amp;M s/parc
BN 2024]],Tableau106[],6,FALSE)</f>
        <v>N</v>
      </c>
      <c r="I119" s="297" t="str">
        <f>VLOOKUP(Tableau2546[[#This Row],[CA O&amp;M s/parc
BN 2024]],Tableau106[],9,FALSE)</f>
        <v>NoS</v>
      </c>
      <c r="J119" s="18">
        <v>19712</v>
      </c>
      <c r="K119" s="120">
        <f>VLOOKUP(Tableau2546[[#This Row],[CODE PI]],Tableau254[[CODE PI]:[TARIF]],6,FALSE)*(1+$Q$1)</f>
        <v>105.63342499999999</v>
      </c>
      <c r="L119" s="13"/>
      <c r="M119" s="18">
        <f>Tableau2546[[#This Row],[PROD en Mwh]]*Tableau2546[[#This Row],[TARIF]]</f>
        <v>2082246.0735999998</v>
      </c>
      <c r="N119" s="18"/>
    </row>
    <row r="120" spans="1:14">
      <c r="A120" s="293" t="s">
        <v>555</v>
      </c>
      <c r="B120" s="294" t="str">
        <f>VLOOKUP(Tableau2546[[#This Row],[CA O&amp;M s/parc
BN 2024]],Tableau106[],3,FALSE)</f>
        <v>A374</v>
      </c>
      <c r="C120" s="294" t="str">
        <f>VLOOKUP(Tableau2546[[#This Row],[CA O&amp;M s/parc
BN 2024]],Tableau106[],2,FALSE)</f>
        <v>FR68S02E</v>
      </c>
      <c r="D120" s="294" t="str">
        <f>VLOOKUP(Tableau2546[[#This Row],[CA O&amp;M s/parc
BN 2024]],Tableau106[],8,FALSE)</f>
        <v>SOLAIRE</v>
      </c>
      <c r="E120" s="295">
        <f>VLOOKUP(Tableau2546[[#This Row],[CA O&amp;M s/parc
BN 2024]],Tableau106[],4,FALSE)</f>
        <v>15.5</v>
      </c>
      <c r="F120" s="296" t="str">
        <f>VLOOKUP(Tableau2546[[#This Row],[CA O&amp;M s/parc
BN 2024]],Tableau106[],5,FALSE)</f>
        <v>OTTM</v>
      </c>
      <c r="G120" s="297" t="str">
        <f>VLOOKUP(Tableau2546[[#This Row],[CA O&amp;M s/parc
BN 2024]],Tableau106[],7,FALSE)</f>
        <v>GROUPE</v>
      </c>
      <c r="H120" s="297" t="str">
        <f>VLOOKUP(Tableau2546[[#This Row],[CA O&amp;M s/parc
BN 2024]],Tableau106[],6,FALSE)</f>
        <v>N</v>
      </c>
      <c r="I120" s="297" t="str">
        <f>VLOOKUP(Tableau2546[[#This Row],[CA O&amp;M s/parc
BN 2024]],Tableau106[],9,FALSE)</f>
        <v>ZaA</v>
      </c>
      <c r="J120" s="18">
        <v>15782</v>
      </c>
      <c r="K120" s="120">
        <f>VLOOKUP(Tableau2546[[#This Row],[CODE PI]],Tableau254[[CODE PI]:[TARIF]],6,FALSE)*(1+$Q$1)</f>
        <v>175.08879166666662</v>
      </c>
      <c r="L120" s="13"/>
      <c r="M120" s="18">
        <f>Tableau2546[[#This Row],[PROD en Mwh]]*Tableau2546[[#This Row],[TARIF]]</f>
        <v>2763251.3100833325</v>
      </c>
      <c r="N120" s="18"/>
    </row>
    <row r="121" spans="1:14">
      <c r="A121" s="293" t="s">
        <v>438</v>
      </c>
      <c r="B121" s="294" t="str">
        <f>VLOOKUP(Tableau2546[[#This Row],[CA O&amp;M s/parc
BN 2024]],Tableau106[],3,FALSE)</f>
        <v>A044</v>
      </c>
      <c r="C121" s="294" t="str">
        <f>VLOOKUP(Tableau2546[[#This Row],[CA O&amp;M s/parc
BN 2024]],Tableau106[],2,FALSE)</f>
        <v>FR34E99E</v>
      </c>
      <c r="D121" s="294" t="str">
        <f>VLOOKUP(Tableau2546[[#This Row],[CA O&amp;M s/parc
BN 2024]],Tableau106[],8,FALSE)</f>
        <v>EOLIEN</v>
      </c>
      <c r="E121" s="295">
        <f>VLOOKUP(Tableau2546[[#This Row],[CA O&amp;M s/parc
BN 2024]],Tableau106[],4,FALSE)</f>
        <v>8.1</v>
      </c>
      <c r="F121" s="296" t="str">
        <f>VLOOKUP(Tableau2546[[#This Row],[CA O&amp;M s/parc
BN 2024]],Tableau106[],5,FALSE)</f>
        <v>OUPI</v>
      </c>
      <c r="G121" s="297" t="str">
        <f>VLOOKUP(Tableau2546[[#This Row],[CA O&amp;M s/parc
BN 2024]],Tableau106[],7,FALSE)</f>
        <v>GROUPE</v>
      </c>
      <c r="H121" s="297" t="str">
        <f>VLOOKUP(Tableau2546[[#This Row],[CA O&amp;M s/parc
BN 2024]],Tableau106[],6,FALSE)</f>
        <v>S</v>
      </c>
      <c r="I121" s="297" t="str">
        <f>VLOOKUP(Tableau2546[[#This Row],[CA O&amp;M s/parc
BN 2024]],Tableau106[],9,FALSE)</f>
        <v>SaH</v>
      </c>
      <c r="J121" s="18">
        <v>0</v>
      </c>
      <c r="K121" s="120">
        <f>VLOOKUP(Tableau2546[[#This Row],[CODE PI]],Tableau254[[CODE PI]:[TARIF]],6,FALSE)*(1+$Q$1)</f>
        <v>146.57499999999999</v>
      </c>
      <c r="L121" s="21"/>
      <c r="M121" s="18">
        <f>Tableau2546[[#This Row],[PROD en Mwh]]*Tableau2546[[#This Row],[TARIF]]</f>
        <v>0</v>
      </c>
      <c r="N121" s="18" t="s">
        <v>677</v>
      </c>
    </row>
    <row r="122" spans="1:14">
      <c r="A122" s="293" t="s">
        <v>492</v>
      </c>
      <c r="B122" s="294" t="str">
        <f>VLOOKUP(Tableau2546[[#This Row],[CA O&amp;M s/parc
BN 2024]],Tableau106[],3,FALSE)</f>
        <v>A540</v>
      </c>
      <c r="C122" s="294" t="str">
        <f>VLOOKUP(Tableau2546[[#This Row],[CA O&amp;M s/parc
BN 2024]],Tableau106[],2,FALSE)</f>
        <v>FR79E01E</v>
      </c>
      <c r="D122" s="294" t="str">
        <f>VLOOKUP(Tableau2546[[#This Row],[CA O&amp;M s/parc
BN 2024]],Tableau106[],8,FALSE)</f>
        <v>EOLIEN</v>
      </c>
      <c r="E122" s="295">
        <f>VLOOKUP(Tableau2546[[#This Row],[CA O&amp;M s/parc
BN 2024]],Tableau106[],4,FALSE)</f>
        <v>12</v>
      </c>
      <c r="F122" s="296" t="str">
        <f>VLOOKUP(Tableau2546[[#This Row],[CA O&amp;M s/parc
BN 2024]],Tableau106[],5,FALSE)</f>
        <v>PAMP</v>
      </c>
      <c r="G122" s="297" t="str">
        <f>VLOOKUP(Tableau2546[[#This Row],[CA O&amp;M s/parc
BN 2024]],Tableau106[],7,FALSE)</f>
        <v>EGM</v>
      </c>
      <c r="H122" s="297" t="str">
        <f>VLOOKUP(Tableau2546[[#This Row],[CA O&amp;M s/parc
BN 2024]],Tableau106[],6,FALSE)</f>
        <v>N</v>
      </c>
      <c r="I122" s="297" t="str">
        <f>VLOOKUP(Tableau2546[[#This Row],[CA O&amp;M s/parc
BN 2024]],Tableau106[],9,FALSE)</f>
        <v>DeN</v>
      </c>
      <c r="J122" s="18">
        <v>22055.7</v>
      </c>
      <c r="K122" s="120">
        <f>VLOOKUP(Tableau2546[[#This Row],[CODE PI]],Tableau254[[CODE PI]:[TARIF]],6,FALSE)*(1+$Q$1)</f>
        <v>101.71792499999998</v>
      </c>
      <c r="L122" s="21"/>
      <c r="M122" s="18">
        <f>Tableau2546[[#This Row],[PROD en Mwh]]*Tableau2546[[#This Row],[TARIF]]</f>
        <v>2243460.0384224998</v>
      </c>
      <c r="N122" s="18"/>
    </row>
    <row r="123" spans="1:14">
      <c r="A123" s="293" t="s">
        <v>534</v>
      </c>
      <c r="B123" s="294" t="str">
        <f>VLOOKUP(Tableau2546[[#This Row],[CA O&amp;M s/parc
BN 2024]],Tableau106[],3,FALSE)</f>
        <v>A418</v>
      </c>
      <c r="C123" s="294" t="str">
        <f>VLOOKUP(Tableau2546[[#This Row],[CA O&amp;M s/parc
BN 2024]],Tableau106[],2,FALSE)</f>
        <v>FR51E08E</v>
      </c>
      <c r="D123" s="294" t="str">
        <f>VLOOKUP(Tableau2546[[#This Row],[CA O&amp;M s/parc
BN 2024]],Tableau106[],8,FALSE)</f>
        <v>EOLIEN</v>
      </c>
      <c r="E123" s="295">
        <f>VLOOKUP(Tableau2546[[#This Row],[CA O&amp;M s/parc
BN 2024]],Tableau106[],4,FALSE)</f>
        <v>21.6</v>
      </c>
      <c r="F123" s="296" t="str">
        <f>VLOOKUP(Tableau2546[[#This Row],[CA O&amp;M s/parc
BN 2024]],Tableau106[],5,FALSE)</f>
        <v>PAAN</v>
      </c>
      <c r="G123" s="297" t="str">
        <f>VLOOKUP(Tableau2546[[#This Row],[CA O&amp;M s/parc
BN 2024]],Tableau106[],7,FALSE)</f>
        <v>GROUPE</v>
      </c>
      <c r="H123" s="297" t="str">
        <f>VLOOKUP(Tableau2546[[#This Row],[CA O&amp;M s/parc
BN 2024]],Tableau106[],6,FALSE)</f>
        <v>N</v>
      </c>
      <c r="I123" s="297" t="str">
        <f>VLOOKUP(Tableau2546[[#This Row],[CA O&amp;M s/parc
BN 2024]],Tableau106[],9,FALSE)</f>
        <v>AlY</v>
      </c>
      <c r="J123" s="18">
        <v>49062.748628847963</v>
      </c>
      <c r="K123" s="120">
        <f>VLOOKUP(Tableau2546[[#This Row],[CODE PI]],Tableau254[[CODE PI]:[TARIF]],6,FALSE)*(1+$Q$1)</f>
        <v>92.774799999999999</v>
      </c>
      <c r="L123" s="13"/>
      <c r="M123" s="18">
        <f>Tableau2546[[#This Row],[PROD en Mwh]]*Tableau2546[[#This Row],[TARIF]]</f>
        <v>4551786.6914916439</v>
      </c>
      <c r="N123" s="18"/>
    </row>
    <row r="124" spans="1:14">
      <c r="A124" s="299" t="s">
        <v>559</v>
      </c>
      <c r="B124" s="294" t="str">
        <f>VLOOKUP(Tableau2546[[#This Row],[CA O&amp;M s/parc
BN 2024]],Tableau106[],3,FALSE)</f>
        <v>A960</v>
      </c>
      <c r="C124" s="294" t="str">
        <f>VLOOKUP(Tableau2546[[#This Row],[CA O&amp;M s/parc
BN 2024]],Tableau106[],2,FALSE)</f>
        <v>FRD1E01E</v>
      </c>
      <c r="D124" s="300" t="str">
        <f>VLOOKUP(Tableau2546[[#This Row],[CA O&amp;M s/parc
BN 2024]],Tableau106[],8,FALSE)</f>
        <v>EOLIEN DOM</v>
      </c>
      <c r="E124" s="295">
        <f>VLOOKUP(Tableau2546[[#This Row],[CA O&amp;M s/parc
BN 2024]],Tableau106[],4,FALSE)</f>
        <v>9</v>
      </c>
      <c r="F124" s="297" t="str">
        <f>VLOOKUP(Tableau2546[[#This Row],[CA O&amp;M s/parc
BN 2024]],Tableau106[],5,FALSE)</f>
        <v>PCR1</v>
      </c>
      <c r="G124" s="294" t="str">
        <f>VLOOKUP(Tableau2546[[#This Row],[CA O&amp;M s/parc
BN 2024]],Tableau106[],7,FALSE)</f>
        <v>GROUPE</v>
      </c>
      <c r="H124" s="294" t="str">
        <f>VLOOKUP(Tableau2546[[#This Row],[CA O&amp;M s/parc
BN 2024]],Tableau106[],6,FALSE)</f>
        <v>DOM</v>
      </c>
      <c r="I124" s="294" t="str">
        <f>VLOOKUP(Tableau2546[[#This Row],[CA O&amp;M s/parc
BN 2024]],Tableau106[],9,FALSE)</f>
        <v>DoJ</v>
      </c>
      <c r="J124" s="18">
        <v>18935</v>
      </c>
      <c r="K124" s="120">
        <f>VLOOKUP(Tableau2546[[#This Row],[CODE PI]],Tableau254[[CODE PI]:[TARIF]],6,FALSE)*(1+$Q$1)</f>
        <v>240.45884999999998</v>
      </c>
      <c r="L124" s="21"/>
      <c r="M124" s="18">
        <f>Tableau2546[[#This Row],[PROD en Mwh]]*Tableau2546[[#This Row],[TARIF]]</f>
        <v>4553088.3247499997</v>
      </c>
      <c r="N124" s="18"/>
    </row>
    <row r="125" spans="1:14">
      <c r="A125" s="299" t="s">
        <v>562</v>
      </c>
      <c r="B125" s="294" t="str">
        <f>VLOOKUP(Tableau2546[[#This Row],[CA O&amp;M s/parc
BN 2024]],Tableau106[],3,FALSE)</f>
        <v>A166</v>
      </c>
      <c r="C125" s="294" t="str">
        <f>VLOOKUP(Tableau2546[[#This Row],[CA O&amp;M s/parc
BN 2024]],Tableau106[],2,FALSE)</f>
        <v>FR97S86E</v>
      </c>
      <c r="D125" s="300" t="str">
        <f>VLOOKUP(Tableau2546[[#This Row],[CA O&amp;M s/parc
BN 2024]],Tableau106[],8,FALSE)</f>
        <v>SOLAIRE DOM</v>
      </c>
      <c r="E125" s="295">
        <f>VLOOKUP(Tableau2546[[#This Row],[CA O&amp;M s/parc
BN 2024]],Tableau106[],4,FALSE)</f>
        <v>3.456</v>
      </c>
      <c r="F125" s="297" t="str">
        <f>VLOOKUP(Tableau2546[[#This Row],[CA O&amp;M s/parc
BN 2024]],Tableau106[],5,FALSE)</f>
        <v>PIER</v>
      </c>
      <c r="G125" s="294" t="str">
        <f>VLOOKUP(Tableau2546[[#This Row],[CA O&amp;M s/parc
BN 2024]],Tableau106[],7,FALSE)</f>
        <v>GROUPE</v>
      </c>
      <c r="H125" s="294" t="str">
        <f>VLOOKUP(Tableau2546[[#This Row],[CA O&amp;M s/parc
BN 2024]],Tableau106[],6,FALSE)</f>
        <v>DOM</v>
      </c>
      <c r="I125" s="294" t="str">
        <f>VLOOKUP(Tableau2546[[#This Row],[CA O&amp;M s/parc
BN 2024]],Tableau106[],9,FALSE)</f>
        <v>BéK</v>
      </c>
      <c r="J125" s="18">
        <v>5238.4987890230877</v>
      </c>
      <c r="K125" s="120">
        <f>VLOOKUP(Tableau2546[[#This Row],[CODE PI]],Tableau254[[CODE PI]:[TARIF]],6,FALSE)*(1+$Q$1)</f>
        <v>550.96107499999994</v>
      </c>
      <c r="L125" s="21"/>
      <c r="M125" s="18">
        <f>Tableau2546[[#This Row],[PROD en Mwh]]*Tableau2546[[#This Row],[TARIF]]</f>
        <v>2886208.9241863582</v>
      </c>
      <c r="N125" s="18"/>
    </row>
    <row r="126" spans="1:14">
      <c r="A126" s="299" t="s">
        <v>512</v>
      </c>
      <c r="B126" s="294" t="str">
        <f>VLOOKUP(Tableau2546[[#This Row],[CA O&amp;M s/parc
BN 2024]],Tableau106[],3,FALSE)</f>
        <v>A551</v>
      </c>
      <c r="C126" s="294" t="str">
        <f>VLOOKUP(Tableau2546[[#This Row],[CA O&amp;M s/parc
BN 2024]],Tableau106[],2,FALSE)</f>
        <v>FR59E02E</v>
      </c>
      <c r="D126" s="300" t="str">
        <f>VLOOKUP(Tableau2546[[#This Row],[CA O&amp;M s/parc
BN 2024]],Tableau106[],8,FALSE)</f>
        <v>EOLIEN</v>
      </c>
      <c r="E126" s="295">
        <f>VLOOKUP(Tableau2546[[#This Row],[CA O&amp;M s/parc
BN 2024]],Tableau106[],4,FALSE)</f>
        <v>12</v>
      </c>
      <c r="F126" s="297" t="str">
        <f>VLOOKUP(Tableau2546[[#This Row],[CA O&amp;M s/parc
BN 2024]],Tableau106[],5,FALSE)</f>
        <v>PLES</v>
      </c>
      <c r="G126" s="294" t="str">
        <f>VLOOKUP(Tableau2546[[#This Row],[CA O&amp;M s/parc
BN 2024]],Tableau106[],7,FALSE)</f>
        <v>ENDF</v>
      </c>
      <c r="H126" s="294" t="str">
        <f>VLOOKUP(Tableau2546[[#This Row],[CA O&amp;M s/parc
BN 2024]],Tableau106[],6,FALSE)</f>
        <v>N</v>
      </c>
      <c r="I126" s="294" t="str">
        <f>VLOOKUP(Tableau2546[[#This Row],[CA O&amp;M s/parc
BN 2024]],Tableau106[],9,FALSE)</f>
        <v>AnN</v>
      </c>
      <c r="J126" s="18">
        <v>26528.043000000001</v>
      </c>
      <c r="K126" s="120">
        <f>VLOOKUP(Tableau2546[[#This Row],[CODE PI]],Tableau254[[CODE PI]:[TARIF]],6,FALSE)*(1+$Q$1)</f>
        <v>98.196024999999992</v>
      </c>
      <c r="L126" s="21"/>
      <c r="M126" s="18">
        <f>Tableau2546[[#This Row],[PROD en Mwh]]*Tableau2546[[#This Row],[TARIF]]</f>
        <v>2604948.373629075</v>
      </c>
      <c r="N126" s="18"/>
    </row>
    <row r="127" spans="1:14">
      <c r="A127" s="299" t="s">
        <v>556</v>
      </c>
      <c r="B127" s="294" t="str">
        <f>VLOOKUP(Tableau2546[[#This Row],[CA O&amp;M s/parc
BN 2024]],Tableau106[],3,FALSE)</f>
        <v>A160</v>
      </c>
      <c r="C127" s="294" t="str">
        <f>VLOOKUP(Tableau2546[[#This Row],[CA O&amp;M s/parc
BN 2024]],Tableau106[],2,FALSE)</f>
        <v>FR11E85E</v>
      </c>
      <c r="D127" s="300" t="str">
        <f>VLOOKUP(Tableau2546[[#This Row],[CA O&amp;M s/parc
BN 2024]],Tableau106[],8,FALSE)</f>
        <v>EOLIEN</v>
      </c>
      <c r="E127" s="295">
        <f>VLOOKUP(Tableau2546[[#This Row],[CA O&amp;M s/parc
BN 2024]],Tableau106[],4,FALSE)</f>
        <v>11.5</v>
      </c>
      <c r="F127" s="297" t="str">
        <f>VLOOKUP(Tableau2546[[#This Row],[CA O&amp;M s/parc
BN 2024]],Tableau106[],5,FALSE)</f>
        <v>LUC2</v>
      </c>
      <c r="G127" s="294" t="str">
        <f>VLOOKUP(Tableau2546[[#This Row],[CA O&amp;M s/parc
BN 2024]],Tableau106[],7,FALSE)</f>
        <v>FUTUREN</v>
      </c>
      <c r="H127" s="294" t="str">
        <f>VLOOKUP(Tableau2546[[#This Row],[CA O&amp;M s/parc
BN 2024]],Tableau106[],6,FALSE)</f>
        <v>S</v>
      </c>
      <c r="I127" s="294" t="str">
        <f>VLOOKUP(Tableau2546[[#This Row],[CA O&amp;M s/parc
BN 2024]],Tableau106[],9,FALSE)</f>
        <v>StE</v>
      </c>
      <c r="J127" s="18">
        <v>28836.362862164966</v>
      </c>
      <c r="K127" s="120">
        <f>VLOOKUP(Tableau2546[[#This Row],[CODE PI]],Tableau254[[CODE PI]:[TARIF]],6,FALSE)*(1+$Q$1)</f>
        <v>98.665474999999986</v>
      </c>
      <c r="L127" s="21">
        <v>0</v>
      </c>
      <c r="M127" s="18">
        <f>Tableau2546[[#This Row],[PROD en Mwh]]*Tableau2546[[#This Row],[TARIF]]</f>
        <v>2845153.4390678657</v>
      </c>
      <c r="N127" s="18"/>
    </row>
    <row r="128" spans="1:14">
      <c r="A128" s="299" t="s">
        <v>560</v>
      </c>
      <c r="B128" s="294" t="str">
        <f>VLOOKUP(Tableau2546[[#This Row],[CA O&amp;M s/parc
BN 2024]],Tableau106[],3,FALSE)</f>
        <v>A370</v>
      </c>
      <c r="C128" s="294" t="str">
        <f>VLOOKUP(Tableau2546[[#This Row],[CA O&amp;M s/parc
BN 2024]],Tableau106[],2,FALSE)</f>
        <v>FR11E94E</v>
      </c>
      <c r="D128" s="300" t="str">
        <f>VLOOKUP(Tableau2546[[#This Row],[CA O&amp;M s/parc
BN 2024]],Tableau106[],8,FALSE)</f>
        <v>EOLIEN</v>
      </c>
      <c r="E128" s="295">
        <f>VLOOKUP(Tableau2546[[#This Row],[CA O&amp;M s/parc
BN 2024]],Tableau106[],4,FALSE)</f>
        <v>9.1999999999999993</v>
      </c>
      <c r="F128" s="297" t="str">
        <f>VLOOKUP(Tableau2546[[#This Row],[CA O&amp;M s/parc
BN 2024]],Tableau106[],5,FALSE)</f>
        <v>PLGR</v>
      </c>
      <c r="G128" s="294" t="str">
        <f>VLOOKUP(Tableau2546[[#This Row],[CA O&amp;M s/parc
BN 2024]],Tableau106[],7,FALSE)</f>
        <v>GROUPE</v>
      </c>
      <c r="H128" s="294" t="str">
        <f>VLOOKUP(Tableau2546[[#This Row],[CA O&amp;M s/parc
BN 2024]],Tableau106[],6,FALSE)</f>
        <v>S</v>
      </c>
      <c r="I128" s="294" t="str">
        <f>VLOOKUP(Tableau2546[[#This Row],[CA O&amp;M s/parc
BN 2024]],Tableau106[],9,FALSE)</f>
        <v>ThC</v>
      </c>
      <c r="J128" s="18">
        <v>27398.429740781965</v>
      </c>
      <c r="K128" s="120">
        <f>VLOOKUP(Tableau2546[[#This Row],[CODE PI]],Tableau254[[CODE PI]:[TARIF]],6,FALSE)*(1+$Q$1)</f>
        <v>78.603149999999999</v>
      </c>
      <c r="L128" s="21">
        <v>0</v>
      </c>
      <c r="M128" s="18">
        <f>Tableau2546[[#This Row],[PROD en Mwh]]*Tableau2546[[#This Row],[TARIF]]</f>
        <v>2153602.8826791458</v>
      </c>
      <c r="N128" s="18"/>
    </row>
    <row r="129" spans="1:14">
      <c r="A129" s="299" t="s">
        <v>456</v>
      </c>
      <c r="B129" s="294" t="str">
        <f>VLOOKUP(Tableau2546[[#This Row],[CA O&amp;M s/parc
BN 2024]],Tableau106[],3,FALSE)</f>
        <v>F150</v>
      </c>
      <c r="C129" s="294" t="str">
        <f>VLOOKUP(Tableau2546[[#This Row],[CA O&amp;M s/parc
BN 2024]],Tableau106[],2,FALSE)</f>
        <v>FR22E04E</v>
      </c>
      <c r="D129" s="300" t="str">
        <f>VLOOKUP(Tableau2546[[#This Row],[CA O&amp;M s/parc
BN 2024]],Tableau106[],8,FALSE)</f>
        <v>EOLIEN</v>
      </c>
      <c r="E129" s="295">
        <f>VLOOKUP(Tableau2546[[#This Row],[CA O&amp;M s/parc
BN 2024]],Tableau106[],4,FALSE)</f>
        <v>6.9</v>
      </c>
      <c r="F129" s="297" t="str">
        <f>VLOOKUP(Tableau2546[[#This Row],[CA O&amp;M s/parc
BN 2024]],Tableau106[],5,FALSE)</f>
        <v>PLAT</v>
      </c>
      <c r="G129" s="294" t="str">
        <f>VLOOKUP(Tableau2546[[#This Row],[CA O&amp;M s/parc
BN 2024]],Tableau106[],7,FALSE)</f>
        <v>FUTUREN</v>
      </c>
      <c r="H129" s="294" t="str">
        <f>VLOOKUP(Tableau2546[[#This Row],[CA O&amp;M s/parc
BN 2024]],Tableau106[],6,FALSE)</f>
        <v>N</v>
      </c>
      <c r="I129" s="294" t="str">
        <f>VLOOKUP(Tableau2546[[#This Row],[CA O&amp;M s/parc
BN 2024]],Tableau106[],9,FALSE)</f>
        <v>AlY</v>
      </c>
      <c r="J129" s="18">
        <v>10194.680735999988</v>
      </c>
      <c r="K129" s="120">
        <f>VLOOKUP(Tableau2546[[#This Row],[CODE PI]],Tableau254[[CODE PI]:[TARIF]],6,FALSE)*(1+$Q$1)</f>
        <v>108.25024999999999</v>
      </c>
      <c r="L129" s="21"/>
      <c r="M129" s="18">
        <f>Tableau2546[[#This Row],[PROD en Mwh]]*Tableau2546[[#This Row],[TARIF]]</f>
        <v>1103576.7383421825</v>
      </c>
      <c r="N129" s="18"/>
    </row>
    <row r="130" spans="1:14">
      <c r="A130" s="299" t="s">
        <v>521</v>
      </c>
      <c r="B130" s="294" t="str">
        <f>VLOOKUP(Tableau2546[[#This Row],[CA O&amp;M s/parc
BN 2024]],Tableau106[],3,FALSE)</f>
        <v>A552</v>
      </c>
      <c r="C130" s="294" t="str">
        <f>VLOOKUP(Tableau2546[[#This Row],[CA O&amp;M s/parc
BN 2024]],Tableau106[],2,FALSE)</f>
        <v>FR02E07E</v>
      </c>
      <c r="D130" s="300" t="str">
        <f>VLOOKUP(Tableau2546[[#This Row],[CA O&amp;M s/parc
BN 2024]],Tableau106[],8,FALSE)</f>
        <v>EOLIEN</v>
      </c>
      <c r="E130" s="295">
        <f>VLOOKUP(Tableau2546[[#This Row],[CA O&amp;M s/parc
BN 2024]],Tableau106[],4,FALSE)</f>
        <v>21</v>
      </c>
      <c r="F130" s="297" t="str">
        <f>VLOOKUP(Tableau2546[[#This Row],[CA O&amp;M s/parc
BN 2024]],Tableau106[],5,FALSE)</f>
        <v>PLAN</v>
      </c>
      <c r="G130" s="294" t="str">
        <f>VLOOKUP(Tableau2546[[#This Row],[CA O&amp;M s/parc
BN 2024]],Tableau106[],7,FALSE)</f>
        <v>ENDF</v>
      </c>
      <c r="H130" s="294" t="str">
        <f>VLOOKUP(Tableau2546[[#This Row],[CA O&amp;M s/parc
BN 2024]],Tableau106[],6,FALSE)</f>
        <v>N</v>
      </c>
      <c r="I130" s="294" t="str">
        <f>VLOOKUP(Tableau2546[[#This Row],[CA O&amp;M s/parc
BN 2024]],Tableau106[],9,FALSE)</f>
        <v>BoK</v>
      </c>
      <c r="J130" s="18">
        <v>53600</v>
      </c>
      <c r="K130" s="120">
        <f>VLOOKUP(Tableau2546[[#This Row],[CODE PI]],Tableau254[[CODE PI]:[TARIF]],6,FALSE)*(1+$Q$1)</f>
        <v>98.242149999999995</v>
      </c>
      <c r="L130" s="21"/>
      <c r="M130" s="18">
        <f>Tableau2546[[#This Row],[PROD en Mwh]]*Tableau2546[[#This Row],[TARIF]]</f>
        <v>5265779.2399999993</v>
      </c>
      <c r="N130" s="18"/>
    </row>
    <row r="131" spans="1:14">
      <c r="A131" s="299" t="s">
        <v>566</v>
      </c>
      <c r="B131" s="294" t="str">
        <f>VLOOKUP(Tableau2546[[#This Row],[CA O&amp;M s/parc
BN 2024]],Tableau106[],3,FALSE)</f>
        <v>A545</v>
      </c>
      <c r="C131" s="294" t="str">
        <f>VLOOKUP(Tableau2546[[#This Row],[CA O&amp;M s/parc
BN 2024]],Tableau106[],2,FALSE)</f>
        <v>FR56E05E</v>
      </c>
      <c r="D131" s="300" t="str">
        <f>VLOOKUP(Tableau2546[[#This Row],[CA O&amp;M s/parc
BN 2024]],Tableau106[],8,FALSE)</f>
        <v>EOLIEN</v>
      </c>
      <c r="E131" s="295">
        <f>VLOOKUP(Tableau2546[[#This Row],[CA O&amp;M s/parc
BN 2024]],Tableau106[],4,FALSE)</f>
        <v>10</v>
      </c>
      <c r="F131" s="297" t="str">
        <f>VLOOKUP(Tableau2546[[#This Row],[CA O&amp;M s/parc
BN 2024]],Tableau106[],5,FALSE)</f>
        <v>PLEU</v>
      </c>
      <c r="G131" s="294" t="str">
        <f>VLOOKUP(Tableau2546[[#This Row],[CA O&amp;M s/parc
BN 2024]],Tableau106[],7,FALSE)</f>
        <v>EGM</v>
      </c>
      <c r="H131" s="294" t="str">
        <f>VLOOKUP(Tableau2546[[#This Row],[CA O&amp;M s/parc
BN 2024]],Tableau106[],6,FALSE)</f>
        <v>N</v>
      </c>
      <c r="I131" s="294" t="str">
        <f>VLOOKUP(Tableau2546[[#This Row],[CA O&amp;M s/parc
BN 2024]],Tableau106[],9,FALSE)</f>
        <v>MaA</v>
      </c>
      <c r="J131" s="18">
        <v>16746.345000000001</v>
      </c>
      <c r="K131" s="120">
        <f>VLOOKUP(Tableau2546[[#This Row],[CODE PI]],Tableau254[[CODE PI]:[TARIF]],6,FALSE)*(1+$Q$1)</f>
        <v>127.73037499999998</v>
      </c>
      <c r="L131" s="21"/>
      <c r="M131" s="18">
        <f>Tableau2546[[#This Row],[PROD en Mwh]]*Tableau2546[[#This Row],[TARIF]]</f>
        <v>2139016.926729375</v>
      </c>
      <c r="N131" s="18"/>
    </row>
    <row r="132" spans="1:14">
      <c r="A132" s="299" t="s">
        <v>527</v>
      </c>
      <c r="B132" s="294" t="str">
        <f>VLOOKUP(Tableau2546[[#This Row],[CA O&amp;M s/parc
BN 2024]],Tableau106[],3,FALSE)</f>
        <v>A150</v>
      </c>
      <c r="C132" s="294" t="str">
        <f>VLOOKUP(Tableau2546[[#This Row],[CA O&amp;M s/parc
BN 2024]],Tableau106[],2,FALSE)</f>
        <v>FR51E01E</v>
      </c>
      <c r="D132" s="300" t="str">
        <f>VLOOKUP(Tableau2546[[#This Row],[CA O&amp;M s/parc
BN 2024]],Tableau106[],8,FALSE)</f>
        <v>EOLIEN</v>
      </c>
      <c r="E132" s="295">
        <f>VLOOKUP(Tableau2546[[#This Row],[CA O&amp;M s/parc
BN 2024]],Tableau106[],4,FALSE)</f>
        <v>12.3</v>
      </c>
      <c r="F132" s="297" t="str">
        <f>VLOOKUP(Tableau2546[[#This Row],[CA O&amp;M s/parc
BN 2024]],Tableau106[],5,FALSE)</f>
        <v>PDC1, PDC2</v>
      </c>
      <c r="G132" s="294" t="str">
        <f>VLOOKUP(Tableau2546[[#This Row],[CA O&amp;M s/parc
BN 2024]],Tableau106[],7,FALSE)</f>
        <v>FUTUREN</v>
      </c>
      <c r="H132" s="294" t="str">
        <f>VLOOKUP(Tableau2546[[#This Row],[CA O&amp;M s/parc
BN 2024]],Tableau106[],6,FALSE)</f>
        <v>N</v>
      </c>
      <c r="I132" s="294" t="str">
        <f>VLOOKUP(Tableau2546[[#This Row],[CA O&amp;M s/parc
BN 2024]],Tableau106[],9,FALSE)</f>
        <v>HuB</v>
      </c>
      <c r="J132" s="18">
        <v>21501</v>
      </c>
      <c r="K132" s="120">
        <f>VLOOKUP(Tableau2546[[#This Row],[CODE PI]],Tableau254[[CODE PI]:[TARIF]],6,FALSE)*(1+$Q$1)</f>
        <v>99.968249999999998</v>
      </c>
      <c r="L132" s="21"/>
      <c r="M132" s="18">
        <f>Tableau2546[[#This Row],[PROD en Mwh]]*Tableau2546[[#This Row],[TARIF]]</f>
        <v>2149417.3432499999</v>
      </c>
      <c r="N132" s="18"/>
    </row>
    <row r="133" spans="1:14">
      <c r="A133" s="299" t="s">
        <v>588</v>
      </c>
      <c r="B133" s="294" t="str">
        <f>VLOOKUP(Tableau2546[[#This Row],[CA O&amp;M s/parc
BN 2024]],Tableau106[],3,FALSE)</f>
        <v>A533</v>
      </c>
      <c r="C133" s="294" t="str">
        <f>VLOOKUP(Tableau2546[[#This Row],[CA O&amp;M s/parc
BN 2024]],Tableau106[],2,FALSE)</f>
        <v>FR57E03E</v>
      </c>
      <c r="D133" s="300" t="str">
        <f>VLOOKUP(Tableau2546[[#This Row],[CA O&amp;M s/parc
BN 2024]],Tableau106[],8,FALSE)</f>
        <v>EOLIEN</v>
      </c>
      <c r="E133" s="295">
        <f>VLOOKUP(Tableau2546[[#This Row],[CA O&amp;M s/parc
BN 2024]],Tableau106[],4,FALSE)</f>
        <v>8</v>
      </c>
      <c r="F133" s="297" t="str">
        <f>VLOOKUP(Tableau2546[[#This Row],[CA O&amp;M s/parc
BN 2024]],Tableau106[],5,FALSE)</f>
        <v>PDFE</v>
      </c>
      <c r="G133" s="294" t="str">
        <f>VLOOKUP(Tableau2546[[#This Row],[CA O&amp;M s/parc
BN 2024]],Tableau106[],7,FALSE)</f>
        <v>GROUPE</v>
      </c>
      <c r="H133" s="294" t="str">
        <f>VLOOKUP(Tableau2546[[#This Row],[CA O&amp;M s/parc
BN 2024]],Tableau106[],6,FALSE)</f>
        <v>N</v>
      </c>
      <c r="I133" s="294" t="str">
        <f>VLOOKUP(Tableau2546[[#This Row],[CA O&amp;M s/parc
BN 2024]],Tableau106[],9,FALSE)</f>
        <v>AyB</v>
      </c>
      <c r="J133" s="18">
        <v>16557.02964623598</v>
      </c>
      <c r="K133" s="120">
        <f>VLOOKUP(Tableau2546[[#This Row],[CODE PI]],Tableau254[[CODE PI]:[TARIF]],6,FALSE)*(1+$Q$1)</f>
        <v>202.16074999999998</v>
      </c>
      <c r="L133" s="21"/>
      <c r="M133" s="18">
        <f>Tableau2546[[#This Row],[PROD en Mwh]]*Tableau2546[[#This Row],[TARIF]]</f>
        <v>3347181.5310553</v>
      </c>
      <c r="N133" s="18"/>
    </row>
    <row r="134" spans="1:14">
      <c r="A134" s="299" t="s">
        <v>574</v>
      </c>
      <c r="B134" s="294" t="str">
        <f>VLOOKUP(Tableau2546[[#This Row],[CA O&amp;M s/parc
BN 2024]],Tableau106[],3,FALSE)</f>
        <v>A041</v>
      </c>
      <c r="C134" s="294" t="str">
        <f>VLOOKUP(Tableau2546[[#This Row],[CA O&amp;M s/parc
BN 2024]],Tableau106[],2,FALSE)</f>
        <v>FR97S92E</v>
      </c>
      <c r="D134" s="300" t="str">
        <f>VLOOKUP(Tableau2546[[#This Row],[CA O&amp;M s/parc
BN 2024]],Tableau106[],8,FALSE)</f>
        <v>SOLAIRE DOM</v>
      </c>
      <c r="E134" s="295">
        <f>VLOOKUP(Tableau2546[[#This Row],[CA O&amp;M s/parc
BN 2024]],Tableau106[],4,FALSE)</f>
        <v>4.5</v>
      </c>
      <c r="F134" s="297" t="str">
        <f>VLOOKUP(Tableau2546[[#This Row],[CA O&amp;M s/parc
BN 2024]],Tableau106[],5,FALSE)</f>
        <v>POTI</v>
      </c>
      <c r="G134" s="294" t="str">
        <f>VLOOKUP(Tableau2546[[#This Row],[CA O&amp;M s/parc
BN 2024]],Tableau106[],7,FALSE)</f>
        <v>GROUPE</v>
      </c>
      <c r="H134" s="294" t="str">
        <f>VLOOKUP(Tableau2546[[#This Row],[CA O&amp;M s/parc
BN 2024]],Tableau106[],6,FALSE)</f>
        <v>DOM</v>
      </c>
      <c r="I134" s="294" t="str">
        <f>VLOOKUP(Tableau2546[[#This Row],[CA O&amp;M s/parc
BN 2024]],Tableau106[],9,FALSE)</f>
        <v>DoJ</v>
      </c>
      <c r="J134" s="18">
        <v>5426.2537635860526</v>
      </c>
      <c r="K134" s="120">
        <f>VLOOKUP(Tableau2546[[#This Row],[CODE PI]],Tableau254[[CODE PI]:[TARIF]],6,FALSE)*(1+$Q$1)</f>
        <v>524.46277499999997</v>
      </c>
      <c r="L134" s="21"/>
      <c r="M134" s="412">
        <f>Tableau2546[[#This Row],[PROD en Mwh]]*Tableau2546[[#This Row],[TARIF]]*1/3</f>
        <v>948622.70223484503</v>
      </c>
      <c r="N134" s="18" t="s">
        <v>678</v>
      </c>
    </row>
    <row r="135" spans="1:14">
      <c r="A135" s="299" t="s">
        <v>286</v>
      </c>
      <c r="B135" s="294" t="str">
        <f>VLOOKUP(Tableau2546[[#This Row],[CA O&amp;M s/parc
BN 2024]],Tableau106[],3,FALSE)</f>
        <v>A539</v>
      </c>
      <c r="C135" s="294" t="str">
        <f>VLOOKUP(Tableau2546[[#This Row],[CA O&amp;M s/parc
BN 2024]],Tableau106[],2,FALSE)</f>
        <v>FR11E87E</v>
      </c>
      <c r="D135" s="300" t="str">
        <f>VLOOKUP(Tableau2546[[#This Row],[CA O&amp;M s/parc
BN 2024]],Tableau106[],8,FALSE)</f>
        <v>EOLIEN</v>
      </c>
      <c r="E135" s="295">
        <f>VLOOKUP(Tableau2546[[#This Row],[CA O&amp;M s/parc
BN 2024]],Tableau106[],4,FALSE)</f>
        <v>5.0999999999999996</v>
      </c>
      <c r="F135" s="297" t="str">
        <f>VLOOKUP(Tableau2546[[#This Row],[CA O&amp;M s/parc
BN 2024]],Tableau106[],5,FALSE)</f>
        <v>POUZ</v>
      </c>
      <c r="G135" s="294" t="str">
        <f>VLOOKUP(Tableau2546[[#This Row],[CA O&amp;M s/parc
BN 2024]],Tableau106[],7,FALSE)</f>
        <v>GROUPE</v>
      </c>
      <c r="H135" s="294" t="str">
        <f>VLOOKUP(Tableau2546[[#This Row],[CA O&amp;M s/parc
BN 2024]],Tableau106[],6,FALSE)</f>
        <v>S</v>
      </c>
      <c r="I135" s="294" t="str">
        <f>VLOOKUP(Tableau2546[[#This Row],[CA O&amp;M s/parc
BN 2024]],Tableau106[],9,FALSE)</f>
        <v>SaH</v>
      </c>
      <c r="J135" s="18">
        <v>14058.495571428572</v>
      </c>
      <c r="K135" s="120">
        <f>VLOOKUP(Tableau2546[[#This Row],[CODE PI]],Tableau254[[CODE PI]:[TARIF]],6,FALSE)*(1+$Q$1)</f>
        <v>98.998599999999996</v>
      </c>
      <c r="L135" s="21">
        <v>0</v>
      </c>
      <c r="M135" s="18">
        <f>Tableau2546[[#This Row],[PROD en Mwh]]*Tableau2546[[#This Row],[TARIF]]</f>
        <v>1391771.3796776286</v>
      </c>
      <c r="N135" s="18"/>
    </row>
    <row r="136" spans="1:14">
      <c r="A136" s="299" t="s">
        <v>577</v>
      </c>
      <c r="B136" s="294" t="str">
        <f>VLOOKUP(Tableau2546[[#This Row],[CA O&amp;M s/parc
BN 2024]],Tableau106[],3,FALSE)</f>
        <v>A045</v>
      </c>
      <c r="C136" s="294" t="str">
        <f>VLOOKUP(Tableau2546[[#This Row],[CA O&amp;M s/parc
BN 2024]],Tableau106[],2,FALSE)</f>
        <v>FR97S74E</v>
      </c>
      <c r="D136" s="300" t="str">
        <f>VLOOKUP(Tableau2546[[#This Row],[CA O&amp;M s/parc
BN 2024]],Tableau106[],8,FALSE)</f>
        <v>SOLAIRE DOM</v>
      </c>
      <c r="E136" s="295">
        <f>VLOOKUP(Tableau2546[[#This Row],[CA O&amp;M s/parc
BN 2024]],Tableau106[],4,FALSE)</f>
        <v>0.68200000000000005</v>
      </c>
      <c r="F136" s="297" t="str">
        <f>VLOOKUP(Tableau2546[[#This Row],[CA O&amp;M s/parc
BN 2024]],Tableau106[],5,FALSE)</f>
        <v>PROV</v>
      </c>
      <c r="G136" s="294" t="str">
        <f>VLOOKUP(Tableau2546[[#This Row],[CA O&amp;M s/parc
BN 2024]],Tableau106[],7,FALSE)</f>
        <v>GROUPE</v>
      </c>
      <c r="H136" s="294" t="str">
        <f>VLOOKUP(Tableau2546[[#This Row],[CA O&amp;M s/parc
BN 2024]],Tableau106[],6,FALSE)</f>
        <v>DOM</v>
      </c>
      <c r="I136" s="294" t="str">
        <f>VLOOKUP(Tableau2546[[#This Row],[CA O&amp;M s/parc
BN 2024]],Tableau106[],9,FALSE)</f>
        <v>DoJ</v>
      </c>
      <c r="J136" s="18">
        <v>778.70985322471984</v>
      </c>
      <c r="K136" s="120">
        <f>VLOOKUP(Tableau2546[[#This Row],[CODE PI]],Tableau254[[CODE PI]:[TARIF]],6,FALSE)*(1+$Q$1)</f>
        <v>526.62552499999993</v>
      </c>
      <c r="L136" s="21"/>
      <c r="M136" s="18">
        <f>Tableau2546[[#This Row],[PROD en Mwh]]*Tableau2546[[#This Row],[TARIF]]</f>
        <v>410088.48527714098</v>
      </c>
      <c r="N136" s="18"/>
    </row>
    <row r="137" spans="1:14">
      <c r="A137" s="299" t="s">
        <v>621</v>
      </c>
      <c r="B137" s="294" t="str">
        <f>VLOOKUP(Tableau2546[[#This Row],[CA O&amp;M s/parc
BN 2024]],Tableau106[],3,FALSE)</f>
        <v>A540</v>
      </c>
      <c r="C137" s="294" t="str">
        <f>VLOOKUP(Tableau2546[[#This Row],[CA O&amp;M s/parc
BN 2024]],Tableau106[],2,FALSE)</f>
        <v>FR55E05E</v>
      </c>
      <c r="D137" s="300" t="str">
        <f>VLOOKUP(Tableau2546[[#This Row],[CA O&amp;M s/parc
BN 2024]],Tableau106[],8,FALSE)</f>
        <v>EOLIEN</v>
      </c>
      <c r="E137" s="295">
        <f>VLOOKUP(Tableau2546[[#This Row],[CA O&amp;M s/parc
BN 2024]],Tableau106[],4,FALSE)</f>
        <v>12</v>
      </c>
      <c r="F137" s="297" t="str">
        <f>VLOOKUP(Tableau2546[[#This Row],[CA O&amp;M s/parc
BN 2024]],Tableau106[],5,FALSE)</f>
        <v>RAM1</v>
      </c>
      <c r="G137" s="294" t="str">
        <f>VLOOKUP(Tableau2546[[#This Row],[CA O&amp;M s/parc
BN 2024]],Tableau106[],7,FALSE)</f>
        <v>EGM</v>
      </c>
      <c r="H137" s="294" t="str">
        <f>VLOOKUP(Tableau2546[[#This Row],[CA O&amp;M s/parc
BN 2024]],Tableau106[],6,FALSE)</f>
        <v>N</v>
      </c>
      <c r="I137" s="294" t="str">
        <f>VLOOKUP(Tableau2546[[#This Row],[CA O&amp;M s/parc
BN 2024]],Tableau106[],9,FALSE)</f>
        <v>BaB</v>
      </c>
      <c r="J137" s="18">
        <v>20982.878000000001</v>
      </c>
      <c r="K137" s="120">
        <f>VLOOKUP(Tableau2546[[#This Row],[CODE PI]],Tableau254[[CODE PI]:[TARIF]],6,FALSE)*(1+$Q$1)</f>
        <v>172.487384375</v>
      </c>
      <c r="L137" s="21"/>
      <c r="M137" s="18">
        <f>Tableau2546[[#This Row],[PROD en Mwh]]*Tableau2546[[#This Row],[TARIF]]</f>
        <v>3619281.7428797316</v>
      </c>
      <c r="N137" s="18" t="s">
        <v>679</v>
      </c>
    </row>
    <row r="138" spans="1:14">
      <c r="A138" s="299" t="s">
        <v>624</v>
      </c>
      <c r="B138" s="294" t="str">
        <f>VLOOKUP(Tableau2546[[#This Row],[CA O&amp;M s/parc
BN 2024]],Tableau106[],3,FALSE)</f>
        <v>A540</v>
      </c>
      <c r="C138" s="294" t="str">
        <f>VLOOKUP(Tableau2546[[#This Row],[CA O&amp;M s/parc
BN 2024]],Tableau106[],2,FALSE)</f>
        <v>FR55E06E</v>
      </c>
      <c r="D138" s="300" t="str">
        <f>VLOOKUP(Tableau2546[[#This Row],[CA O&amp;M s/parc
BN 2024]],Tableau106[],8,FALSE)</f>
        <v>EOLIEN</v>
      </c>
      <c r="E138" s="295">
        <f>VLOOKUP(Tableau2546[[#This Row],[CA O&amp;M s/parc
BN 2024]],Tableau106[],4,FALSE)</f>
        <v>26</v>
      </c>
      <c r="F138" s="297" t="str">
        <f>VLOOKUP(Tableau2546[[#This Row],[CA O&amp;M s/parc
BN 2024]],Tableau106[],5,FALSE)</f>
        <v>RAM2</v>
      </c>
      <c r="G138" s="294" t="str">
        <f>VLOOKUP(Tableau2546[[#This Row],[CA O&amp;M s/parc
BN 2024]],Tableau106[],7,FALSE)</f>
        <v>EGM</v>
      </c>
      <c r="H138" s="294" t="str">
        <f>VLOOKUP(Tableau2546[[#This Row],[CA O&amp;M s/parc
BN 2024]],Tableau106[],6,FALSE)</f>
        <v>N</v>
      </c>
      <c r="I138" s="294" t="str">
        <f>VLOOKUP(Tableau2546[[#This Row],[CA O&amp;M s/parc
BN 2024]],Tableau106[],9,FALSE)</f>
        <v>BaB</v>
      </c>
      <c r="J138" s="18">
        <v>47346.624000000003</v>
      </c>
      <c r="K138" s="120">
        <f>VLOOKUP(Tableau2546[[#This Row],[CODE PI]],Tableau254[[CODE PI]:[TARIF]],6,FALSE)*(1+$Q$1)</f>
        <v>126.82324999999999</v>
      </c>
      <c r="L138" s="21"/>
      <c r="M138" s="18">
        <f>Tableau2546[[#This Row],[PROD en Mwh]]*Tableau2546[[#This Row],[TARIF]]</f>
        <v>6004652.7322079996</v>
      </c>
      <c r="N138" s="18" t="s">
        <v>679</v>
      </c>
    </row>
    <row r="139" spans="1:14">
      <c r="A139" s="299" t="s">
        <v>511</v>
      </c>
      <c r="B139" s="294" t="str">
        <f>VLOOKUP(Tableau2546[[#This Row],[CA O&amp;M s/parc
BN 2024]],Tableau106[],3,FALSE)</f>
        <v>A540</v>
      </c>
      <c r="C139" s="294" t="str">
        <f>VLOOKUP(Tableau2546[[#This Row],[CA O&amp;M s/parc
BN 2024]],Tableau106[],2,FALSE)</f>
        <v>FR02E04E</v>
      </c>
      <c r="D139" s="300" t="str">
        <f>VLOOKUP(Tableau2546[[#This Row],[CA O&amp;M s/parc
BN 2024]],Tableau106[],8,FALSE)</f>
        <v>EOLIEN</v>
      </c>
      <c r="E139" s="295">
        <f>VLOOKUP(Tableau2546[[#This Row],[CA O&amp;M s/parc
BN 2024]],Tableau106[],4,FALSE)</f>
        <v>10</v>
      </c>
      <c r="F139" s="297" t="str">
        <f>VLOOKUP(Tableau2546[[#This Row],[CA O&amp;M s/parc
BN 2024]],Tableau106[],5,FALSE)</f>
        <v>RIBE</v>
      </c>
      <c r="G139" s="294" t="str">
        <f>VLOOKUP(Tableau2546[[#This Row],[CA O&amp;M s/parc
BN 2024]],Tableau106[],7,FALSE)</f>
        <v>EGM</v>
      </c>
      <c r="H139" s="294" t="str">
        <f>VLOOKUP(Tableau2546[[#This Row],[CA O&amp;M s/parc
BN 2024]],Tableau106[],6,FALSE)</f>
        <v>N</v>
      </c>
      <c r="I139" s="294" t="str">
        <f>VLOOKUP(Tableau2546[[#This Row],[CA O&amp;M s/parc
BN 2024]],Tableau106[],9,FALSE)</f>
        <v>NoS</v>
      </c>
      <c r="J139" s="18">
        <v>20799.792000000001</v>
      </c>
      <c r="K139" s="120">
        <f>VLOOKUP(Tableau2546[[#This Row],[CODE PI]],Tableau254[[CODE PI]:[TARIF]],6,FALSE)*(1+$Q$1)</f>
        <v>172.35979749999998</v>
      </c>
      <c r="L139" s="21"/>
      <c r="M139" s="18">
        <f>Tableau2546[[#This Row],[PROD en Mwh]]*Tableau2546[[#This Row],[TARIF]]</f>
        <v>3585047.9371621199</v>
      </c>
      <c r="N139" s="18"/>
    </row>
    <row r="140" spans="1:14">
      <c r="A140" s="299" t="s">
        <v>617</v>
      </c>
      <c r="B140" s="294" t="str">
        <f>VLOOKUP(Tableau2546[[#This Row],[CA O&amp;M s/parc
BN 2024]],Tableau106[],3,FALSE)</f>
        <v>A892</v>
      </c>
      <c r="C140" s="294" t="str">
        <f>VLOOKUP(Tableau2546[[#This Row],[CA O&amp;M s/parc
BN 2024]],Tableau106[],2,FALSE)</f>
        <v>FR34E98E</v>
      </c>
      <c r="D140" s="300" t="str">
        <f>VLOOKUP(Tableau2546[[#This Row],[CA O&amp;M s/parc
BN 2024]],Tableau106[],8,FALSE)</f>
        <v>EOLIEN</v>
      </c>
      <c r="E140" s="295">
        <f>VLOOKUP(Tableau2546[[#This Row],[CA O&amp;M s/parc
BN 2024]],Tableau106[],4,FALSE)</f>
        <v>3.6</v>
      </c>
      <c r="F140" s="297" t="str">
        <f>VLOOKUP(Tableau2546[[#This Row],[CA O&amp;M s/parc
BN 2024]],Tableau106[],5,FALSE)</f>
        <v>RIOL</v>
      </c>
      <c r="G140" s="294" t="str">
        <f>VLOOKUP(Tableau2546[[#This Row],[CA O&amp;M s/parc
BN 2024]],Tableau106[],7,FALSE)</f>
        <v>GROUPE</v>
      </c>
      <c r="H140" s="294" t="str">
        <f>VLOOKUP(Tableau2546[[#This Row],[CA O&amp;M s/parc
BN 2024]],Tableau106[],6,FALSE)</f>
        <v>S</v>
      </c>
      <c r="I140" s="294" t="str">
        <f>VLOOKUP(Tableau2546[[#This Row],[CA O&amp;M s/parc
BN 2024]],Tableau106[],9,FALSE)</f>
        <v>SaH</v>
      </c>
      <c r="J140" s="18">
        <v>7413.5818564201954</v>
      </c>
      <c r="K140" s="120">
        <f>VLOOKUP(Tableau2546[[#This Row],[CODE PI]],Tableau254[[CODE PI]:[TARIF]],6,FALSE)*(1+$Q$1)</f>
        <v>127.09145833333332</v>
      </c>
      <c r="L140" s="21">
        <v>0</v>
      </c>
      <c r="M140" s="18">
        <f>Tableau2546[[#This Row],[PROD en Mwh]]*Tableau2546[[#This Row],[TARIF]]</f>
        <v>942202.9296059832</v>
      </c>
      <c r="N140" s="18"/>
    </row>
    <row r="141" spans="1:14">
      <c r="A141" s="299" t="s">
        <v>482</v>
      </c>
      <c r="B141" s="294" t="str">
        <f>VLOOKUP(Tableau2546[[#This Row],[CA O&amp;M s/parc
BN 2024]],Tableau106[],3,FALSE)</f>
        <v>A418</v>
      </c>
      <c r="C141" s="294" t="str">
        <f>VLOOKUP(Tableau2546[[#This Row],[CA O&amp;M s/parc
BN 2024]],Tableau106[],2,FALSE)</f>
        <v>FR87E03E</v>
      </c>
      <c r="D141" s="300" t="str">
        <f>VLOOKUP(Tableau2546[[#This Row],[CA O&amp;M s/parc
BN 2024]],Tableau106[],8,FALSE)</f>
        <v>EOLIEN</v>
      </c>
      <c r="E141" s="295">
        <f>VLOOKUP(Tableau2546[[#This Row],[CA O&amp;M s/parc
BN 2024]],Tableau106[],4,FALSE)</f>
        <v>15</v>
      </c>
      <c r="F141" s="297" t="str">
        <f>VLOOKUP(Tableau2546[[#This Row],[CA O&amp;M s/parc
BN 2024]],Tableau106[],5,FALSE)</f>
        <v>ROUS</v>
      </c>
      <c r="G141" s="294" t="str">
        <f>VLOOKUP(Tableau2546[[#This Row],[CA O&amp;M s/parc
BN 2024]],Tableau106[],7,FALSE)</f>
        <v>GROUPE</v>
      </c>
      <c r="H141" s="294" t="str">
        <f>VLOOKUP(Tableau2546[[#This Row],[CA O&amp;M s/parc
BN 2024]],Tableau106[],6,FALSE)</f>
        <v>S</v>
      </c>
      <c r="I141" s="294" t="str">
        <f>VLOOKUP(Tableau2546[[#This Row],[CA O&amp;M s/parc
BN 2024]],Tableau106[],9,FALSE)</f>
        <v>KéC</v>
      </c>
      <c r="J141" s="18">
        <v>25020</v>
      </c>
      <c r="K141" s="120">
        <f>VLOOKUP(Tableau2546[[#This Row],[CODE PI]],Tableau254[[CODE PI]:[TARIF]],6,FALSE)*(1+$Q$1)</f>
        <v>81.009849999999986</v>
      </c>
      <c r="L141" s="21"/>
      <c r="M141" s="18">
        <f>Tableau2546[[#This Row],[PROD en Mwh]]*Tableau2546[[#This Row],[TARIF]]</f>
        <v>2026866.4469999997</v>
      </c>
      <c r="N141" s="18"/>
    </row>
    <row r="142" spans="1:14">
      <c r="A142" s="299" t="s">
        <v>578</v>
      </c>
      <c r="B142" s="294" t="str">
        <f>VLOOKUP(Tableau2546[[#This Row],[CA O&amp;M s/parc
BN 2024]],Tableau106[],3,FALSE)</f>
        <v>A544</v>
      </c>
      <c r="C142" s="294" t="str">
        <f>VLOOKUP(Tableau2546[[#This Row],[CA O&amp;M s/parc
BN 2024]],Tableau106[],2,FALSE)</f>
        <v>FR55E07E</v>
      </c>
      <c r="D142" s="300" t="str">
        <f>VLOOKUP(Tableau2546[[#This Row],[CA O&amp;M s/parc
BN 2024]],Tableau106[],8,FALSE)</f>
        <v>EOLIEN</v>
      </c>
      <c r="E142" s="295">
        <f>VLOOKUP(Tableau2546[[#This Row],[CA O&amp;M s/parc
BN 2024]],Tableau106[],4,FALSE)</f>
        <v>12</v>
      </c>
      <c r="F142" s="297" t="str">
        <f>VLOOKUP(Tableau2546[[#This Row],[CA O&amp;M s/parc
BN 2024]],Tableau106[],5,FALSE)</f>
        <v>STAU</v>
      </c>
      <c r="G142" s="294" t="str">
        <f>VLOOKUP(Tableau2546[[#This Row],[CA O&amp;M s/parc
BN 2024]],Tableau106[],7,FALSE)</f>
        <v>EGM</v>
      </c>
      <c r="H142" s="294" t="str">
        <f>VLOOKUP(Tableau2546[[#This Row],[CA O&amp;M s/parc
BN 2024]],Tableau106[],6,FALSE)</f>
        <v>N</v>
      </c>
      <c r="I142" s="294" t="str">
        <f>VLOOKUP(Tableau2546[[#This Row],[CA O&amp;M s/parc
BN 2024]],Tableau106[],9,FALSE)</f>
        <v>NoS</v>
      </c>
      <c r="J142" s="18">
        <v>19385</v>
      </c>
      <c r="K142" s="120">
        <f>VLOOKUP(Tableau2546[[#This Row],[CODE PI]],Tableau254[[CODE PI]:[TARIF]],6,FALSE)*(1+$Q$1)</f>
        <v>120.98843749999997</v>
      </c>
      <c r="L142" s="21"/>
      <c r="M142" s="18">
        <f>Tableau2546[[#This Row],[PROD en Mwh]]*Tableau2546[[#This Row],[TARIF]]</f>
        <v>2345360.8609374994</v>
      </c>
      <c r="N142" s="18"/>
    </row>
    <row r="143" spans="1:14">
      <c r="A143" s="299" t="s">
        <v>604</v>
      </c>
      <c r="B143" s="294" t="str">
        <f>VLOOKUP(Tableau2546[[#This Row],[CA O&amp;M s/parc
BN 2024]],Tableau106[],3,FALSE)</f>
        <v>A066</v>
      </c>
      <c r="C143" s="294" t="str">
        <f>VLOOKUP(Tableau2546[[#This Row],[CA O&amp;M s/parc
BN 2024]],Tableau106[],2,FALSE)</f>
        <v>FR97S99E</v>
      </c>
      <c r="D143" s="300" t="str">
        <f>VLOOKUP(Tableau2546[[#This Row],[CA O&amp;M s/parc
BN 2024]],Tableau106[],8,FALSE)</f>
        <v>SOLAIRE DOM</v>
      </c>
      <c r="E143" s="295">
        <f>VLOOKUP(Tableau2546[[#This Row],[CA O&amp;M s/parc
BN 2024]],Tableau106[],4,FALSE)</f>
        <v>3.6</v>
      </c>
      <c r="F143" s="297" t="str">
        <f>VLOOKUP(Tableau2546[[#This Row],[CA O&amp;M s/parc
BN 2024]],Tableau106[],5,FALSE)</f>
        <v>SFR1</v>
      </c>
      <c r="G143" s="294" t="str">
        <f>VLOOKUP(Tableau2546[[#This Row],[CA O&amp;M s/parc
BN 2024]],Tableau106[],7,FALSE)</f>
        <v>GROUPE</v>
      </c>
      <c r="H143" s="294" t="str">
        <f>VLOOKUP(Tableau2546[[#This Row],[CA O&amp;M s/parc
BN 2024]],Tableau106[],6,FALSE)</f>
        <v>DOM</v>
      </c>
      <c r="I143" s="294" t="str">
        <f>VLOOKUP(Tableau2546[[#This Row],[CA O&amp;M s/parc
BN 2024]],Tableau106[],9,FALSE)</f>
        <v>DoJ</v>
      </c>
      <c r="J143" s="18">
        <v>5042.8187244068713</v>
      </c>
      <c r="K143" s="120">
        <f>VLOOKUP(Tableau2546[[#This Row],[CODE PI]],Tableau254[[CODE PI]:[TARIF]],6,FALSE)*(1+$Q$1)</f>
        <v>427.10519999999997</v>
      </c>
      <c r="L143" s="21"/>
      <c r="M143" s="18">
        <f>Tableau2546[[#This Row],[PROD en Mwh]]*Tableau2546[[#This Row],[TARIF]]</f>
        <v>2153814.0998515417</v>
      </c>
      <c r="N143" s="18"/>
    </row>
    <row r="144" spans="1:14">
      <c r="A144" s="299" t="s">
        <v>612</v>
      </c>
      <c r="B144" s="294" t="str">
        <f>VLOOKUP(Tableau2546[[#This Row],[CA O&amp;M s/parc
BN 2024]],Tableau106[],3,FALSE)</f>
        <v>A540</v>
      </c>
      <c r="C144" s="294" t="str">
        <f>VLOOKUP(Tableau2546[[#This Row],[CA O&amp;M s/parc
BN 2024]],Tableau106[],2,FALSE)</f>
        <v>FR56E07E</v>
      </c>
      <c r="D144" s="300" t="str">
        <f>VLOOKUP(Tableau2546[[#This Row],[CA O&amp;M s/parc
BN 2024]],Tableau106[],8,FALSE)</f>
        <v>EOLIEN</v>
      </c>
      <c r="E144" s="295">
        <f>VLOOKUP(Tableau2546[[#This Row],[CA O&amp;M s/parc
BN 2024]],Tableau106[],4,FALSE)</f>
        <v>8</v>
      </c>
      <c r="F144" s="297" t="str">
        <f>VLOOKUP(Tableau2546[[#This Row],[CA O&amp;M s/parc
BN 2024]],Tableau106[],5,FALSE)</f>
        <v>STME</v>
      </c>
      <c r="G144" s="294" t="str">
        <f>VLOOKUP(Tableau2546[[#This Row],[CA O&amp;M s/parc
BN 2024]],Tableau106[],7,FALSE)</f>
        <v>EGM</v>
      </c>
      <c r="H144" s="294" t="str">
        <f>VLOOKUP(Tableau2546[[#This Row],[CA O&amp;M s/parc
BN 2024]],Tableau106[],6,FALSE)</f>
        <v>N</v>
      </c>
      <c r="I144" s="294" t="str">
        <f>VLOOKUP(Tableau2546[[#This Row],[CA O&amp;M s/parc
BN 2024]],Tableau106[],9,FALSE)</f>
        <v>DeN</v>
      </c>
      <c r="J144" s="18">
        <v>10748.066999999999</v>
      </c>
      <c r="K144" s="120">
        <f>VLOOKUP(Tableau2546[[#This Row],[CODE PI]],Tableau254[[CODE PI]:[TARIF]],6,FALSE)*(1+$Q$1)</f>
        <v>127.70816666666664</v>
      </c>
      <c r="L144" s="21"/>
      <c r="M144" s="18">
        <f>Tableau2546[[#This Row],[PROD en Mwh]]*Tableau2546[[#This Row],[TARIF]]</f>
        <v>1372615.9317804996</v>
      </c>
      <c r="N144" s="18"/>
    </row>
    <row r="145" spans="1:14">
      <c r="A145" s="299" t="s">
        <v>589</v>
      </c>
      <c r="B145" s="294" t="str">
        <f>VLOOKUP(Tableau2546[[#This Row],[CA O&amp;M s/parc
BN 2024]],Tableau106[],3,FALSE)</f>
        <v>A135</v>
      </c>
      <c r="C145" s="294" t="str">
        <f>VLOOKUP(Tableau2546[[#This Row],[CA O&amp;M s/parc
BN 2024]],Tableau106[],2,FALSE)</f>
        <v>FR04S98E</v>
      </c>
      <c r="D145" s="300" t="str">
        <f>VLOOKUP(Tableau2546[[#This Row],[CA O&amp;M s/parc
BN 2024]],Tableau106[],8,FALSE)</f>
        <v>SOLAIRE</v>
      </c>
      <c r="E145" s="295">
        <f>VLOOKUP(Tableau2546[[#This Row],[CA O&amp;M s/parc
BN 2024]],Tableau106[],4,FALSE)</f>
        <v>5.2350000000000003</v>
      </c>
      <c r="F145" s="297" t="str">
        <f>VLOOKUP(Tableau2546[[#This Row],[CA O&amp;M s/parc
BN 2024]],Tableau106[],5,FALSE)</f>
        <v>STUL</v>
      </c>
      <c r="G145" s="294" t="str">
        <f>VLOOKUP(Tableau2546[[#This Row],[CA O&amp;M s/parc
BN 2024]],Tableau106[],7,FALSE)</f>
        <v>GROUPE</v>
      </c>
      <c r="H145" s="294" t="str">
        <f>VLOOKUP(Tableau2546[[#This Row],[CA O&amp;M s/parc
BN 2024]],Tableau106[],6,FALSE)</f>
        <v>S</v>
      </c>
      <c r="I145" s="294" t="str">
        <f>VLOOKUP(Tableau2546[[#This Row],[CA O&amp;M s/parc
BN 2024]],Tableau106[],9,FALSE)</f>
        <v>ArB</v>
      </c>
      <c r="J145" s="18">
        <v>7032.2330182220567</v>
      </c>
      <c r="K145" s="120">
        <f>VLOOKUP(Tableau2546[[#This Row],[CODE PI]],Tableau254[[CODE PI]:[TARIF]],6,FALSE)*(1+$Q$1)</f>
        <v>404.48652499999997</v>
      </c>
      <c r="L145" s="21"/>
      <c r="M145" s="18">
        <f>Tableau2546[[#This Row],[PROD en Mwh]]*Tableau2546[[#This Row],[TARIF]]</f>
        <v>2844443.4965309012</v>
      </c>
      <c r="N145" s="18"/>
    </row>
    <row r="146" spans="1:14">
      <c r="A146" s="299" t="s">
        <v>607</v>
      </c>
      <c r="B146" s="294" t="str">
        <f>VLOOKUP(Tableau2546[[#This Row],[CA O&amp;M s/parc
BN 2024]],Tableau106[],3,FALSE)</f>
        <v>A353</v>
      </c>
      <c r="C146" s="294" t="str">
        <f>VLOOKUP(Tableau2546[[#This Row],[CA O&amp;M s/parc
BN 2024]],Tableau106[],2,FALSE)</f>
        <v>FR34S01E</v>
      </c>
      <c r="D146" s="300" t="str">
        <f>VLOOKUP(Tableau2546[[#This Row],[CA O&amp;M s/parc
BN 2024]],Tableau106[],8,FALSE)</f>
        <v>SOLAIRE</v>
      </c>
      <c r="E146" s="295">
        <f>VLOOKUP(Tableau2546[[#This Row],[CA O&amp;M s/parc
BN 2024]],Tableau106[],4,FALSE)</f>
        <v>10.664</v>
      </c>
      <c r="F146" s="297" t="str">
        <f>VLOOKUP(Tableau2546[[#This Row],[CA O&amp;M s/parc
BN 2024]],Tableau106[],5,FALSE)</f>
        <v>SPAR</v>
      </c>
      <c r="G146" s="294" t="str">
        <f>VLOOKUP(Tableau2546[[#This Row],[CA O&amp;M s/parc
BN 2024]],Tableau106[],7,FALSE)</f>
        <v>GROUPE</v>
      </c>
      <c r="H146" s="294" t="str">
        <f>VLOOKUP(Tableau2546[[#This Row],[CA O&amp;M s/parc
BN 2024]],Tableau106[],6,FALSE)</f>
        <v>S</v>
      </c>
      <c r="I146" s="294" t="str">
        <f>VLOOKUP(Tableau2546[[#This Row],[CA O&amp;M s/parc
BN 2024]],Tableau106[],9,FALSE)</f>
        <v>BaA</v>
      </c>
      <c r="J146" s="18">
        <v>14949.647313237043</v>
      </c>
      <c r="K146" s="120">
        <f>VLOOKUP(Tableau2546[[#This Row],[CODE PI]],Tableau254[[CODE PI]:[TARIF]],6,FALSE)*(1+$Q$1)</f>
        <v>60.619524999999996</v>
      </c>
      <c r="L146" s="21"/>
      <c r="M146" s="18">
        <f>Tableau2546[[#This Row],[PROD en Mwh]]*Tableau2546[[#This Row],[TARIF]]</f>
        <v>906240.51904595573</v>
      </c>
      <c r="N146" s="18"/>
    </row>
    <row r="147" spans="1:14">
      <c r="A147" s="299" t="s">
        <v>317</v>
      </c>
      <c r="B147" s="294" t="str">
        <f>VLOOKUP(Tableau2546[[#This Row],[CA O&amp;M s/parc
BN 2024]],Tableau106[],3,FALSE)</f>
        <v>F040</v>
      </c>
      <c r="C147" s="294" t="str">
        <f>VLOOKUP(Tableau2546[[#This Row],[CA O&amp;M s/parc
BN 2024]],Tableau106[],2,FALSE)</f>
        <v>FR14E04E</v>
      </c>
      <c r="D147" s="300" t="str">
        <f>VLOOKUP(Tableau2546[[#This Row],[CA O&amp;M s/parc
BN 2024]],Tableau106[],8,FALSE)</f>
        <v>EOLIEN</v>
      </c>
      <c r="E147" s="295">
        <f>VLOOKUP(Tableau2546[[#This Row],[CA O&amp;M s/parc
BN 2024]],Tableau106[],4,FALSE)</f>
        <v>8</v>
      </c>
      <c r="F147" s="297" t="str">
        <f>VLOOKUP(Tableau2546[[#This Row],[CA O&amp;M s/parc
BN 2024]],Tableau106[],5,FALSE)</f>
        <v>SALL</v>
      </c>
      <c r="G147" s="294" t="str">
        <f>VLOOKUP(Tableau2546[[#This Row],[CA O&amp;M s/parc
BN 2024]],Tableau106[],7,FALSE)</f>
        <v>FUTUREN</v>
      </c>
      <c r="H147" s="294" t="str">
        <f>VLOOKUP(Tableau2546[[#This Row],[CA O&amp;M s/parc
BN 2024]],Tableau106[],6,FALSE)</f>
        <v>N</v>
      </c>
      <c r="I147" s="294" t="str">
        <f>VLOOKUP(Tableau2546[[#This Row],[CA O&amp;M s/parc
BN 2024]],Tableau106[],9,FALSE)</f>
        <v>MéS</v>
      </c>
      <c r="J147" s="18">
        <v>14843.69904767996</v>
      </c>
      <c r="K147" s="120">
        <f>VLOOKUP(Tableau2546[[#This Row],[CODE PI]],Tableau254[[CODE PI]:[TARIF]],6,FALSE)*(1+$Q$1)</f>
        <v>202.01058749999996</v>
      </c>
      <c r="L147" s="21"/>
      <c r="M147" s="18">
        <f>Tableau2546[[#This Row],[PROD en Mwh]]*Tableau2546[[#This Row],[TARIF]]</f>
        <v>2998584.3652950185</v>
      </c>
      <c r="N147" s="18"/>
    </row>
    <row r="148" spans="1:14">
      <c r="A148" s="299" t="s">
        <v>591</v>
      </c>
      <c r="B148" s="294" t="str">
        <f>VLOOKUP(Tableau2546[[#This Row],[CA O&amp;M s/parc
BN 2024]],Tableau106[],3,FALSE)</f>
        <v>A272</v>
      </c>
      <c r="C148" s="294" t="str">
        <f>VLOOKUP(Tableau2546[[#This Row],[CA O&amp;M s/parc
BN 2024]],Tableau106[],2,FALSE)</f>
        <v>FR43S03E</v>
      </c>
      <c r="D148" s="300" t="str">
        <f>VLOOKUP(Tableau2546[[#This Row],[CA O&amp;M s/parc
BN 2024]],Tableau106[],8,FALSE)</f>
        <v>SOLAIRE</v>
      </c>
      <c r="E148" s="295">
        <f>VLOOKUP(Tableau2546[[#This Row],[CA O&amp;M s/parc
BN 2024]],Tableau106[],4,FALSE)</f>
        <v>4.2</v>
      </c>
      <c r="F148" s="297" t="str">
        <f>VLOOKUP(Tableau2546[[#This Row],[CA O&amp;M s/parc
BN 2024]],Tableau106[],5,FALSE)</f>
        <v>SALZ</v>
      </c>
      <c r="G148" s="294" t="str">
        <f>VLOOKUP(Tableau2546[[#This Row],[CA O&amp;M s/parc
BN 2024]],Tableau106[],7,FALSE)</f>
        <v>GROUPE</v>
      </c>
      <c r="H148" s="294" t="str">
        <f>VLOOKUP(Tableau2546[[#This Row],[CA O&amp;M s/parc
BN 2024]],Tableau106[],6,FALSE)</f>
        <v>S</v>
      </c>
      <c r="I148" s="294" t="str">
        <f>VLOOKUP(Tableau2546[[#This Row],[CA O&amp;M s/parc
BN 2024]],Tableau106[],9,FALSE)</f>
        <v>ArB</v>
      </c>
      <c r="J148" s="18">
        <v>4656</v>
      </c>
      <c r="K148" s="120">
        <f>VLOOKUP(Tableau2546[[#This Row],[CODE PI]],Tableau254[[CODE PI]:[TARIF]],6,FALSE)*(1+$Q$1)</f>
        <v>68.337774999999979</v>
      </c>
      <c r="L148" s="21"/>
      <c r="M148" s="18">
        <f>Tableau2546[[#This Row],[PROD en Mwh]]*Tableau2546[[#This Row],[TARIF]]</f>
        <v>318180.6803999999</v>
      </c>
      <c r="N148" s="18"/>
    </row>
    <row r="149" spans="1:14">
      <c r="A149" s="299" t="s">
        <v>592</v>
      </c>
      <c r="B149" s="294" t="str">
        <f>VLOOKUP(Tableau2546[[#This Row],[CA O&amp;M s/parc
BN 2024]],Tableau106[],3,FALSE)</f>
        <v>A257</v>
      </c>
      <c r="C149" s="294" t="str">
        <f>VLOOKUP(Tableau2546[[#This Row],[CA O&amp;M s/parc
BN 2024]],Tableau106[],2,FALSE)</f>
        <v>FR01S03E</v>
      </c>
      <c r="D149" s="300" t="str">
        <f>VLOOKUP(Tableau2546[[#This Row],[CA O&amp;M s/parc
BN 2024]],Tableau106[],8,FALSE)</f>
        <v>SOLAIRE</v>
      </c>
      <c r="E149" s="295">
        <f>VLOOKUP(Tableau2546[[#This Row],[CA O&amp;M s/parc
BN 2024]],Tableau106[],4,FALSE)</f>
        <v>3.6</v>
      </c>
      <c r="F149" s="297" t="str">
        <f>VLOOKUP(Tableau2546[[#This Row],[CA O&amp;M s/parc
BN 2024]],Tableau106[],5,FALSE)</f>
        <v>SAMO</v>
      </c>
      <c r="G149" s="294" t="str">
        <f>VLOOKUP(Tableau2546[[#This Row],[CA O&amp;M s/parc
BN 2024]],Tableau106[],7,FALSE)</f>
        <v>GROUPE</v>
      </c>
      <c r="H149" s="294" t="str">
        <f>VLOOKUP(Tableau2546[[#This Row],[CA O&amp;M s/parc
BN 2024]],Tableau106[],6,FALSE)</f>
        <v>S</v>
      </c>
      <c r="I149" s="294" t="str">
        <f>VLOOKUP(Tableau2546[[#This Row],[CA O&amp;M s/parc
BN 2024]],Tableau106[],9,FALSE)</f>
        <v>ArB</v>
      </c>
      <c r="J149" s="18">
        <v>3581</v>
      </c>
      <c r="K149" s="120">
        <f>VLOOKUP(Tableau2546[[#This Row],[CODE PI]],Tableau254[[CODE PI]:[TARIF]],6,FALSE)*(1+$Q$1)</f>
        <v>72.498249999999999</v>
      </c>
      <c r="L149" s="21"/>
      <c r="M149" s="18">
        <f>Tableau2546[[#This Row],[PROD en Mwh]]*Tableau2546[[#This Row],[TARIF]]</f>
        <v>259616.23324999999</v>
      </c>
      <c r="N149" s="18"/>
    </row>
    <row r="150" spans="1:14">
      <c r="A150" s="299" t="s">
        <v>593</v>
      </c>
      <c r="B150" s="294" t="str">
        <f>VLOOKUP(Tableau2546[[#This Row],[CA O&amp;M s/parc
BN 2024]],Tableau106[],3,FALSE)</f>
        <v>A258</v>
      </c>
      <c r="C150" s="294" t="str">
        <f>VLOOKUP(Tableau2546[[#This Row],[CA O&amp;M s/parc
BN 2024]],Tableau106[],2,FALSE)</f>
        <v>FR49S01E</v>
      </c>
      <c r="D150" s="300" t="str">
        <f>VLOOKUP(Tableau2546[[#This Row],[CA O&amp;M s/parc
BN 2024]],Tableau106[],8,FALSE)</f>
        <v>SOLAIRE</v>
      </c>
      <c r="E150" s="295">
        <f>VLOOKUP(Tableau2546[[#This Row],[CA O&amp;M s/parc
BN 2024]],Tableau106[],4,FALSE)</f>
        <v>10.3</v>
      </c>
      <c r="F150" s="297" t="str">
        <f>VLOOKUP(Tableau2546[[#This Row],[CA O&amp;M s/parc
BN 2024]],Tableau106[],5,FALSE)</f>
        <v>SAUM</v>
      </c>
      <c r="G150" s="294" t="str">
        <f>VLOOKUP(Tableau2546[[#This Row],[CA O&amp;M s/parc
BN 2024]],Tableau106[],7,FALSE)</f>
        <v>GROUPE</v>
      </c>
      <c r="H150" s="294" t="str">
        <f>VLOOKUP(Tableau2546[[#This Row],[CA O&amp;M s/parc
BN 2024]],Tableau106[],6,FALSE)</f>
        <v>N</v>
      </c>
      <c r="I150" s="294" t="str">
        <f>VLOOKUP(Tableau2546[[#This Row],[CA O&amp;M s/parc
BN 2024]],Tableau106[],9,FALSE)</f>
        <v>ZaA</v>
      </c>
      <c r="J150" s="18">
        <v>11247.6</v>
      </c>
      <c r="K150" s="120">
        <f>VLOOKUP(Tableau2546[[#This Row],[CODE PI]],Tableau254[[CODE PI]:[TARIF]],6,FALSE)*(1+$Q$1)</f>
        <v>175.2177708333333</v>
      </c>
      <c r="L150" s="21"/>
      <c r="M150" s="18">
        <f>Tableau2546[[#This Row],[PROD en Mwh]]*Tableau2546[[#This Row],[TARIF]]</f>
        <v>1970779.3992249998</v>
      </c>
      <c r="N150" s="18"/>
    </row>
    <row r="151" spans="1:14">
      <c r="A151" s="299" t="s">
        <v>517</v>
      </c>
      <c r="B151" s="294" t="str">
        <f>VLOOKUP(Tableau2546[[#This Row],[CA O&amp;M s/parc
BN 2024]],Tableau106[],3,FALSE)</f>
        <v>A125</v>
      </c>
      <c r="C151" s="294" t="str">
        <f>VLOOKUP(Tableau2546[[#This Row],[CA O&amp;M s/parc
BN 2024]],Tableau106[],2,FALSE)</f>
        <v>FR81E99E</v>
      </c>
      <c r="D151" s="300" t="str">
        <f>VLOOKUP(Tableau2546[[#This Row],[CA O&amp;M s/parc
BN 2024]],Tableau106[],8,FALSE)</f>
        <v>EOLIEN</v>
      </c>
      <c r="E151" s="295">
        <f>VLOOKUP(Tableau2546[[#This Row],[CA O&amp;M s/parc
BN 2024]],Tableau106[],4,FALSE)</f>
        <v>12</v>
      </c>
      <c r="F151" s="297" t="str">
        <f>VLOOKUP(Tableau2546[[#This Row],[CA O&amp;M s/parc
BN 2024]],Tableau106[],5,FALSE)</f>
        <v>SAUV</v>
      </c>
      <c r="G151" s="294" t="str">
        <f>VLOOKUP(Tableau2546[[#This Row],[CA O&amp;M s/parc
BN 2024]],Tableau106[],7,FALSE)</f>
        <v>GROUPE</v>
      </c>
      <c r="H151" s="294" t="str">
        <f>VLOOKUP(Tableau2546[[#This Row],[CA O&amp;M s/parc
BN 2024]],Tableau106[],6,FALSE)</f>
        <v>S</v>
      </c>
      <c r="I151" s="294" t="str">
        <f>VLOOKUP(Tableau2546[[#This Row],[CA O&amp;M s/parc
BN 2024]],Tableau106[],9,FALSE)</f>
        <v>ThC</v>
      </c>
      <c r="J151" s="18">
        <v>48719.883275089946</v>
      </c>
      <c r="K151" s="120">
        <v>100</v>
      </c>
      <c r="L151" s="21">
        <v>50000</v>
      </c>
      <c r="M151" s="18">
        <f>Tableau2546[[#This Row],[PROD en Mwh]]*Tableau2546[[#This Row],[TARIF]]</f>
        <v>4871988.3275089944</v>
      </c>
      <c r="N151" s="18" t="s">
        <v>679</v>
      </c>
    </row>
    <row r="152" spans="1:14">
      <c r="A152" s="299" t="s">
        <v>462</v>
      </c>
      <c r="B152" s="294" t="str">
        <f>VLOOKUP(Tableau2546[[#This Row],[CA O&amp;M s/parc
BN 2024]],Tableau106[],3,FALSE)</f>
        <v>A080</v>
      </c>
      <c r="C152" s="294" t="str">
        <f>VLOOKUP(Tableau2546[[#This Row],[CA O&amp;M s/parc
BN 2024]],Tableau106[],2,FALSE)</f>
        <v>FR12E98E</v>
      </c>
      <c r="D152" s="300" t="str">
        <f>VLOOKUP(Tableau2546[[#This Row],[CA O&amp;M s/parc
BN 2024]],Tableau106[],8,FALSE)</f>
        <v>EOLIEN</v>
      </c>
      <c r="E152" s="295">
        <f>VLOOKUP(Tableau2546[[#This Row],[CA O&amp;M s/parc
BN 2024]],Tableau106[],4,FALSE)</f>
        <v>60</v>
      </c>
      <c r="F152" s="297" t="str">
        <f>VLOOKUP(Tableau2546[[#This Row],[CA O&amp;M s/parc
BN 2024]],Tableau106[],5,FALSE)</f>
        <v>SACU</v>
      </c>
      <c r="G152" s="294" t="str">
        <f>VLOOKUP(Tableau2546[[#This Row],[CA O&amp;M s/parc
BN 2024]],Tableau106[],7,FALSE)</f>
        <v>GROUPE</v>
      </c>
      <c r="H152" s="294" t="str">
        <f>VLOOKUP(Tableau2546[[#This Row],[CA O&amp;M s/parc
BN 2024]],Tableau106[],6,FALSE)</f>
        <v>N</v>
      </c>
      <c r="I152" s="294" t="str">
        <f>VLOOKUP(Tableau2546[[#This Row],[CA O&amp;M s/parc
BN 2024]],Tableau106[],9,FALSE)</f>
        <v>AuE</v>
      </c>
      <c r="J152" s="18">
        <v>132960.95126763891</v>
      </c>
      <c r="K152" s="120">
        <f>VLOOKUP(Tableau2546[[#This Row],[CODE PI]],Tableau254[[CODE PI]:[TARIF]],6,FALSE)*(1+$Q$1)</f>
        <v>127.82774999999998</v>
      </c>
      <c r="L152" s="21"/>
      <c r="M152" s="18">
        <f>Tableau2546[[#This Row],[PROD en Mwh]]*Tableau2546[[#This Row],[TARIF]]</f>
        <v>16996099.238401927</v>
      </c>
      <c r="N152" s="18" t="s">
        <v>490</v>
      </c>
    </row>
    <row r="153" spans="1:14">
      <c r="A153" s="299" t="s">
        <v>460</v>
      </c>
      <c r="B153" s="294" t="str">
        <f>VLOOKUP(Tableau2546[[#This Row],[CA O&amp;M s/parc
BN 2024]],Tableau106[],3,FALSE)</f>
        <v>A081</v>
      </c>
      <c r="C153" s="294" t="str">
        <f>VLOOKUP(Tableau2546[[#This Row],[CA O&amp;M s/parc
BN 2024]],Tableau106[],2,FALSE)</f>
        <v>FR12E97E</v>
      </c>
      <c r="D153" s="300" t="str">
        <f>VLOOKUP(Tableau2546[[#This Row],[CA O&amp;M s/parc
BN 2024]],Tableau106[],8,FALSE)</f>
        <v>EOLIEN</v>
      </c>
      <c r="E153" s="295">
        <f>VLOOKUP(Tableau2546[[#This Row],[CA O&amp;M s/parc
BN 2024]],Tableau106[],4,FALSE)</f>
        <v>9</v>
      </c>
      <c r="F153" s="297" t="str">
        <f>VLOOKUP(Tableau2546[[#This Row],[CA O&amp;M s/parc
BN 2024]],Tableau106[],5,FALSE)</f>
        <v>SAPN</v>
      </c>
      <c r="G153" s="294" t="str">
        <f>VLOOKUP(Tableau2546[[#This Row],[CA O&amp;M s/parc
BN 2024]],Tableau106[],7,FALSE)</f>
        <v>GROUPE</v>
      </c>
      <c r="H153" s="294" t="str">
        <f>VLOOKUP(Tableau2546[[#This Row],[CA O&amp;M s/parc
BN 2024]],Tableau106[],6,FALSE)</f>
        <v>N</v>
      </c>
      <c r="I153" s="294" t="str">
        <f>VLOOKUP(Tableau2546[[#This Row],[CA O&amp;M s/parc
BN 2024]],Tableau106[],9,FALSE)</f>
        <v>AuE</v>
      </c>
      <c r="J153" s="18">
        <v>18411.943993858964</v>
      </c>
      <c r="K153" s="120">
        <f>VLOOKUP(Tableau2546[[#This Row],[CODE PI]],Tableau254[[CODE PI]:[TARIF]],6,FALSE)*(1+$Q$1)</f>
        <v>127.82774999999998</v>
      </c>
      <c r="L153" s="21"/>
      <c r="M153" s="18">
        <f>Tableau2546[[#This Row],[PROD en Mwh]]*Tableau2546[[#This Row],[TARIF]]</f>
        <v>2353557.3738610046</v>
      </c>
      <c r="N153" s="18" t="s">
        <v>490</v>
      </c>
    </row>
    <row r="154" spans="1:14">
      <c r="A154" s="299" t="s">
        <v>339</v>
      </c>
      <c r="B154" s="294" t="str">
        <f>VLOOKUP(Tableau2546[[#This Row],[CA O&amp;M s/parc
BN 2024]],Tableau106[],3,FALSE)</f>
        <v>F033</v>
      </c>
      <c r="C154" s="294" t="str">
        <f>VLOOKUP(Tableau2546[[#This Row],[CA O&amp;M s/parc
BN 2024]],Tableau106[],2,FALSE)</f>
        <v>FR56E10E</v>
      </c>
      <c r="D154" s="300" t="str">
        <f>VLOOKUP(Tableau2546[[#This Row],[CA O&amp;M s/parc
BN 2024]],Tableau106[],8,FALSE)</f>
        <v>EOLIEN</v>
      </c>
      <c r="E154" s="295">
        <f>VLOOKUP(Tableau2546[[#This Row],[CA O&amp;M s/parc
BN 2024]],Tableau106[],4,FALSE)</f>
        <v>9</v>
      </c>
      <c r="F154" s="297" t="str">
        <f>VLOOKUP(Tableau2546[[#This Row],[CA O&amp;M s/parc
BN 2024]],Tableau106[],5,FALSE)</f>
        <v>SAMI</v>
      </c>
      <c r="G154" s="294" t="str">
        <f>VLOOKUP(Tableau2546[[#This Row],[CA O&amp;M s/parc
BN 2024]],Tableau106[],7,FALSE)</f>
        <v>FUTUREN</v>
      </c>
      <c r="H154" s="294" t="str">
        <f>VLOOKUP(Tableau2546[[#This Row],[CA O&amp;M s/parc
BN 2024]],Tableau106[],6,FALSE)</f>
        <v>N</v>
      </c>
      <c r="I154" s="294" t="str">
        <f>VLOOKUP(Tableau2546[[#This Row],[CA O&amp;M s/parc
BN 2024]],Tableau106[],9,FALSE)</f>
        <v>AnN</v>
      </c>
      <c r="J154" s="18">
        <v>15463.797183860761</v>
      </c>
      <c r="K154" s="120">
        <f>VLOOKUP(Tableau2546[[#This Row],[CODE PI]],Tableau254[[CODE PI]:[TARIF]],6,FALSE)*(1+$Q$1)</f>
        <v>202.19624062499997</v>
      </c>
      <c r="L154" s="21"/>
      <c r="M154" s="18">
        <f>Tableau2546[[#This Row],[PROD en Mwh]]*Tableau2546[[#This Row],[TARIF]]</f>
        <v>3126721.6563641075</v>
      </c>
      <c r="N154" s="18"/>
    </row>
    <row r="155" spans="1:14">
      <c r="A155" s="299" t="s">
        <v>342</v>
      </c>
      <c r="B155" s="294" t="str">
        <f>VLOOKUP(Tableau2546[[#This Row],[CA O&amp;M s/parc
BN 2024]],Tableau106[],3,FALSE)</f>
        <v>A540</v>
      </c>
      <c r="C155" s="294" t="str">
        <f>VLOOKUP(Tableau2546[[#This Row],[CA O&amp;M s/parc
BN 2024]],Tableau106[],2,FALSE)</f>
        <v>FR02E05E</v>
      </c>
      <c r="D155" s="300" t="str">
        <f>VLOOKUP(Tableau2546[[#This Row],[CA O&amp;M s/parc
BN 2024]],Tableau106[],8,FALSE)</f>
        <v>EOLIEN</v>
      </c>
      <c r="E155" s="295">
        <f>VLOOKUP(Tableau2546[[#This Row],[CA O&amp;M s/parc
BN 2024]],Tableau106[],4,FALSE)</f>
        <v>8</v>
      </c>
      <c r="F155" s="297" t="str">
        <f>VLOOKUP(Tableau2546[[#This Row],[CA O&amp;M s/parc
BN 2024]],Tableau106[],5,FALSE)</f>
        <v>SERY</v>
      </c>
      <c r="G155" s="294" t="str">
        <f>VLOOKUP(Tableau2546[[#This Row],[CA O&amp;M s/parc
BN 2024]],Tableau106[],7,FALSE)</f>
        <v>EGM</v>
      </c>
      <c r="H155" s="294" t="str">
        <f>VLOOKUP(Tableau2546[[#This Row],[CA O&amp;M s/parc
BN 2024]],Tableau106[],6,FALSE)</f>
        <v>N</v>
      </c>
      <c r="I155" s="294" t="str">
        <f>VLOOKUP(Tableau2546[[#This Row],[CA O&amp;M s/parc
BN 2024]],Tableau106[],9,FALSE)</f>
        <v>NoS</v>
      </c>
      <c r="J155" s="18">
        <v>16519.388163588959</v>
      </c>
      <c r="K155" s="120">
        <f>VLOOKUP(Tableau2546[[#This Row],[CODE PI]],Tableau254[[CODE PI]:[TARIF]],6,FALSE)*(1+$Q$1)</f>
        <v>172.38078437499999</v>
      </c>
      <c r="L155" s="21"/>
      <c r="M155" s="18">
        <f>Tableau2546[[#This Row],[PROD en Mwh]]*Tableau2546[[#This Row],[TARIF]]</f>
        <v>2847625.0890345555</v>
      </c>
      <c r="N155" s="18"/>
    </row>
    <row r="156" spans="1:14">
      <c r="A156" s="299" t="s">
        <v>535</v>
      </c>
      <c r="B156" s="294" t="str">
        <f>VLOOKUP(Tableau2546[[#This Row],[CA O&amp;M s/parc
BN 2024]],Tableau106[],3,FALSE)</f>
        <v>A553</v>
      </c>
      <c r="C156" s="294" t="str">
        <f>VLOOKUP(Tableau2546[[#This Row],[CA O&amp;M s/parc
BN 2024]],Tableau106[],2,FALSE)</f>
        <v>FR62E02E</v>
      </c>
      <c r="D156" s="300" t="str">
        <f>VLOOKUP(Tableau2546[[#This Row],[CA O&amp;M s/parc
BN 2024]],Tableau106[],8,FALSE)</f>
        <v>EOLIEN</v>
      </c>
      <c r="E156" s="295">
        <f>VLOOKUP(Tableau2546[[#This Row],[CA O&amp;M s/parc
BN 2024]],Tableau106[],4,FALSE)</f>
        <v>15</v>
      </c>
      <c r="F156" s="297" t="str">
        <f>VLOOKUP(Tableau2546[[#This Row],[CA O&amp;M s/parc
BN 2024]],Tableau106[],5,FALSE)</f>
        <v>SBAP</v>
      </c>
      <c r="G156" s="294" t="str">
        <f>VLOOKUP(Tableau2546[[#This Row],[CA O&amp;M s/parc
BN 2024]],Tableau106[],7,FALSE)</f>
        <v>ENDF</v>
      </c>
      <c r="H156" s="294" t="str">
        <f>VLOOKUP(Tableau2546[[#This Row],[CA O&amp;M s/parc
BN 2024]],Tableau106[],6,FALSE)</f>
        <v>N</v>
      </c>
      <c r="I156" s="294" t="str">
        <f>VLOOKUP(Tableau2546[[#This Row],[CA O&amp;M s/parc
BN 2024]],Tableau106[],9,FALSE)</f>
        <v>NiD</v>
      </c>
      <c r="J156" s="18">
        <v>41188.9</v>
      </c>
      <c r="K156" s="120">
        <f>VLOOKUP(Tableau2546[[#This Row],[CODE PI]],Tableau254[[CODE PI]:[TARIF]],6,FALSE)*(1+$Q$1)</f>
        <v>98.165274999999994</v>
      </c>
      <c r="L156" s="21"/>
      <c r="M156" s="18">
        <f>Tableau2546[[#This Row],[PROD en Mwh]]*Tableau2546[[#This Row],[TARIF]]</f>
        <v>4043319.6954474999</v>
      </c>
      <c r="N156" s="18"/>
    </row>
    <row r="157" spans="1:14">
      <c r="A157" s="299" t="s">
        <v>600</v>
      </c>
      <c r="B157" s="294" t="str">
        <f>VLOOKUP(Tableau2546[[#This Row],[CA O&amp;M s/parc
BN 2024]],Tableau106[],3,FALSE)</f>
        <v>A065</v>
      </c>
      <c r="C157" s="294" t="str">
        <f>VLOOKUP(Tableau2546[[#This Row],[CA O&amp;M s/parc
BN 2024]],Tableau106[],2,FALSE)</f>
        <v>FR97S90E</v>
      </c>
      <c r="D157" s="300" t="str">
        <f>VLOOKUP(Tableau2546[[#This Row],[CA O&amp;M s/parc
BN 2024]],Tableau106[],8,FALSE)</f>
        <v>SOLAIRE DOM</v>
      </c>
      <c r="E157" s="295">
        <f>VLOOKUP(Tableau2546[[#This Row],[CA O&amp;M s/parc
BN 2024]],Tableau106[],4,FALSE)</f>
        <v>1.2569999999999999</v>
      </c>
      <c r="F157" s="297" t="str">
        <f>VLOOKUP(Tableau2546[[#This Row],[CA O&amp;M s/parc
BN 2024]],Tableau106[],5,FALSE)</f>
        <v>SIOU</v>
      </c>
      <c r="G157" s="294" t="str">
        <f>VLOOKUP(Tableau2546[[#This Row],[CA O&amp;M s/parc
BN 2024]],Tableau106[],7,FALSE)</f>
        <v>GROUPE</v>
      </c>
      <c r="H157" s="294" t="str">
        <f>VLOOKUP(Tableau2546[[#This Row],[CA O&amp;M s/parc
BN 2024]],Tableau106[],6,FALSE)</f>
        <v>DOM</v>
      </c>
      <c r="I157" s="294" t="str">
        <f>VLOOKUP(Tableau2546[[#This Row],[CA O&amp;M s/parc
BN 2024]],Tableau106[],9,FALSE)</f>
        <v>DoJ</v>
      </c>
      <c r="J157" s="18">
        <v>1608.2019589818951</v>
      </c>
      <c r="K157" s="120">
        <f>VLOOKUP(Tableau2546[[#This Row],[CODE PI]],Tableau254[[CODE PI]:[TARIF]],6,FALSE)*(1+$Q$1)</f>
        <v>526.62552499999993</v>
      </c>
      <c r="L157" s="21"/>
      <c r="M157" s="18">
        <f>Tableau2546[[#This Row],[PROD en Mwh]]*Tableau2546[[#This Row],[TARIF]]</f>
        <v>846920.20095486892</v>
      </c>
      <c r="N157" s="18"/>
    </row>
    <row r="158" spans="1:14">
      <c r="A158" s="299" t="s">
        <v>349</v>
      </c>
      <c r="B158" s="294" t="str">
        <f>VLOOKUP(Tableau2546[[#This Row],[CA O&amp;M s/parc
BN 2024]],Tableau106[],3,FALSE)</f>
        <v>F099</v>
      </c>
      <c r="C158" s="294" t="str">
        <f>VLOOKUP(Tableau2546[[#This Row],[CA O&amp;M s/parc
BN 2024]],Tableau106[],2,FALSE)</f>
        <v>FR12E93E</v>
      </c>
      <c r="D158" s="300" t="str">
        <f>VLOOKUP(Tableau2546[[#This Row],[CA O&amp;M s/parc
BN 2024]],Tableau106[],8,FALSE)</f>
        <v>EOLIEN</v>
      </c>
      <c r="E158" s="295">
        <f>VLOOKUP(Tableau2546[[#This Row],[CA O&amp;M s/parc
BN 2024]],Tableau106[],4,FALSE)</f>
        <v>13.8</v>
      </c>
      <c r="F158" s="297" t="str">
        <f>VLOOKUP(Tableau2546[[#This Row],[CA O&amp;M s/parc
BN 2024]],Tableau106[],5,FALSE)</f>
        <v>FAYD</v>
      </c>
      <c r="G158" s="294" t="str">
        <f>VLOOKUP(Tableau2546[[#This Row],[CA O&amp;M s/parc
BN 2024]],Tableau106[],7,FALSE)</f>
        <v>FUTUREN</v>
      </c>
      <c r="H158" s="294" t="str">
        <f>VLOOKUP(Tableau2546[[#This Row],[CA O&amp;M s/parc
BN 2024]],Tableau106[],6,FALSE)</f>
        <v>S</v>
      </c>
      <c r="I158" s="294" t="str">
        <f>VLOOKUP(Tableau2546[[#This Row],[CA O&amp;M s/parc
BN 2024]],Tableau106[],9,FALSE)</f>
        <v>OdP</v>
      </c>
      <c r="J158" s="18">
        <v>24997.746212728965</v>
      </c>
      <c r="K158" s="120">
        <f>VLOOKUP(Tableau2546[[#This Row],[CODE PI]],Tableau254[[CODE PI]:[TARIF]],6,FALSE)*(1+$Q$1)</f>
        <v>93.050524999999979</v>
      </c>
      <c r="L158" s="21"/>
      <c r="M158" s="18">
        <f>Tableau2546[[#This Row],[PROD en Mwh]]*Tableau2546[[#This Row],[TARIF]]</f>
        <v>2326053.4089111914</v>
      </c>
      <c r="N158" s="18" t="s">
        <v>672</v>
      </c>
    </row>
    <row r="159" spans="1:14">
      <c r="A159" s="299" t="s">
        <v>603</v>
      </c>
      <c r="B159" s="294" t="str">
        <f>VLOOKUP(Tableau2546[[#This Row],[CA O&amp;M s/parc
BN 2024]],Tableau106[],3,FALSE)</f>
        <v>A295</v>
      </c>
      <c r="C159" s="294" t="str">
        <f>VLOOKUP(Tableau2546[[#This Row],[CA O&amp;M s/parc
BN 2024]],Tableau106[],2,FALSE)</f>
        <v>FR18S01E</v>
      </c>
      <c r="D159" s="300" t="str">
        <f>VLOOKUP(Tableau2546[[#This Row],[CA O&amp;M s/parc
BN 2024]],Tableau106[],8,FALSE)</f>
        <v>SOLAIRE</v>
      </c>
      <c r="E159" s="295">
        <f>VLOOKUP(Tableau2546[[#This Row],[CA O&amp;M s/parc
BN 2024]],Tableau106[],4,FALSE)</f>
        <v>5</v>
      </c>
      <c r="F159" s="297" t="str">
        <f>VLOOKUP(Tableau2546[[#This Row],[CA O&amp;M s/parc
BN 2024]],Tableau106[],5,FALSE)</f>
        <v>SAMM</v>
      </c>
      <c r="G159" s="294" t="str">
        <f>VLOOKUP(Tableau2546[[#This Row],[CA O&amp;M s/parc
BN 2024]],Tableau106[],7,FALSE)</f>
        <v>GROUPE</v>
      </c>
      <c r="H159" s="294" t="str">
        <f>VLOOKUP(Tableau2546[[#This Row],[CA O&amp;M s/parc
BN 2024]],Tableau106[],6,FALSE)</f>
        <v>N</v>
      </c>
      <c r="I159" s="294" t="str">
        <f>VLOOKUP(Tableau2546[[#This Row],[CA O&amp;M s/parc
BN 2024]],Tableau106[],9,FALSE)</f>
        <v>ArB</v>
      </c>
      <c r="J159" s="18">
        <v>5380</v>
      </c>
      <c r="K159" s="120">
        <f>VLOOKUP(Tableau2546[[#This Row],[CODE PI]],Tableau254[[CODE PI]:[TARIF]],6,FALSE)*(1+$Q$1)</f>
        <v>175.2177708333333</v>
      </c>
      <c r="L159" s="21"/>
      <c r="M159" s="18">
        <f>Tableau2546[[#This Row],[PROD en Mwh]]*Tableau2546[[#This Row],[TARIF]]</f>
        <v>942671.60708333319</v>
      </c>
      <c r="N159" s="18"/>
    </row>
    <row r="160" spans="1:14">
      <c r="A160" s="299" t="s">
        <v>605</v>
      </c>
      <c r="B160" s="294" t="str">
        <f>VLOOKUP(Tableau2546[[#This Row],[CA O&amp;M s/parc
BN 2024]],Tableau106[],3,FALSE)</f>
        <v>A257</v>
      </c>
      <c r="C160" s="294" t="str">
        <f>VLOOKUP(Tableau2546[[#This Row],[CA O&amp;M s/parc
BN 2024]],Tableau106[],2,FALSE)</f>
        <v>FR01S07E</v>
      </c>
      <c r="D160" s="300" t="str">
        <f>VLOOKUP(Tableau2546[[#This Row],[CA O&amp;M s/parc
BN 2024]],Tableau106[],8,FALSE)</f>
        <v>SOLAIRE</v>
      </c>
      <c r="E160" s="295">
        <f>VLOOKUP(Tableau2546[[#This Row],[CA O&amp;M s/parc
BN 2024]],Tableau106[],4,FALSE)</f>
        <v>2.7</v>
      </c>
      <c r="F160" s="297" t="str">
        <f>VLOOKUP(Tableau2546[[#This Row],[CA O&amp;M s/parc
BN 2024]],Tableau106[],5,FALSE)</f>
        <v>SJLV</v>
      </c>
      <c r="G160" s="294" t="str">
        <f>VLOOKUP(Tableau2546[[#This Row],[CA O&amp;M s/parc
BN 2024]],Tableau106[],7,FALSE)</f>
        <v>GROUPE</v>
      </c>
      <c r="H160" s="294" t="str">
        <f>VLOOKUP(Tableau2546[[#This Row],[CA O&amp;M s/parc
BN 2024]],Tableau106[],6,FALSE)</f>
        <v>S</v>
      </c>
      <c r="I160" s="294" t="str">
        <f>VLOOKUP(Tableau2546[[#This Row],[CA O&amp;M s/parc
BN 2024]],Tableau106[],9,FALSE)</f>
        <v>ArB</v>
      </c>
      <c r="J160" s="18">
        <v>2926</v>
      </c>
      <c r="K160" s="120">
        <f>VLOOKUP(Tableau2546[[#This Row],[CODE PI]],Tableau254[[CODE PI]:[TARIF]],6,FALSE)*(1+$Q$1)</f>
        <v>175.08879166666662</v>
      </c>
      <c r="L160" s="21"/>
      <c r="M160" s="18">
        <f>Tableau2546[[#This Row],[PROD en Mwh]]*Tableau2546[[#This Row],[TARIF]]</f>
        <v>512309.80441666656</v>
      </c>
      <c r="N160" s="18"/>
    </row>
    <row r="161" spans="1:14">
      <c r="A161" s="299" t="s">
        <v>528</v>
      </c>
      <c r="B161" s="294" t="str">
        <f>VLOOKUP(Tableau2546[[#This Row],[CA O&amp;M s/parc
BN 2024]],Tableau106[],3,FALSE)</f>
        <v>A894</v>
      </c>
      <c r="C161" s="294" t="str">
        <f>VLOOKUP(Tableau2546[[#This Row],[CA O&amp;M s/parc
BN 2024]],Tableau106[],2,FALSE)</f>
        <v>FR14E99E</v>
      </c>
      <c r="D161" s="300" t="str">
        <f>VLOOKUP(Tableau2546[[#This Row],[CA O&amp;M s/parc
BN 2024]],Tableau106[],8,FALSE)</f>
        <v>EOLIEN</v>
      </c>
      <c r="E161" s="295">
        <f>VLOOKUP(Tableau2546[[#This Row],[CA O&amp;M s/parc
BN 2024]],Tableau106[],4,FALSE)</f>
        <v>6</v>
      </c>
      <c r="F161" s="297" t="str">
        <f>VLOOKUP(Tableau2546[[#This Row],[CA O&amp;M s/parc
BN 2024]],Tableau106[],5,FALSE)</f>
        <v>STMB</v>
      </c>
      <c r="G161" s="294" t="str">
        <f>VLOOKUP(Tableau2546[[#This Row],[CA O&amp;M s/parc
BN 2024]],Tableau106[],7,FALSE)</f>
        <v>GROUPE</v>
      </c>
      <c r="H161" s="294" t="str">
        <f>VLOOKUP(Tableau2546[[#This Row],[CA O&amp;M s/parc
BN 2024]],Tableau106[],6,FALSE)</f>
        <v>N</v>
      </c>
      <c r="I161" s="294" t="str">
        <f>VLOOKUP(Tableau2546[[#This Row],[CA O&amp;M s/parc
BN 2024]],Tableau106[],9,FALSE)</f>
        <v>AnN</v>
      </c>
      <c r="J161" s="18">
        <v>9285.768132262001</v>
      </c>
      <c r="K161" s="120">
        <v>45</v>
      </c>
      <c r="L161" s="21"/>
      <c r="M161" s="18">
        <f>Tableau2546[[#This Row],[PROD en Mwh]]*Tableau2546[[#This Row],[TARIF]]</f>
        <v>417859.56595179002</v>
      </c>
      <c r="N161" s="18"/>
    </row>
    <row r="162" spans="1:14">
      <c r="A162" s="299" t="s">
        <v>131</v>
      </c>
      <c r="B162" s="294" t="str">
        <f>VLOOKUP(Tableau2546[[#This Row],[CA O&amp;M s/parc
BN 2024]],Tableau106[],3,FALSE)</f>
        <v>A257</v>
      </c>
      <c r="C162" s="294" t="str">
        <f>VLOOKUP(Tableau2546[[#This Row],[CA O&amp;M s/parc
BN 2024]],Tableau106[],2,FALSE)</f>
        <v>FR11S07E</v>
      </c>
      <c r="D162" s="300" t="str">
        <f>VLOOKUP(Tableau2546[[#This Row],[CA O&amp;M s/parc
BN 2024]],Tableau106[],8,FALSE)</f>
        <v>SOLAIRE</v>
      </c>
      <c r="E162" s="295">
        <f>VLOOKUP(Tableau2546[[#This Row],[CA O&amp;M s/parc
BN 2024]],Tableau106[],4,FALSE)</f>
        <v>5</v>
      </c>
      <c r="F162" s="297" t="str">
        <f>VLOOKUP(Tableau2546[[#This Row],[CA O&amp;M s/parc
BN 2024]],Tableau106[],5,FALSE)</f>
        <v>FEND</v>
      </c>
      <c r="G162" s="294" t="str">
        <f>VLOOKUP(Tableau2546[[#This Row],[CA O&amp;M s/parc
BN 2024]],Tableau106[],7,FALSE)</f>
        <v>GROUPE</v>
      </c>
      <c r="H162" s="294" t="str">
        <f>VLOOKUP(Tableau2546[[#This Row],[CA O&amp;M s/parc
BN 2024]],Tableau106[],6,FALSE)</f>
        <v>S</v>
      </c>
      <c r="I162" s="294" t="str">
        <f>VLOOKUP(Tableau2546[[#This Row],[CA O&amp;M s/parc
BN 2024]],Tableau106[],9,FALSE)</f>
        <v>BaA</v>
      </c>
      <c r="J162" s="18">
        <v>5420</v>
      </c>
      <c r="K162" s="120">
        <f>VLOOKUP(Tableau2546[[#This Row],[CODE PI]],Tableau254[[CODE PI]:[TARIF]],6,FALSE)*(1+$Q$1)</f>
        <v>74.599499999999992</v>
      </c>
      <c r="L162" s="21"/>
      <c r="M162" s="18">
        <f>Tableau2546[[#This Row],[PROD en Mwh]]*Tableau2546[[#This Row],[TARIF]]</f>
        <v>404329.29</v>
      </c>
      <c r="N162" s="18"/>
    </row>
    <row r="163" spans="1:14">
      <c r="A163" s="299" t="s">
        <v>608</v>
      </c>
      <c r="B163" s="294" t="str">
        <f>VLOOKUP(Tableau2546[[#This Row],[CA O&amp;M s/parc
BN 2024]],Tableau106[],3,FALSE)</f>
        <v>A257</v>
      </c>
      <c r="C163" s="294" t="str">
        <f>VLOOKUP(Tableau2546[[#This Row],[CA O&amp;M s/parc
BN 2024]],Tableau106[],2,FALSE)</f>
        <v>FR69S05E</v>
      </c>
      <c r="D163" s="300" t="str">
        <f>VLOOKUP(Tableau2546[[#This Row],[CA O&amp;M s/parc
BN 2024]],Tableau106[],8,FALSE)</f>
        <v>SOLAIRE</v>
      </c>
      <c r="E163" s="295">
        <f>VLOOKUP(Tableau2546[[#This Row],[CA O&amp;M s/parc
BN 2024]],Tableau106[],4,FALSE)</f>
        <v>5</v>
      </c>
      <c r="F163" s="297" t="str">
        <f>VLOOKUP(Tableau2546[[#This Row],[CA O&amp;M s/parc
BN 2024]],Tableau106[],5,FALSE)</f>
        <v>SREG</v>
      </c>
      <c r="G163" s="294" t="str">
        <f>VLOOKUP(Tableau2546[[#This Row],[CA O&amp;M s/parc
BN 2024]],Tableau106[],7,FALSE)</f>
        <v>GROUPE</v>
      </c>
      <c r="H163" s="294" t="str">
        <f>VLOOKUP(Tableau2546[[#This Row],[CA O&amp;M s/parc
BN 2024]],Tableau106[],6,FALSE)</f>
        <v>S</v>
      </c>
      <c r="I163" s="294" t="str">
        <f>VLOOKUP(Tableau2546[[#This Row],[CA O&amp;M s/parc
BN 2024]],Tableau106[],9,FALSE)</f>
        <v>ArB</v>
      </c>
      <c r="J163" s="18">
        <v>5645</v>
      </c>
      <c r="K163" s="120">
        <f>VLOOKUP(Tableau2546[[#This Row],[CODE PI]],Tableau254[[CODE PI]:[TARIF]],6,FALSE)*(1+$Q$1)</f>
        <v>175.2177708333333</v>
      </c>
      <c r="L163" s="21"/>
      <c r="M163" s="18">
        <f>Tableau2546[[#This Row],[PROD en Mwh]]*Tableau2546[[#This Row],[TARIF]]</f>
        <v>989104.31635416648</v>
      </c>
      <c r="N163" s="18"/>
    </row>
    <row r="164" spans="1:14">
      <c r="A164" s="299" t="s">
        <v>610</v>
      </c>
      <c r="B164" s="294" t="str">
        <f>VLOOKUP(Tableau2546[[#This Row],[CA O&amp;M s/parc
BN 2024]],Tableau106[],3,FALSE)</f>
        <v>A295</v>
      </c>
      <c r="C164" s="294" t="str">
        <f>VLOOKUP(Tableau2546[[#This Row],[CA O&amp;M s/parc
BN 2024]],Tableau106[],2,FALSE)</f>
        <v>FR01S05E</v>
      </c>
      <c r="D164" s="300" t="str">
        <f>VLOOKUP(Tableau2546[[#This Row],[CA O&amp;M s/parc
BN 2024]],Tableau106[],8,FALSE)</f>
        <v>SOLAIRE</v>
      </c>
      <c r="E164" s="295">
        <f>VLOOKUP(Tableau2546[[#This Row],[CA O&amp;M s/parc
BN 2024]],Tableau106[],4,FALSE)</f>
        <v>2.7</v>
      </c>
      <c r="F164" s="297" t="str">
        <f>VLOOKUP(Tableau2546[[#This Row],[CA O&amp;M s/parc
BN 2024]],Tableau106[],5,FALSE)</f>
        <v>STJU</v>
      </c>
      <c r="G164" s="294" t="str">
        <f>VLOOKUP(Tableau2546[[#This Row],[CA O&amp;M s/parc
BN 2024]],Tableau106[],7,FALSE)</f>
        <v>GROUPE</v>
      </c>
      <c r="H164" s="294" t="str">
        <f>VLOOKUP(Tableau2546[[#This Row],[CA O&amp;M s/parc
BN 2024]],Tableau106[],6,FALSE)</f>
        <v>S</v>
      </c>
      <c r="I164" s="294" t="str">
        <f>VLOOKUP(Tableau2546[[#This Row],[CA O&amp;M s/parc
BN 2024]],Tableau106[],9,FALSE)</f>
        <v>ArB</v>
      </c>
      <c r="J164" s="18">
        <v>3024</v>
      </c>
      <c r="K164" s="120">
        <f>VLOOKUP(Tableau2546[[#This Row],[CODE PI]],Tableau254[[CODE PI]:[TARIF]],6,FALSE)*(1+$Q$1)</f>
        <v>175.2177708333333</v>
      </c>
      <c r="L164" s="21"/>
      <c r="M164" s="18">
        <f>Tableau2546[[#This Row],[PROD en Mwh]]*Tableau2546[[#This Row],[TARIF]]</f>
        <v>529858.53899999987</v>
      </c>
      <c r="N164" s="18"/>
    </row>
    <row r="165" spans="1:14">
      <c r="A165" s="299" t="s">
        <v>611</v>
      </c>
      <c r="B165" s="294" t="str">
        <f>VLOOKUP(Tableau2546[[#This Row],[CA O&amp;M s/parc
BN 2024]],Tableau106[],3,FALSE)</f>
        <v>A307</v>
      </c>
      <c r="C165" s="294" t="str">
        <f>VLOOKUP(Tableau2546[[#This Row],[CA O&amp;M s/parc
BN 2024]],Tableau106[],2,FALSE)</f>
        <v>FR04S07E</v>
      </c>
      <c r="D165" s="300" t="str">
        <f>VLOOKUP(Tableau2546[[#This Row],[CA O&amp;M s/parc
BN 2024]],Tableau106[],8,FALSE)</f>
        <v>SOLAIRE</v>
      </c>
      <c r="E165" s="295">
        <f>VLOOKUP(Tableau2546[[#This Row],[CA O&amp;M s/parc
BN 2024]],Tableau106[],4,FALSE)</f>
        <v>2.8</v>
      </c>
      <c r="F165" s="297" t="str">
        <f>VLOOKUP(Tableau2546[[#This Row],[CA O&amp;M s/parc
BN 2024]],Tableau106[],5,FALSE)</f>
        <v>STLM</v>
      </c>
      <c r="G165" s="294" t="str">
        <f>VLOOKUP(Tableau2546[[#This Row],[CA O&amp;M s/parc
BN 2024]],Tableau106[],7,FALSE)</f>
        <v>GROUPE</v>
      </c>
      <c r="H165" s="294" t="str">
        <f>VLOOKUP(Tableau2546[[#This Row],[CA O&amp;M s/parc
BN 2024]],Tableau106[],6,FALSE)</f>
        <v>S</v>
      </c>
      <c r="I165" s="294" t="str">
        <f>VLOOKUP(Tableau2546[[#This Row],[CA O&amp;M s/parc
BN 2024]],Tableau106[],9,FALSE)</f>
        <v>BaA</v>
      </c>
      <c r="J165" s="18">
        <v>3800</v>
      </c>
      <c r="K165" s="120">
        <f>VLOOKUP(Tableau2546[[#This Row],[CODE PI]],Tableau254[[CODE PI]:[TARIF]],6,FALSE)*(1+$Q$1)</f>
        <v>175.08879166666662</v>
      </c>
      <c r="L165" s="21"/>
      <c r="M165" s="18">
        <f>Tableau2546[[#This Row],[PROD en Mwh]]*Tableau2546[[#This Row],[TARIF]]</f>
        <v>665337.40833333321</v>
      </c>
      <c r="N165" s="18"/>
    </row>
    <row r="166" spans="1:14">
      <c r="A166" s="299" t="s">
        <v>557</v>
      </c>
      <c r="B166" s="294" t="str">
        <f>VLOOKUP(Tableau2546[[#This Row],[CA O&amp;M s/parc
BN 2024]],Tableau106[],3,FALSE)</f>
        <v>A541</v>
      </c>
      <c r="C166" s="294" t="str">
        <f>VLOOKUP(Tableau2546[[#This Row],[CA O&amp;M s/parc
BN 2024]],Tableau106[],2,FALSE)</f>
        <v>FR55E08E</v>
      </c>
      <c r="D166" s="300" t="str">
        <f>VLOOKUP(Tableau2546[[#This Row],[CA O&amp;M s/parc
BN 2024]],Tableau106[],8,FALSE)</f>
        <v>EOLIEN</v>
      </c>
      <c r="E166" s="295">
        <f>VLOOKUP(Tableau2546[[#This Row],[CA O&amp;M s/parc
BN 2024]],Tableau106[],4,FALSE)</f>
        <v>11.5</v>
      </c>
      <c r="F166" s="297" t="str">
        <f>VLOOKUP(Tableau2546[[#This Row],[CA O&amp;M s/parc
BN 2024]],Tableau106[],5,FALSE)</f>
        <v>STEN</v>
      </c>
      <c r="G166" s="294" t="str">
        <f>VLOOKUP(Tableau2546[[#This Row],[CA O&amp;M s/parc
BN 2024]],Tableau106[],7,FALSE)</f>
        <v>EGM</v>
      </c>
      <c r="H166" s="294" t="str">
        <f>VLOOKUP(Tableau2546[[#This Row],[CA O&amp;M s/parc
BN 2024]],Tableau106[],6,FALSE)</f>
        <v>N</v>
      </c>
      <c r="I166" s="294" t="str">
        <f>VLOOKUP(Tableau2546[[#This Row],[CA O&amp;M s/parc
BN 2024]],Tableau106[],9,FALSE)</f>
        <v>MaA</v>
      </c>
      <c r="J166" s="18">
        <v>15835</v>
      </c>
      <c r="K166" s="120">
        <f>VLOOKUP(Tableau2546[[#This Row],[CODE PI]],Tableau254[[CODE PI]:[TARIF]],6,FALSE)*(1+$Q$1)</f>
        <v>172.39244375000001</v>
      </c>
      <c r="L166" s="21"/>
      <c r="M166" s="18">
        <f>Tableau2546[[#This Row],[PROD en Mwh]]*Tableau2546[[#This Row],[TARIF]]</f>
        <v>2729834.3467812501</v>
      </c>
      <c r="N166" s="18"/>
    </row>
    <row r="167" spans="1:14">
      <c r="A167" s="299" t="s">
        <v>625</v>
      </c>
      <c r="B167" s="294" t="str">
        <f>VLOOKUP(Tableau2546[[#This Row],[CA O&amp;M s/parc
BN 2024]],Tableau106[],3,FALSE)</f>
        <v>A892</v>
      </c>
      <c r="C167" s="294" t="str">
        <f>VLOOKUP(Tableau2546[[#This Row],[CA O&amp;M s/parc
BN 2024]],Tableau106[],2,FALSE)</f>
        <v>FR02E99E</v>
      </c>
      <c r="D167" s="300" t="str">
        <f>VLOOKUP(Tableau2546[[#This Row],[CA O&amp;M s/parc
BN 2024]],Tableau106[],8,FALSE)</f>
        <v>EOLIEN</v>
      </c>
      <c r="E167" s="295">
        <f>VLOOKUP(Tableau2546[[#This Row],[CA O&amp;M s/parc
BN 2024]],Tableau106[],4,FALSE)</f>
        <v>10.119999999999999</v>
      </c>
      <c r="F167" s="297" t="str">
        <f>VLOOKUP(Tableau2546[[#This Row],[CA O&amp;M s/parc
BN 2024]],Tableau106[],5,FALSE)</f>
        <v>STSI</v>
      </c>
      <c r="G167" s="294" t="str">
        <f>VLOOKUP(Tableau2546[[#This Row],[CA O&amp;M s/parc
BN 2024]],Tableau106[],7,FALSE)</f>
        <v>GROUPE</v>
      </c>
      <c r="H167" s="294" t="str">
        <f>VLOOKUP(Tableau2546[[#This Row],[CA O&amp;M s/parc
BN 2024]],Tableau106[],6,FALSE)</f>
        <v>N</v>
      </c>
      <c r="I167" s="294" t="str">
        <f>VLOOKUP(Tableau2546[[#This Row],[CA O&amp;M s/parc
BN 2024]],Tableau106[],9,FALSE)</f>
        <v>AyB</v>
      </c>
      <c r="J167" s="18"/>
      <c r="K167" s="397"/>
      <c r="L167" s="21"/>
      <c r="M167" s="18">
        <f>Tableau2546[[#This Row],[PROD en Mwh]]*Tableau2546[[#This Row],[TARIF]]</f>
        <v>0</v>
      </c>
      <c r="N167" s="18"/>
    </row>
    <row r="168" spans="1:14">
      <c r="A168" s="299" t="s">
        <v>680</v>
      </c>
      <c r="B168" s="294" t="str">
        <f>VLOOKUP(Tableau2546[[#This Row],[CA O&amp;M s/parc
BN 2024]],Tableau106[],3,FALSE)</f>
        <v>A9892</v>
      </c>
      <c r="C168" s="294" t="str">
        <f>VLOOKUP(Tableau2546[[#This Row],[CA O&amp;M s/parc
BN 2024]],Tableau106[],2,FALSE)</f>
        <v>FR02E993</v>
      </c>
      <c r="D168" s="300" t="str">
        <f>VLOOKUP(Tableau2546[[#This Row],[CA O&amp;M s/parc
BN 2024]],Tableau106[],8,FALSE)</f>
        <v>EOLIEN</v>
      </c>
      <c r="E168" s="295">
        <f>VLOOKUP(Tableau2546[[#This Row],[CA O&amp;M s/parc
BN 2024]],Tableau106[],4,FALSE)</f>
        <v>12</v>
      </c>
      <c r="F168" s="297" t="str">
        <f>VLOOKUP(Tableau2546[[#This Row],[CA O&amp;M s/parc
BN 2024]],Tableau106[],5,FALSE)</f>
        <v>STS2</v>
      </c>
      <c r="G168" s="294" t="str">
        <f>VLOOKUP(Tableau2546[[#This Row],[CA O&amp;M s/parc
BN 2024]],Tableau106[],7,FALSE)</f>
        <v>GROUPE</v>
      </c>
      <c r="H168" s="294" t="str">
        <f>VLOOKUP(Tableau2546[[#This Row],[CA O&amp;M s/parc
BN 2024]],Tableau106[],6,FALSE)</f>
        <v>N</v>
      </c>
      <c r="I168" s="294" t="str">
        <f>VLOOKUP(Tableau2546[[#This Row],[CA O&amp;M s/parc
BN 2024]],Tableau106[],9,FALSE)</f>
        <v>AyB</v>
      </c>
      <c r="J168" s="18">
        <v>22576</v>
      </c>
      <c r="K168" s="120">
        <v>120</v>
      </c>
      <c r="L168" s="21"/>
      <c r="M168" s="18">
        <f>Tableau2546[[#This Row],[PROD en Mwh]]*Tableau2546[[#This Row],[TARIF]]</f>
        <v>2709120</v>
      </c>
      <c r="N168" s="18"/>
    </row>
    <row r="169" spans="1:14">
      <c r="A169" s="299" t="s">
        <v>613</v>
      </c>
      <c r="B169" s="294" t="str">
        <f>VLOOKUP(Tableau2546[[#This Row],[CA O&amp;M s/parc
BN 2024]],Tableau106[],3,FALSE)</f>
        <v>A313</v>
      </c>
      <c r="C169" s="294" t="str">
        <f>VLOOKUP(Tableau2546[[#This Row],[CA O&amp;M s/parc
BN 2024]],Tableau106[],2,FALSE)</f>
        <v>FR89S03E</v>
      </c>
      <c r="D169" s="300" t="str">
        <f>VLOOKUP(Tableau2546[[#This Row],[CA O&amp;M s/parc
BN 2024]],Tableau106[],8,FALSE)</f>
        <v>SOLAIRE</v>
      </c>
      <c r="E169" s="295">
        <f>VLOOKUP(Tableau2546[[#This Row],[CA O&amp;M s/parc
BN 2024]],Tableau106[],4,FALSE)</f>
        <v>10.1</v>
      </c>
      <c r="F169" s="297" t="str">
        <f>VLOOKUP(Tableau2546[[#This Row],[CA O&amp;M s/parc
BN 2024]],Tableau106[],5,FALSE)</f>
        <v>SUBL</v>
      </c>
      <c r="G169" s="294" t="str">
        <f>VLOOKUP(Tableau2546[[#This Row],[CA O&amp;M s/parc
BN 2024]],Tableau106[],7,FALSE)</f>
        <v>GROUPE</v>
      </c>
      <c r="H169" s="294" t="str">
        <f>VLOOKUP(Tableau2546[[#This Row],[CA O&amp;M s/parc
BN 2024]],Tableau106[],6,FALSE)</f>
        <v>N</v>
      </c>
      <c r="I169" s="294" t="str">
        <f>VLOOKUP(Tableau2546[[#This Row],[CA O&amp;M s/parc
BN 2024]],Tableau106[],9,FALSE)</f>
        <v>LoG</v>
      </c>
      <c r="J169" s="18">
        <v>10617.12</v>
      </c>
      <c r="K169" s="120">
        <f>VLOOKUP(Tableau2546[[#This Row],[CODE PI]],Tableau254[[CODE PI]:[TARIF]],6,FALSE)*(1+$Q$1)</f>
        <v>175.2177708333333</v>
      </c>
      <c r="L169" s="21"/>
      <c r="M169" s="18">
        <f>Tableau2546[[#This Row],[PROD en Mwh]]*Tableau2546[[#This Row],[TARIF]]</f>
        <v>1860308.0990699998</v>
      </c>
      <c r="N169" s="18"/>
    </row>
    <row r="170" spans="1:14">
      <c r="A170" s="293" t="s">
        <v>663</v>
      </c>
      <c r="B170" s="294" t="str">
        <f>VLOOKUP(Tableau2546[[#This Row],[CA O&amp;M s/parc
BN 2024]],Tableau106[],3,FALSE)</f>
        <v>A536</v>
      </c>
      <c r="C170" s="294" t="str">
        <f>VLOOKUP(Tableau2546[[#This Row],[CA O&amp;M s/parc
BN 2024]],Tableau106[],2,FALSE)</f>
        <v>FR62E04E</v>
      </c>
      <c r="D170" s="300" t="str">
        <f>VLOOKUP(Tableau2546[[#This Row],[CA O&amp;M s/parc
BN 2024]],Tableau106[],8,FALSE)</f>
        <v>EOLIEN</v>
      </c>
      <c r="E170" s="295">
        <f>VLOOKUP(Tableau2546[[#This Row],[CA O&amp;M s/parc
BN 2024]],Tableau106[],4,FALSE)</f>
        <v>21.6</v>
      </c>
      <c r="F170" s="297" t="str">
        <f>VLOOKUP(Tableau2546[[#This Row],[CA O&amp;M s/parc
BN 2024]],Tableau106[],5,FALSE)</f>
        <v>SARA</v>
      </c>
      <c r="G170" s="294" t="str">
        <f>VLOOKUP(Tableau2546[[#This Row],[CA O&amp;M s/parc
BN 2024]],Tableau106[],7,FALSE)</f>
        <v>GROUPE</v>
      </c>
      <c r="H170" s="294" t="str">
        <f>VLOOKUP(Tableau2546[[#This Row],[CA O&amp;M s/parc
BN 2024]],Tableau106[],6,FALSE)</f>
        <v>N</v>
      </c>
      <c r="I170" s="294" t="str">
        <f>VLOOKUP(Tableau2546[[#This Row],[CA O&amp;M s/parc
BN 2024]],Tableau106[],9,FALSE)</f>
        <v>NiL</v>
      </c>
      <c r="J170" s="18">
        <v>60955</v>
      </c>
      <c r="K170" s="120">
        <f>VLOOKUP(Tableau2546[[#This Row],[CODE PI]],Tableau254[[CODE PI]:[TARIF]],6,FALSE)*(1+$Q$1)</f>
        <v>175.21349999999998</v>
      </c>
      <c r="L170" s="21"/>
      <c r="M170" s="441">
        <f>Tableau2546[[#This Row],[PROD en Mwh]]*Tableau2546[[#This Row],[TARIF]]</f>
        <v>10680138.892499998</v>
      </c>
      <c r="N170" s="18"/>
    </row>
    <row r="171" spans="1:14">
      <c r="A171" s="299" t="s">
        <v>495</v>
      </c>
      <c r="B171" s="294" t="str">
        <f>VLOOKUP(Tableau2546[[#This Row],[CA O&amp;M s/parc
BN 2024]],Tableau106[],3,FALSE)</f>
        <v>A366</v>
      </c>
      <c r="C171" s="294" t="str">
        <f>VLOOKUP(Tableau2546[[#This Row],[CA O&amp;M s/parc
BN 2024]],Tableau106[],2,FALSE)</f>
        <v>FR48E96E</v>
      </c>
      <c r="D171" s="300" t="str">
        <f>VLOOKUP(Tableau2546[[#This Row],[CA O&amp;M s/parc
BN 2024]],Tableau106[],8,FALSE)</f>
        <v>EOLIEN</v>
      </c>
      <c r="E171" s="295">
        <f>VLOOKUP(Tableau2546[[#This Row],[CA O&amp;M s/parc
BN 2024]],Tableau106[],4,FALSE)</f>
        <v>27.18</v>
      </c>
      <c r="F171" s="297" t="str">
        <f>VLOOKUP(Tableau2546[[#This Row],[CA O&amp;M s/parc
BN 2024]],Tableau106[],5,FALSE)</f>
        <v>TAIL</v>
      </c>
      <c r="G171" s="294" t="str">
        <f>VLOOKUP(Tableau2546[[#This Row],[CA O&amp;M s/parc
BN 2024]],Tableau106[],7,FALSE)</f>
        <v>GROUPE</v>
      </c>
      <c r="H171" s="294" t="str">
        <f>VLOOKUP(Tableau2546[[#This Row],[CA O&amp;M s/parc
BN 2024]],Tableau106[],6,FALSE)</f>
        <v>S</v>
      </c>
      <c r="I171" s="294" t="str">
        <f>VLOOKUP(Tableau2546[[#This Row],[CA O&amp;M s/parc
BN 2024]],Tableau106[],9,FALSE)</f>
        <v>StE</v>
      </c>
      <c r="J171" s="18">
        <v>57360.987666666661</v>
      </c>
      <c r="K171" s="120">
        <f>VLOOKUP(Tableau2546[[#This Row],[CODE PI]],Tableau254[[CODE PI]:[TARIF]],6,FALSE)*(1+$Q$1)</f>
        <v>93.472824999999986</v>
      </c>
      <c r="L171" s="21">
        <v>0</v>
      </c>
      <c r="M171" s="18">
        <f>Tableau2546[[#This Row],[PROD en Mwh]]*Tableau2546[[#This Row],[TARIF]]</f>
        <v>5361693.56199349</v>
      </c>
      <c r="N171" s="18"/>
    </row>
    <row r="172" spans="1:14">
      <c r="A172" s="299" t="s">
        <v>436</v>
      </c>
      <c r="B172" s="294" t="str">
        <f>VLOOKUP(Tableau2546[[#This Row],[CA O&amp;M s/parc
BN 2024]],Tableau106[],3,FALSE)</f>
        <v>A280</v>
      </c>
      <c r="C172" s="294" t="str">
        <f>VLOOKUP(Tableau2546[[#This Row],[CA O&amp;M s/parc
BN 2024]],Tableau106[],2,FALSE)</f>
        <v>FR89E08E</v>
      </c>
      <c r="D172" s="300" t="str">
        <f>VLOOKUP(Tableau2546[[#This Row],[CA O&amp;M s/parc
BN 2024]],Tableau106[],8,FALSE)</f>
        <v>EOLIEN</v>
      </c>
      <c r="E172" s="295">
        <f>VLOOKUP(Tableau2546[[#This Row],[CA O&amp;M s/parc
BN 2024]],Tableau106[],4,FALSE)</f>
        <v>14.4</v>
      </c>
      <c r="F172" s="297" t="str">
        <f>VLOOKUP(Tableau2546[[#This Row],[CA O&amp;M s/parc
BN 2024]],Tableau106[],5,FALSE)</f>
        <v>TLGR</v>
      </c>
      <c r="G172" s="294" t="str">
        <f>VLOOKUP(Tableau2546[[#This Row],[CA O&amp;M s/parc
BN 2024]],Tableau106[],7,FALSE)</f>
        <v>GROUPE</v>
      </c>
      <c r="H172" s="294" t="str">
        <f>VLOOKUP(Tableau2546[[#This Row],[CA O&amp;M s/parc
BN 2024]],Tableau106[],6,FALSE)</f>
        <v>N</v>
      </c>
      <c r="I172" s="294" t="str">
        <f>VLOOKUP(Tableau2546[[#This Row],[CA O&amp;M s/parc
BN 2024]],Tableau106[],9,FALSE)</f>
        <v>LoH</v>
      </c>
      <c r="J172" s="18">
        <v>30020</v>
      </c>
      <c r="K172" s="120">
        <f>VLOOKUP(Tableau2546[[#This Row],[CODE PI]],Tableau254[[CODE PI]:[TARIF]],6,FALSE)*(1+$Q$1)</f>
        <v>71.742824999999982</v>
      </c>
      <c r="L172" s="21"/>
      <c r="M172" s="18">
        <f>Tableau2546[[#This Row],[PROD en Mwh]]*Tableau2546[[#This Row],[TARIF]]</f>
        <v>2153719.6064999993</v>
      </c>
      <c r="N172" s="18"/>
    </row>
    <row r="173" spans="1:14">
      <c r="A173" s="299" t="s">
        <v>665</v>
      </c>
      <c r="B173" s="294" t="str">
        <f>VLOOKUP(Tableau2546[[#This Row],[CA O&amp;M s/parc
BN 2024]],Tableau106[],3,FALSE)</f>
        <v>A060</v>
      </c>
      <c r="C173" s="294" t="str">
        <f>VLOOKUP(Tableau2546[[#This Row],[CA O&amp;M s/parc
BN 2024]],Tableau106[],2,FALSE)</f>
        <v>FR2BE01E</v>
      </c>
      <c r="D173" s="300" t="str">
        <f>VLOOKUP(Tableau2546[[#This Row],[CA O&amp;M s/parc
BN 2024]],Tableau106[],8,FALSE)</f>
        <v>EOLIEN</v>
      </c>
      <c r="E173" s="295">
        <f>VLOOKUP(Tableau2546[[#This Row],[CA O&amp;M s/parc
BN 2024]],Tableau106[],4,FALSE)</f>
        <v>11.7</v>
      </c>
      <c r="F173" s="297" t="str">
        <f>VLOOKUP(Tableau2546[[#This Row],[CA O&amp;M s/parc
BN 2024]],Tableau106[],5,FALSE)</f>
        <v>TERE</v>
      </c>
      <c r="G173" s="294" t="str">
        <f>VLOOKUP(Tableau2546[[#This Row],[CA O&amp;M s/parc
BN 2024]],Tableau106[],7,FALSE)</f>
        <v>GROUPE</v>
      </c>
      <c r="H173" s="294" t="str">
        <f>VLOOKUP(Tableau2546[[#This Row],[CA O&amp;M s/parc
BN 2024]],Tableau106[],6,FALSE)</f>
        <v>S</v>
      </c>
      <c r="I173" s="294" t="str">
        <f>VLOOKUP(Tableau2546[[#This Row],[CA O&amp;M s/parc
BN 2024]],Tableau106[],9,FALSE)</f>
        <v>SaH</v>
      </c>
      <c r="J173" s="3">
        <v>22640</v>
      </c>
      <c r="K173" s="397">
        <f>VLOOKUP(Tableau2546[[#This Row],[CODE PI]],Tableau254[[CODE PI]:[TARIF]],5,FALSE)*(1+$Q$1)</f>
        <v>0</v>
      </c>
      <c r="L173" s="21"/>
      <c r="M173" s="18">
        <f>Tableau2546[[#This Row],[PROD en Mwh]]*Tableau2546[[#This Row],[TARIF]]</f>
        <v>0</v>
      </c>
      <c r="N173" s="18"/>
    </row>
    <row r="174" spans="1:14">
      <c r="A174" s="299" t="s">
        <v>614</v>
      </c>
      <c r="B174" s="294" t="str">
        <f>VLOOKUP(Tableau2546[[#This Row],[CA O&amp;M s/parc
BN 2024]],Tableau106[],3,FALSE)</f>
        <v>A168</v>
      </c>
      <c r="C174" s="294" t="str">
        <f>VLOOKUP(Tableau2546[[#This Row],[CA O&amp;M s/parc
BN 2024]],Tableau106[],2,FALSE)</f>
        <v>FR97S89E</v>
      </c>
      <c r="D174" s="300" t="str">
        <f>VLOOKUP(Tableau2546[[#This Row],[CA O&amp;M s/parc
BN 2024]],Tableau106[],8,FALSE)</f>
        <v>SOLAIRE DOM</v>
      </c>
      <c r="E174" s="295">
        <f>VLOOKUP(Tableau2546[[#This Row],[CA O&amp;M s/parc
BN 2024]],Tableau106[],4,FALSE)</f>
        <v>4.9980000000000002</v>
      </c>
      <c r="F174" s="297" t="str">
        <f>VLOOKUP(Tableau2546[[#This Row],[CA O&amp;M s/parc
BN 2024]],Tableau106[],5,FALSE)</f>
        <v>TOUC</v>
      </c>
      <c r="G174" s="294" t="str">
        <f>VLOOKUP(Tableau2546[[#This Row],[CA O&amp;M s/parc
BN 2024]],Tableau106[],7,FALSE)</f>
        <v>GROUPE</v>
      </c>
      <c r="H174" s="294" t="str">
        <f>VLOOKUP(Tableau2546[[#This Row],[CA O&amp;M s/parc
BN 2024]],Tableau106[],6,FALSE)</f>
        <v>DOM</v>
      </c>
      <c r="I174" s="294" t="str">
        <f>VLOOKUP(Tableau2546[[#This Row],[CA O&amp;M s/parc
BN 2024]],Tableau106[],9,FALSE)</f>
        <v>DoJ</v>
      </c>
      <c r="J174" s="18">
        <v>3764</v>
      </c>
      <c r="K174" s="120">
        <f>VLOOKUP(Tableau2546[[#This Row],[CODE PI]],Tableau254[[CODE PI]:[TARIF]],6,FALSE)*(1+$Q$1)</f>
        <v>512.1412499999999</v>
      </c>
      <c r="L174" s="21"/>
      <c r="M174" s="18">
        <f>Tableau2546[[#This Row],[PROD en Mwh]]*Tableau2546[[#This Row],[TARIF]]</f>
        <v>1927699.6649999996</v>
      </c>
      <c r="N174" s="18"/>
    </row>
    <row r="175" spans="1:14">
      <c r="A175" s="299" t="s">
        <v>367</v>
      </c>
      <c r="B175" s="294" t="str">
        <f>VLOOKUP(Tableau2546[[#This Row],[CA O&amp;M s/parc
BN 2024]],Tableau106[],3,FALSE)</f>
        <v>A167</v>
      </c>
      <c r="C175" s="294" t="str">
        <f>VLOOKUP(Tableau2546[[#This Row],[CA O&amp;M s/parc
BN 2024]],Tableau106[],2,FALSE)</f>
        <v>FR973S01E</v>
      </c>
      <c r="D175" s="300" t="str">
        <f>VLOOKUP(Tableau2546[[#This Row],[CA O&amp;M s/parc
BN 2024]],Tableau106[],8,FALSE)</f>
        <v>SOLAIRE DOM</v>
      </c>
      <c r="E175" s="295">
        <f>VLOOKUP(Tableau2546[[#This Row],[CA O&amp;M s/parc
BN 2024]],Tableau106[],4,FALSE)</f>
        <v>5</v>
      </c>
      <c r="F175" s="297" t="str">
        <f>VLOOKUP(Tableau2546[[#This Row],[CA O&amp;M s/parc
BN 2024]],Tableau106[],5,FALSE)</f>
        <v>TOC2</v>
      </c>
      <c r="G175" s="294" t="str">
        <f>VLOOKUP(Tableau2546[[#This Row],[CA O&amp;M s/parc
BN 2024]],Tableau106[],7,FALSE)</f>
        <v>GROUPE</v>
      </c>
      <c r="H175" s="294" t="str">
        <f>VLOOKUP(Tableau2546[[#This Row],[CA O&amp;M s/parc
BN 2024]],Tableau106[],6,FALSE)</f>
        <v>DOM</v>
      </c>
      <c r="I175" s="294" t="str">
        <f>VLOOKUP(Tableau2546[[#This Row],[CA O&amp;M s/parc
BN 2024]],Tableau106[],9,FALSE)</f>
        <v>DoJ</v>
      </c>
      <c r="J175" s="18">
        <v>2197.4659999999999</v>
      </c>
      <c r="K175" s="120">
        <f>VLOOKUP(Tableau2546[[#This Row],[CODE PI]],Tableau254[[CODE PI]:[TARIF]],6,FALSE)*(1+$Q$1)</f>
        <v>95.813924999999998</v>
      </c>
      <c r="L175" s="21"/>
      <c r="M175" s="412">
        <f>($J$175*2/3*(K175+200))+($J$175*1/3*K175)</f>
        <v>503543.30918071663</v>
      </c>
      <c r="N175" t="s">
        <v>667</v>
      </c>
    </row>
    <row r="176" spans="1:14">
      <c r="A176" s="299" t="s">
        <v>615</v>
      </c>
      <c r="B176" s="294" t="str">
        <f>VLOOKUP(Tableau2546[[#This Row],[CA O&amp;M s/parc
BN 2024]],Tableau106[],3,FALSE)</f>
        <v>A391</v>
      </c>
      <c r="C176" s="294" t="str">
        <f>VLOOKUP(Tableau2546[[#This Row],[CA O&amp;M s/parc
BN 2024]],Tableau106[],2,FALSE)</f>
        <v>FR54S01E</v>
      </c>
      <c r="D176" s="300" t="str">
        <f>VLOOKUP(Tableau2546[[#This Row],[CA O&amp;M s/parc
BN 2024]],Tableau106[],8,FALSE)</f>
        <v>SOLAIRE</v>
      </c>
      <c r="E176" s="295">
        <f>VLOOKUP(Tableau2546[[#This Row],[CA O&amp;M s/parc
BN 2024]],Tableau106[],4,FALSE)</f>
        <v>54.93</v>
      </c>
      <c r="F176" s="297" t="str">
        <f>VLOOKUP(Tableau2546[[#This Row],[CA O&amp;M s/parc
BN 2024]],Tableau106[],5,FALSE)</f>
        <v>TOUL</v>
      </c>
      <c r="G176" s="294" t="str">
        <f>VLOOKUP(Tableau2546[[#This Row],[CA O&amp;M s/parc
BN 2024]],Tableau106[],7,FALSE)</f>
        <v>GROUPE</v>
      </c>
      <c r="H176" s="294" t="str">
        <f>VLOOKUP(Tableau2546[[#This Row],[CA O&amp;M s/parc
BN 2024]],Tableau106[],6,FALSE)</f>
        <v>S</v>
      </c>
      <c r="I176" s="294" t="str">
        <f>VLOOKUP(Tableau2546[[#This Row],[CA O&amp;M s/parc
BN 2024]],Tableau106[],9,FALSE)</f>
        <v>LoG</v>
      </c>
      <c r="J176" s="18">
        <v>58586.610433449248</v>
      </c>
      <c r="K176" s="120">
        <f>VLOOKUP(Tableau2546[[#This Row],[CODE PI]],Tableau254[[CODE PI]:[TARIF]],6,FALSE)*(1+$Q$1)</f>
        <v>390.83454999999998</v>
      </c>
      <c r="L176" s="21"/>
      <c r="M176" s="18">
        <f>Tableau2546[[#This Row],[PROD en Mwh]]*Tableau2546[[#This Row],[TARIF]]</f>
        <v>22897671.524782442</v>
      </c>
      <c r="N176" s="18"/>
    </row>
    <row r="177" spans="1:19">
      <c r="A177" s="299" t="s">
        <v>451</v>
      </c>
      <c r="B177" s="294" t="str">
        <f>VLOOKUP(Tableau2546[[#This Row],[CA O&amp;M s/parc
BN 2024]],Tableau106[],3,FALSE)</f>
        <v>A541</v>
      </c>
      <c r="C177" s="294" t="str">
        <f>VLOOKUP(Tableau2546[[#This Row],[CA O&amp;M s/parc
BN 2024]],Tableau106[],2,FALSE)</f>
        <v>FR79E02E</v>
      </c>
      <c r="D177" s="300" t="str">
        <f>VLOOKUP(Tableau2546[[#This Row],[CA O&amp;M s/parc
BN 2024]],Tableau106[],8,FALSE)</f>
        <v>EOLIEN</v>
      </c>
      <c r="E177" s="295">
        <f>VLOOKUP(Tableau2546[[#This Row],[CA O&amp;M s/parc
BN 2024]],Tableau106[],4,FALSE)</f>
        <v>10</v>
      </c>
      <c r="F177" s="297" t="str">
        <f>VLOOKUP(Tableau2546[[#This Row],[CA O&amp;M s/parc
BN 2024]],Tableau106[],5,FALSE)</f>
        <v>TRAY</v>
      </c>
      <c r="G177" s="294" t="str">
        <f>VLOOKUP(Tableau2546[[#This Row],[CA O&amp;M s/parc
BN 2024]],Tableau106[],7,FALSE)</f>
        <v>EGM</v>
      </c>
      <c r="H177" s="294" t="str">
        <f>VLOOKUP(Tableau2546[[#This Row],[CA O&amp;M s/parc
BN 2024]],Tableau106[],6,FALSE)</f>
        <v>N</v>
      </c>
      <c r="I177" s="294" t="str">
        <f>VLOOKUP(Tableau2546[[#This Row],[CA O&amp;M s/parc
BN 2024]],Tableau106[],9,FALSE)</f>
        <v>BoK</v>
      </c>
      <c r="J177" s="18">
        <v>12183.248</v>
      </c>
      <c r="K177" s="120">
        <f>VLOOKUP(Tableau2546[[#This Row],[CODE PI]],Tableau254[[CODE PI]:[TARIF]],6,FALSE)*(1+$Q$1)</f>
        <v>105.74822499999999</v>
      </c>
      <c r="L177" s="21"/>
      <c r="M177" s="18">
        <f>Tableau2546[[#This Row],[PROD en Mwh]]*Tableau2546[[#This Row],[TARIF]]</f>
        <v>1288356.8507347999</v>
      </c>
      <c r="N177" s="18"/>
    </row>
    <row r="178" spans="1:19">
      <c r="A178" s="299" t="s">
        <v>619</v>
      </c>
      <c r="B178" s="294" t="str">
        <f>VLOOKUP(Tableau2546[[#This Row],[CA O&amp;M s/parc
BN 2024]],Tableau106[],3,FALSE)</f>
        <v>A046</v>
      </c>
      <c r="C178" s="294" t="str">
        <f>VLOOKUP(Tableau2546[[#This Row],[CA O&amp;M s/parc
BN 2024]],Tableau106[],2,FALSE)</f>
        <v>FR97S75E</v>
      </c>
      <c r="D178" s="300" t="str">
        <f>VLOOKUP(Tableau2546[[#This Row],[CA O&amp;M s/parc
BN 2024]],Tableau106[],8,FALSE)</f>
        <v>SOLAIRE DOM</v>
      </c>
      <c r="E178" s="295">
        <f>VLOOKUP(Tableau2546[[#This Row],[CA O&amp;M s/parc
BN 2024]],Tableau106[],4,FALSE)</f>
        <v>0.68200000000000005</v>
      </c>
      <c r="F178" s="297" t="str">
        <f>VLOOKUP(Tableau2546[[#This Row],[CA O&amp;M s/parc
BN 2024]],Tableau106[],5,FALSE)</f>
        <v>TROI</v>
      </c>
      <c r="G178" s="294" t="str">
        <f>VLOOKUP(Tableau2546[[#This Row],[CA O&amp;M s/parc
BN 2024]],Tableau106[],7,FALSE)</f>
        <v>GROUPE</v>
      </c>
      <c r="H178" s="294" t="str">
        <f>VLOOKUP(Tableau2546[[#This Row],[CA O&amp;M s/parc
BN 2024]],Tableau106[],6,FALSE)</f>
        <v>DOM</v>
      </c>
      <c r="I178" s="294" t="str">
        <f>VLOOKUP(Tableau2546[[#This Row],[CA O&amp;M s/parc
BN 2024]],Tableau106[],9,FALSE)</f>
        <v>DoJ</v>
      </c>
      <c r="J178" s="18">
        <v>797.25812722423927</v>
      </c>
      <c r="K178" s="120">
        <f>VLOOKUP(Tableau2546[[#This Row],[CODE PI]],Tableau254[[CODE PI]:[TARIF]],6,FALSE)*(1+$Q$1)</f>
        <v>526.62552499999993</v>
      </c>
      <c r="L178" s="21"/>
      <c r="M178" s="18">
        <f>Tableau2546[[#This Row],[PROD en Mwh]]*Tableau2546[[#This Row],[TARIF]]</f>
        <v>419856.47980998171</v>
      </c>
      <c r="N178" s="18"/>
    </row>
    <row r="179" spans="1:19">
      <c r="A179" s="299" t="s">
        <v>447</v>
      </c>
      <c r="B179" s="294" t="str">
        <f>VLOOKUP(Tableau2546[[#This Row],[CA O&amp;M s/parc
BN 2024]],Tableau106[],3,FALSE)</f>
        <v>A898</v>
      </c>
      <c r="C179" s="294" t="str">
        <f>VLOOKUP(Tableau2546[[#This Row],[CA O&amp;M s/parc
BN 2024]],Tableau106[],2,FALSE)</f>
        <v>FR55E12E</v>
      </c>
      <c r="D179" s="300" t="str">
        <f>VLOOKUP(Tableau2546[[#This Row],[CA O&amp;M s/parc
BN 2024]],Tableau106[],8,FALSE)</f>
        <v>EOLIEN</v>
      </c>
      <c r="E179" s="295">
        <f>VLOOKUP(Tableau2546[[#This Row],[CA O&amp;M s/parc
BN 2024]],Tableau106[],4,FALSE)</f>
        <v>24</v>
      </c>
      <c r="F179" s="297" t="str">
        <f>VLOOKUP(Tableau2546[[#This Row],[CA O&amp;M s/parc
BN 2024]],Tableau106[],5,FALSE)</f>
        <v>SOUR</v>
      </c>
      <c r="G179" s="294" t="str">
        <f>VLOOKUP(Tableau2546[[#This Row],[CA O&amp;M s/parc
BN 2024]],Tableau106[],7,FALSE)</f>
        <v>GROUPE</v>
      </c>
      <c r="H179" s="294" t="str">
        <f>VLOOKUP(Tableau2546[[#This Row],[CA O&amp;M s/parc
BN 2024]],Tableau106[],6,FALSE)</f>
        <v>N</v>
      </c>
      <c r="I179" s="294" t="str">
        <f>VLOOKUP(Tableau2546[[#This Row],[CA O&amp;M s/parc
BN 2024]],Tableau106[],9,FALSE)</f>
        <v>LoH</v>
      </c>
      <c r="J179" s="18">
        <v>43022.24012756678</v>
      </c>
      <c r="K179" s="120">
        <v>50</v>
      </c>
      <c r="L179" s="21"/>
      <c r="M179" s="18">
        <f>Tableau2546[[#This Row],[PROD en Mwh]]*Tableau2546[[#This Row],[TARIF]]</f>
        <v>2151112.0063783391</v>
      </c>
      <c r="N179" s="18"/>
    </row>
    <row r="180" spans="1:19" ht="12" customHeight="1">
      <c r="A180" s="299" t="s">
        <v>571</v>
      </c>
      <c r="B180" s="294" t="str">
        <f>VLOOKUP(Tableau2546[[#This Row],[CA O&amp;M s/parc
BN 2024]],Tableau106[],3,FALSE)</f>
        <v>A084</v>
      </c>
      <c r="C180" s="294" t="str">
        <f>VLOOKUP(Tableau2546[[#This Row],[CA O&amp;M s/parc
BN 2024]],Tableau106[],2,FALSE)</f>
        <v>FR34E93E</v>
      </c>
      <c r="D180" s="300" t="str">
        <f>VLOOKUP(Tableau2546[[#This Row],[CA O&amp;M s/parc
BN 2024]],Tableau106[],8,FALSE)</f>
        <v>EOLIEN</v>
      </c>
      <c r="E180" s="295">
        <f>VLOOKUP(Tableau2546[[#This Row],[CA O&amp;M s/parc
BN 2024]],Tableau106[],4,FALSE)</f>
        <v>14</v>
      </c>
      <c r="F180" s="297" t="str">
        <f>VLOOKUP(Tableau2546[[#This Row],[CA O&amp;M s/parc
BN 2024]],Tableau106[],5,FALSE)</f>
        <v>AUM3</v>
      </c>
      <c r="G180" s="294" t="str">
        <f>VLOOKUP(Tableau2546[[#This Row],[CA O&amp;M s/parc
BN 2024]],Tableau106[],7,FALSE)</f>
        <v>FUTUREN</v>
      </c>
      <c r="H180" s="294" t="str">
        <f>VLOOKUP(Tableau2546[[#This Row],[CA O&amp;M s/parc
BN 2024]],Tableau106[],6,FALSE)</f>
        <v>S</v>
      </c>
      <c r="I180" s="294" t="str">
        <f>VLOOKUP(Tableau2546[[#This Row],[CA O&amp;M s/parc
BN 2024]],Tableau106[],9,FALSE)</f>
        <v>KéD</v>
      </c>
      <c r="J180" s="496">
        <v>24824.766</v>
      </c>
      <c r="K180" s="120">
        <f>VLOOKUP(Tableau2546[[#This Row],[CODE PI]],Tableau254[[CODE PI]:[TARIF]],6,FALSE)*(1+$Q$1)</f>
        <v>98.710574999999992</v>
      </c>
      <c r="L180" s="21"/>
      <c r="M180" s="18">
        <f>Tableau2546[[#This Row],[PROD en Mwh]]*Tableau2546[[#This Row],[TARIF]]</f>
        <v>2450466.9261004496</v>
      </c>
      <c r="N180" s="497" t="s">
        <v>1551</v>
      </c>
    </row>
    <row r="181" spans="1:19">
      <c r="A181" s="299" t="s">
        <v>474</v>
      </c>
      <c r="B181" s="294" t="str">
        <f>VLOOKUP(Tableau2546[[#This Row],[CA O&amp;M s/parc
BN 2024]],Tableau106[],3,FALSE)</f>
        <v>A530</v>
      </c>
      <c r="C181" s="294" t="str">
        <f>VLOOKUP(Tableau2546[[#This Row],[CA O&amp;M s/parc
BN 2024]],Tableau106[],2,FALSE)</f>
        <v>FR51E02E</v>
      </c>
      <c r="D181" s="300" t="str">
        <f>VLOOKUP(Tableau2546[[#This Row],[CA O&amp;M s/parc
BN 2024]],Tableau106[],8,FALSE)</f>
        <v>EOLIEN</v>
      </c>
      <c r="E181" s="295">
        <f>VLOOKUP(Tableau2546[[#This Row],[CA O&amp;M s/parc
BN 2024]],Tableau106[],4,FALSE)</f>
        <v>8.5</v>
      </c>
      <c r="F181" s="297" t="str">
        <f>VLOOKUP(Tableau2546[[#This Row],[CA O&amp;M s/parc
BN 2024]],Tableau106[],5,FALSE)</f>
        <v>VANA</v>
      </c>
      <c r="G181" s="294" t="str">
        <f>VLOOKUP(Tableau2546[[#This Row],[CA O&amp;M s/parc
BN 2024]],Tableau106[],7,FALSE)</f>
        <v>GROUPE</v>
      </c>
      <c r="H181" s="294" t="str">
        <f>VLOOKUP(Tableau2546[[#This Row],[CA O&amp;M s/parc
BN 2024]],Tableau106[],6,FALSE)</f>
        <v>N</v>
      </c>
      <c r="I181" s="294" t="str">
        <f>VLOOKUP(Tableau2546[[#This Row],[CA O&amp;M s/parc
BN 2024]],Tableau106[],9,FALSE)</f>
        <v>BaB</v>
      </c>
      <c r="J181" s="18">
        <v>14059.844479125</v>
      </c>
      <c r="K181" s="120">
        <v>45</v>
      </c>
      <c r="L181" s="21"/>
      <c r="M181" s="18">
        <f>Tableau2546[[#This Row],[PROD en Mwh]]*Tableau2546[[#This Row],[TARIF]]</f>
        <v>632693.00156062504</v>
      </c>
      <c r="N181" s="18"/>
    </row>
    <row r="182" spans="1:19">
      <c r="A182" s="299" t="s">
        <v>441</v>
      </c>
      <c r="B182" s="294" t="str">
        <f>VLOOKUP(Tableau2546[[#This Row],[CA O&amp;M s/parc
BN 2024]],Tableau106[],3,FALSE)</f>
        <v>F244</v>
      </c>
      <c r="C182" s="294" t="str">
        <f>VLOOKUP(Tableau2546[[#This Row],[CA O&amp;M s/parc
BN 2024]],Tableau106[],2,FALSE)</f>
        <v>FR17E08E</v>
      </c>
      <c r="D182" s="300" t="str">
        <f>VLOOKUP(Tableau2546[[#This Row],[CA O&amp;M s/parc
BN 2024]],Tableau106[],8,FALSE)</f>
        <v>EOLIEN</v>
      </c>
      <c r="E182" s="295">
        <f>VLOOKUP(Tableau2546[[#This Row],[CA O&amp;M s/parc
BN 2024]],Tableau106[],4,FALSE)</f>
        <v>8.8000000000000007</v>
      </c>
      <c r="F182" s="297" t="str">
        <f>VLOOKUP(Tableau2546[[#This Row],[CA O&amp;M s/parc
BN 2024]],Tableau106[],5,FALSE)</f>
        <v>VARA</v>
      </c>
      <c r="G182" s="294" t="str">
        <f>VLOOKUP(Tableau2546[[#This Row],[CA O&amp;M s/parc
BN 2024]],Tableau106[],7,FALSE)</f>
        <v>FUTUREN</v>
      </c>
      <c r="H182" s="294" t="str">
        <f>VLOOKUP(Tableau2546[[#This Row],[CA O&amp;M s/parc
BN 2024]],Tableau106[],6,FALSE)</f>
        <v>N</v>
      </c>
      <c r="I182" s="294" t="str">
        <f>VLOOKUP(Tableau2546[[#This Row],[CA O&amp;M s/parc
BN 2024]],Tableau106[],9,FALSE)</f>
        <v>PiM</v>
      </c>
      <c r="J182" s="18">
        <v>19562.400000000001</v>
      </c>
      <c r="K182" s="120">
        <f>VLOOKUP(Tableau2546[[#This Row],[CODE PI]],Tableau254[[CODE PI]:[TARIF]],6,FALSE)*(1+$Q$1)</f>
        <v>78.721024999999997</v>
      </c>
      <c r="L182" s="21">
        <v>0</v>
      </c>
      <c r="M182" s="18">
        <f>Tableau2546[[#This Row],[PROD en Mwh]]*Tableau2546[[#This Row],[TARIF]]</f>
        <v>1539972.17946</v>
      </c>
      <c r="N182" s="18"/>
    </row>
    <row r="183" spans="1:19">
      <c r="A183" s="299" t="s">
        <v>585</v>
      </c>
      <c r="B183" s="294" t="str">
        <f>VLOOKUP(Tableau2546[[#This Row],[CA O&amp;M s/parc
BN 2024]],Tableau106[],3,FALSE)</f>
        <v>A104</v>
      </c>
      <c r="C183" s="294" t="str">
        <f>VLOOKUP(Tableau2546[[#This Row],[CA O&amp;M s/parc
BN 2024]],Tableau106[],2,FALSE)</f>
        <v>FR76E98E</v>
      </c>
      <c r="D183" s="300" t="str">
        <f>VLOOKUP(Tableau2546[[#This Row],[CA O&amp;M s/parc
BN 2024]],Tableau106[],8,FALSE)</f>
        <v>EOLIEN</v>
      </c>
      <c r="E183" s="295">
        <f>VLOOKUP(Tableau2546[[#This Row],[CA O&amp;M s/parc
BN 2024]],Tableau106[],4,FALSE)</f>
        <v>8</v>
      </c>
      <c r="F183" s="297" t="str">
        <f>VLOOKUP(Tableau2546[[#This Row],[CA O&amp;M s/parc
BN 2024]],Tableau106[],5,FALSE)</f>
        <v>VEUL</v>
      </c>
      <c r="G183" s="294" t="str">
        <f>VLOOKUP(Tableau2546[[#This Row],[CA O&amp;M s/parc
BN 2024]],Tableau106[],7,FALSE)</f>
        <v>GROUPE</v>
      </c>
      <c r="H183" s="294" t="str">
        <f>VLOOKUP(Tableau2546[[#This Row],[CA O&amp;M s/parc
BN 2024]],Tableau106[],6,FALSE)</f>
        <v>N</v>
      </c>
      <c r="I183" s="294" t="str">
        <f>VLOOKUP(Tableau2546[[#This Row],[CA O&amp;M s/parc
BN 2024]],Tableau106[],9,FALSE)</f>
        <v>AnN</v>
      </c>
      <c r="J183" s="18">
        <v>23946.448208699992</v>
      </c>
      <c r="K183" s="120">
        <f>VLOOKUP(Tableau2546[[#This Row],[CODE PI]],Tableau254[[CODE PI]:[TARIF]],6,FALSE)*(1+$Q$1)</f>
        <v>127.20933333333332</v>
      </c>
      <c r="L183" s="21"/>
      <c r="M183" s="18">
        <f>Tableau2546[[#This Row],[PROD en Mwh]]*Tableau2546[[#This Row],[TARIF]]</f>
        <v>3046211.7123299199</v>
      </c>
      <c r="N183" s="18"/>
    </row>
    <row r="184" spans="1:19">
      <c r="A184" s="299" t="s">
        <v>488</v>
      </c>
      <c r="B184" s="294" t="str">
        <f>VLOOKUP(Tableau2546[[#This Row],[CA O&amp;M s/parc
BN 2024]],Tableau106[],3,FALSE)</f>
        <v>A540</v>
      </c>
      <c r="C184" s="294" t="str">
        <f>VLOOKUP(Tableau2546[[#This Row],[CA O&amp;M s/parc
BN 2024]],Tableau106[],2,FALSE)</f>
        <v>FR02E06E</v>
      </c>
      <c r="D184" s="300" t="str">
        <f>VLOOKUP(Tableau2546[[#This Row],[CA O&amp;M s/parc
BN 2024]],Tableau106[],8,FALSE)</f>
        <v>EOLIEN</v>
      </c>
      <c r="E184" s="295">
        <f>VLOOKUP(Tableau2546[[#This Row],[CA O&amp;M s/parc
BN 2024]],Tableau106[],4,FALSE)</f>
        <v>6</v>
      </c>
      <c r="F184" s="297" t="str">
        <f>VLOOKUP(Tableau2546[[#This Row],[CA O&amp;M s/parc
BN 2024]],Tableau106[],5,FALSE)</f>
        <v>VISE</v>
      </c>
      <c r="G184" s="294" t="str">
        <f>VLOOKUP(Tableau2546[[#This Row],[CA O&amp;M s/parc
BN 2024]],Tableau106[],7,FALSE)</f>
        <v>EGM</v>
      </c>
      <c r="H184" s="294" t="str">
        <f>VLOOKUP(Tableau2546[[#This Row],[CA O&amp;M s/parc
BN 2024]],Tableau106[],6,FALSE)</f>
        <v>N</v>
      </c>
      <c r="I184" s="294" t="str">
        <f>VLOOKUP(Tableau2546[[#This Row],[CA O&amp;M s/parc
BN 2024]],Tableau106[],9,FALSE)</f>
        <v>NoS</v>
      </c>
      <c r="J184" s="18">
        <v>11439.54</v>
      </c>
      <c r="K184" s="120">
        <f>VLOOKUP(Tableau2546[[#This Row],[CODE PI]],Tableau254[[CODE PI]:[TARIF]],6,FALSE)*(1+$Q$1)</f>
        <v>172.4370825</v>
      </c>
      <c r="L184" s="21"/>
      <c r="M184" s="18">
        <f>Tableau2546[[#This Row],[PROD en Mwh]]*Tableau2546[[#This Row],[TARIF]]</f>
        <v>1972600.9027420501</v>
      </c>
      <c r="N184" s="18"/>
    </row>
    <row r="185" spans="1:19" ht="12.75" thickBot="1">
      <c r="A185" s="299" t="s">
        <v>596</v>
      </c>
      <c r="B185" s="294" t="str">
        <f>VLOOKUP(Tableau2546[[#This Row],[CA O&amp;M s/parc
BN 2024]],Tableau106[],3,FALSE)</f>
        <v>A056</v>
      </c>
      <c r="C185" s="294" t="str">
        <f>VLOOKUP(Tableau2546[[#This Row],[CA O&amp;M s/parc
BN 2024]],Tableau106[],2,FALSE)</f>
        <v>FR11E91E</v>
      </c>
      <c r="D185" s="300" t="str">
        <f>VLOOKUP(Tableau2546[[#This Row],[CA O&amp;M s/parc
BN 2024]],Tableau106[],8,FALSE)</f>
        <v>EOLIEN</v>
      </c>
      <c r="E185" s="295">
        <f>VLOOKUP(Tableau2546[[#This Row],[CA O&amp;M s/parc
BN 2024]],Tableau106[],4,FALSE)</f>
        <v>50.6</v>
      </c>
      <c r="F185" s="297" t="str">
        <f>VLOOKUP(Tableau2546[[#This Row],[CA O&amp;M s/parc
BN 2024]],Tableau106[],5,FALSE)</f>
        <v>VLSQ</v>
      </c>
      <c r="G185" s="294" t="str">
        <f>VLOOKUP(Tableau2546[[#This Row],[CA O&amp;M s/parc
BN 2024]],Tableau106[],7,FALSE)</f>
        <v>GROUPE</v>
      </c>
      <c r="H185" s="294" t="str">
        <f>VLOOKUP(Tableau2546[[#This Row],[CA O&amp;M s/parc
BN 2024]],Tableau106[],6,FALSE)</f>
        <v>S</v>
      </c>
      <c r="I185" s="294" t="str">
        <f>VLOOKUP(Tableau2546[[#This Row],[CA O&amp;M s/parc
BN 2024]],Tableau106[],9,FALSE)</f>
        <v>ThC</v>
      </c>
      <c r="J185" s="18">
        <v>142659.97441746155</v>
      </c>
      <c r="K185" s="120">
        <f>VLOOKUP(Tableau2546[[#This Row],[CODE PI]],Tableau254[[CODE PI]:[TARIF]],6,FALSE)*(1+$Q$1)</f>
        <v>171.1441475</v>
      </c>
      <c r="L185" s="21">
        <v>150000</v>
      </c>
      <c r="M185" s="18">
        <f>Tableau2546[[#This Row],[PROD en Mwh]]*Tableau2546[[#This Row],[TARIF]]</f>
        <v>24415419.704048265</v>
      </c>
      <c r="N185" s="18" t="s">
        <v>681</v>
      </c>
      <c r="S185" t="s">
        <v>682</v>
      </c>
    </row>
    <row r="186" spans="1:19" ht="35.25" customHeight="1" thickTop="1">
      <c r="A186" s="115" t="s">
        <v>644</v>
      </c>
      <c r="B186" s="116">
        <f>SUBTOTAL(103,Tableau2546[Code Sté])</f>
        <v>184</v>
      </c>
      <c r="C186" s="116"/>
      <c r="D186" s="117"/>
      <c r="E186" s="118"/>
      <c r="F186" s="119"/>
      <c r="G186" s="119"/>
      <c r="H186" s="119"/>
      <c r="I186" s="119"/>
      <c r="J186" s="10">
        <f>SUBTOTAL(109,Tableau2546[PROD en Mwh])</f>
        <v>4464028.6981505416</v>
      </c>
      <c r="K186" s="9">
        <f>COUNTBLANK(Tableau2546[TARIF])</f>
        <v>1</v>
      </c>
      <c r="L186" s="17">
        <f>SUBTOTAL(109,Tableau2546[PRODUITS excep. (PENALITES, indem. Ass.)])</f>
        <v>200000</v>
      </c>
      <c r="M186" s="10">
        <f>SUBTOTAL(109,Tableau2546[CA])</f>
        <v>579851889.23709464</v>
      </c>
      <c r="N186" s="374"/>
    </row>
  </sheetData>
  <pageMargins left="0.7" right="0.7" top="0.75" bottom="0.75" header="0.3" footer="0.3"/>
  <pageSetup paperSize="9" orientation="portrait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._x000a_Merci." xr:uid="{00000000-0002-0000-0400-000000000000}">
          <x14:formula1>
            <xm:f>DATA!$A$3:$A$192</xm:f>
          </x14:formula1>
          <xm:sqref>A2:A185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7">
    <tabColor rgb="FFFFC000"/>
  </sheetPr>
  <dimension ref="A2:AH197"/>
  <sheetViews>
    <sheetView showGridLines="0" zoomScaleNormal="100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J8" sqref="J8"/>
    </sheetView>
  </sheetViews>
  <sheetFormatPr baseColWidth="10" defaultColWidth="12" defaultRowHeight="12"/>
  <cols>
    <col min="1" max="1" width="25" style="6" bestFit="1" customWidth="1"/>
    <col min="2" max="4" width="12" style="6" customWidth="1"/>
    <col min="5" max="5" width="7.6640625" style="6" customWidth="1"/>
    <col min="6" max="6" width="12" style="6" customWidth="1"/>
    <col min="7" max="8" width="9.6640625" style="6" customWidth="1"/>
    <col min="9" max="9" width="14.33203125" style="6" customWidth="1"/>
    <col min="10" max="10" width="14.6640625" style="6" customWidth="1"/>
    <col min="11" max="11" width="13.33203125" style="6" customWidth="1"/>
    <col min="12" max="12" width="15.33203125" style="6" customWidth="1"/>
    <col min="13" max="13" width="12" style="6" customWidth="1"/>
    <col min="14" max="14" width="12.1640625" style="6" bestFit="1" customWidth="1"/>
    <col min="15" max="15" width="13.5" style="6" bestFit="1" customWidth="1"/>
    <col min="16" max="16" width="15.33203125" style="6" customWidth="1"/>
    <col min="17" max="17" width="18" style="6" customWidth="1"/>
    <col min="18" max="18" width="17" style="6" bestFit="1" customWidth="1"/>
    <col min="19" max="19" width="13" style="6" bestFit="1" customWidth="1"/>
    <col min="20" max="21" width="12.1640625" style="6" bestFit="1" customWidth="1"/>
    <col min="22" max="22" width="13.5" style="6" bestFit="1" customWidth="1"/>
    <col min="23" max="23" width="17" style="6" bestFit="1" customWidth="1"/>
    <col min="24" max="24" width="15.6640625" style="6" customWidth="1"/>
    <col min="25" max="25" width="17" style="6" bestFit="1" customWidth="1"/>
    <col min="26" max="26" width="13" style="6" bestFit="1" customWidth="1"/>
    <col min="27" max="28" width="12.1640625" style="6" bestFit="1" customWidth="1"/>
    <col min="29" max="29" width="13.5" style="6" bestFit="1" customWidth="1"/>
    <col min="30" max="30" width="13.33203125" style="6" bestFit="1" customWidth="1"/>
    <col min="31" max="33" width="12.1640625" style="6" customWidth="1"/>
    <col min="34" max="34" width="56.6640625" style="6" customWidth="1"/>
    <col min="35" max="16384" width="12" style="6"/>
  </cols>
  <sheetData>
    <row r="2" spans="1:34">
      <c r="I2" s="512" t="s">
        <v>683</v>
      </c>
      <c r="J2" s="513"/>
      <c r="K2" s="513"/>
      <c r="L2" s="513"/>
      <c r="M2" s="513"/>
      <c r="N2" s="513"/>
      <c r="O2" s="136"/>
      <c r="P2" s="514" t="s">
        <v>684</v>
      </c>
      <c r="Q2" s="515"/>
      <c r="R2" s="515"/>
      <c r="S2" s="515"/>
      <c r="T2" s="515"/>
      <c r="U2" s="515"/>
      <c r="V2" s="460"/>
      <c r="W2" s="516" t="s">
        <v>685</v>
      </c>
      <c r="X2" s="517"/>
      <c r="Y2" s="517"/>
      <c r="Z2" s="517"/>
      <c r="AA2" s="517"/>
      <c r="AB2" s="517"/>
      <c r="AC2" s="518"/>
      <c r="AD2" s="511" t="s">
        <v>686</v>
      </c>
      <c r="AE2" s="500"/>
      <c r="AF2" s="500"/>
      <c r="AG2" s="500"/>
    </row>
    <row r="3" spans="1:34" ht="63.75">
      <c r="A3" s="123" t="s">
        <v>411</v>
      </c>
      <c r="B3" s="123" t="s">
        <v>412</v>
      </c>
      <c r="C3" s="123" t="s">
        <v>413</v>
      </c>
      <c r="D3" s="123" t="s">
        <v>414</v>
      </c>
      <c r="E3" s="123" t="s">
        <v>415</v>
      </c>
      <c r="F3" s="123" t="s">
        <v>416</v>
      </c>
      <c r="G3" s="123" t="s">
        <v>417</v>
      </c>
      <c r="H3" s="123" t="s">
        <v>418</v>
      </c>
      <c r="I3" s="150" t="s">
        <v>687</v>
      </c>
      <c r="J3" s="152" t="s">
        <v>688</v>
      </c>
      <c r="K3" s="151" t="s">
        <v>689</v>
      </c>
      <c r="L3" s="133" t="s">
        <v>690</v>
      </c>
      <c r="M3" s="133" t="s">
        <v>691</v>
      </c>
      <c r="N3" s="154" t="s">
        <v>692</v>
      </c>
      <c r="O3" s="155" t="s">
        <v>693</v>
      </c>
      <c r="P3" s="134" t="s">
        <v>694</v>
      </c>
      <c r="Q3" s="135" t="s">
        <v>695</v>
      </c>
      <c r="R3" s="135" t="s">
        <v>696</v>
      </c>
      <c r="S3" s="135" t="s">
        <v>697</v>
      </c>
      <c r="T3" s="135" t="s">
        <v>698</v>
      </c>
      <c r="U3" s="156" t="s">
        <v>699</v>
      </c>
      <c r="V3" s="157" t="s">
        <v>700</v>
      </c>
      <c r="W3" s="158" t="s">
        <v>701</v>
      </c>
      <c r="X3" s="146" t="s">
        <v>702</v>
      </c>
      <c r="Y3" s="146" t="s">
        <v>703</v>
      </c>
      <c r="Z3" s="146" t="s">
        <v>704</v>
      </c>
      <c r="AA3" s="146" t="s">
        <v>705</v>
      </c>
      <c r="AB3" s="146" t="s">
        <v>706</v>
      </c>
      <c r="AC3" s="280" t="s">
        <v>707</v>
      </c>
      <c r="AD3" s="461" t="s">
        <v>708</v>
      </c>
      <c r="AE3" s="148" t="s">
        <v>709</v>
      </c>
      <c r="AF3" s="462" t="s">
        <v>710</v>
      </c>
      <c r="AG3" s="132" t="s">
        <v>711</v>
      </c>
      <c r="AH3" s="159" t="s">
        <v>434</v>
      </c>
    </row>
    <row r="4" spans="1:34" hidden="1">
      <c r="A4" s="463" t="s">
        <v>596</v>
      </c>
      <c r="B4" s="464" t="str">
        <f>VLOOKUP(Tableau1315[[#This Row],[PARCS]],Tableau106[],3,FALSE)</f>
        <v>A056</v>
      </c>
      <c r="C4" s="464" t="str">
        <f>VLOOKUP(Tableau1315[[#This Row],[PARCS]],Tableau106[],2,FALSE)</f>
        <v>FR11E91E</v>
      </c>
      <c r="D4" s="465" t="str">
        <f>VLOOKUP(Tableau1315[[#This Row],[PARCS]],Tableau106[],8,FALSE)</f>
        <v>EOLIEN</v>
      </c>
      <c r="E4" s="465" t="str">
        <f>VLOOKUP(A4,Tableau106[[#Headers],[#Data]],6,FALSE)</f>
        <v>S</v>
      </c>
      <c r="F4" s="466" t="str">
        <f>VLOOKUP(Tableau1315[[#This Row],[PARCS]],Tableau106[],5,FALSE)</f>
        <v>VLSQ</v>
      </c>
      <c r="G4" s="464" t="str">
        <f>VLOOKUP(Tableau1315[[#This Row],[PARCS]],Tableau106[],7,FALSE)</f>
        <v>GROUPE</v>
      </c>
      <c r="H4" s="464" t="str">
        <f>VLOOKUP(Tableau1315[[#This Row],[PARCS]],Tableau106[],9,FALSE)</f>
        <v>ThC</v>
      </c>
      <c r="I4" s="350">
        <f>IFERROR(VLOOKUP(Tableau1315[[#This Row],[PARCS]],Tableau15[],10,FALSE),"")</f>
        <v>-97066.763050032809</v>
      </c>
      <c r="J4" s="20">
        <f>IFERROR(VLOOKUP(Tableau1315[[#This Row],[PARCS]],Tableau15[],18,FALSE),"")</f>
        <v>-27941.269841269841</v>
      </c>
      <c r="K4" s="252">
        <f>IFERROR(VLOOKUP(Tableau1315[[#This Row],[PARCS]],Tableau15[],19,FALSE),"")</f>
        <v>-1727740</v>
      </c>
      <c r="L4" s="20">
        <f>IFERROR(VLOOKUP(Tableau1315[[#This Row],[PARCS]],Tableau15[],28,FALSE),"")</f>
        <v>-4000</v>
      </c>
      <c r="M4" s="252">
        <f>IFERROR(VLOOKUP(Tableau1315[[#This Row],[PARCS]],Tableau15[],36,FALSE),"")</f>
        <v>0</v>
      </c>
      <c r="N4" s="252">
        <f>IFERROR(VLOOKUP(Tableau1315[[#This Row],[PARCS]],Tableau15[],37,FALSE),"")</f>
        <v>0</v>
      </c>
      <c r="O4" s="467">
        <f>SUM(Tableau1315[[#This Row],[CONTRAT O&amp;M FORFAIT GROUPE]:[CHARGES exceptionnels (BONUS, sinistres)]])</f>
        <v>-1856748.0328913026</v>
      </c>
      <c r="P4" s="354">
        <f>VLOOKUP(Tableau1315[[#This Row],[PARCS]],Tableau16[],10,FALSE)</f>
        <v>-97613</v>
      </c>
      <c r="Q4" s="252">
        <f>VLOOKUP(Tableau1315[[#This Row],[PARCS]],Tableau16[],18,FALSE)</f>
        <v>-84920</v>
      </c>
      <c r="R4" s="252">
        <f>VLOOKUP(Tableau1315[[#This Row],[PARCS]],Tableau16[],19,FALSE)</f>
        <v>-1685600</v>
      </c>
      <c r="S4" s="252">
        <f>VLOOKUP(Tableau1315[[#This Row],[PARCS]],Tableau16[],28,FALSE)</f>
        <v>-44450</v>
      </c>
      <c r="T4" s="252">
        <f>VLOOKUP(Tableau1315[[#This Row],[PARCS]],Tableau16[],36,FALSE)</f>
        <v>-120250.75</v>
      </c>
      <c r="U4" s="252">
        <f>VLOOKUP(Tableau1315[[#This Row],[PARCS]],Tableau16[],37,FALSE)</f>
        <v>0</v>
      </c>
      <c r="V4" s="467">
        <f>SUM(Tableau1315[[#This Row],[CONTRAT O&amp;M FORFAIT GROUPE2]:[CHARGES exceptionnels (BONUS, sinistres)7]])</f>
        <v>-2032833.75</v>
      </c>
      <c r="W4" s="354">
        <f>VLOOKUP(Tableau1315[[#This Row],[PARCS]],Tableau17[],10,FALSE)</f>
        <v>-100053.325</v>
      </c>
      <c r="X4" s="252">
        <f>VLOOKUP(Tableau1315[[#This Row],[PARCS]],Tableau17[],18,FALSE)</f>
        <v>-66700</v>
      </c>
      <c r="Y4" s="252">
        <f>VLOOKUP(Tableau1315[[#This Row],[PARCS]],Tableau17[],19,FALSE)</f>
        <v>-1727739.9999999998</v>
      </c>
      <c r="Z4" s="252">
        <f>VLOOKUP(Tableau1315[[#This Row],[PARCS]],Tableau17[],28,FALSE)</f>
        <v>-50735</v>
      </c>
      <c r="AA4" s="252">
        <f>VLOOKUP(Tableau1315[[#This Row],[PARCS]],Tableau17[],36,FALSE)</f>
        <v>-35047.1</v>
      </c>
      <c r="AB4" s="252">
        <f>VLOOKUP(Tableau1315[[#This Row],[PARCS]],Tableau17[],37,FALSE)</f>
        <v>0</v>
      </c>
      <c r="AC4" s="468">
        <f>SUM(Tableau1315[[#This Row],[CONTRAT O&amp;M FORFAIT GROUPE22]:[CHARGES exceptionnels (BONUS, sinistres)77]])</f>
        <v>-1980275.4249999998</v>
      </c>
      <c r="AD4" s="252">
        <f>Tableau1315[[#This Row],[TOTAL LE3]]-Tableau1315[[#This Row],[TOTAL BN-1]]</f>
        <v>-176085.7171086974</v>
      </c>
      <c r="AE4" s="351">
        <f>IFERROR((Tableau1315[[#This Row],[TOTAL LE3]]-Tableau1315[[#This Row],[TOTAL BN-1]])/Tableau1315[[#This Row],[TOTAL BN-1]],"")</f>
        <v>9.4835547952351468E-2</v>
      </c>
      <c r="AF4" s="252">
        <f>Tableau1315[[#This Row],[TOTAL BN+1]]-Tableau1315[[#This Row],[TOTAL LE3]]</f>
        <v>52558.325000000186</v>
      </c>
      <c r="AG4" s="351">
        <f>IFERROR((Tableau1315[[#This Row],[TOTAL BN+1]]-Tableau1315[[#This Row],[TOTAL LE3]])/Tableau1315[[#This Row],[TOTAL LE3]],"")</f>
        <v>-2.5854708974602663E-2</v>
      </c>
      <c r="AH4" s="6" t="s">
        <v>712</v>
      </c>
    </row>
    <row r="5" spans="1:34" hidden="1">
      <c r="A5" s="463" t="s">
        <v>435</v>
      </c>
      <c r="B5" s="464" t="str">
        <f>VLOOKUP(Tableau1315[[#This Row],[PARCS]],Tableau106[],3,FALSE)</f>
        <v>A763</v>
      </c>
      <c r="C5" s="464" t="str">
        <f>VLOOKUP(Tableau1315[[#This Row],[PARCS]],Tableau106[],2,FALSE)</f>
        <v>FR51E05E</v>
      </c>
      <c r="D5" s="465" t="str">
        <f>VLOOKUP(Tableau1315[[#This Row],[PARCS]],Tableau106[],8,FALSE)</f>
        <v>EOLIEN</v>
      </c>
      <c r="E5" s="465" t="str">
        <f>VLOOKUP(A5,Tableau106[[#Headers],[#Data]],6,FALSE)</f>
        <v>S</v>
      </c>
      <c r="F5" s="466" t="str">
        <f>VLOOKUP(Tableau1315[[#This Row],[PARCS]],Tableau106[],5,FALSE)</f>
        <v>QVA3</v>
      </c>
      <c r="G5" s="464" t="str">
        <f>VLOOKUP(Tableau1315[[#This Row],[PARCS]],Tableau106[],7,FALSE)</f>
        <v>GROUPE</v>
      </c>
      <c r="H5" s="464" t="str">
        <f>VLOOKUP(Tableau1315[[#This Row],[PARCS]],Tableau106[],9,FALSE)</f>
        <v>BaB</v>
      </c>
      <c r="I5" s="350">
        <f>IFERROR(VLOOKUP(Tableau1315[[#This Row],[PARCS]],Tableau15[],10,FALSE),"")</f>
        <v>-23605.591939546593</v>
      </c>
      <c r="J5" s="20">
        <f>IFERROR(VLOOKUP(Tableau1315[[#This Row],[PARCS]],Tableau15[],18,FALSE),"")</f>
        <v>-16000</v>
      </c>
      <c r="K5" s="252">
        <f>IFERROR(VLOOKUP(Tableau1315[[#This Row],[PARCS]],Tableau15[],19,FALSE),"")</f>
        <v>-423080.04776400002</v>
      </c>
      <c r="L5" s="20">
        <f>IFERROR(VLOOKUP(Tableau1315[[#This Row],[PARCS]],Tableau15[],28,FALSE),"")</f>
        <v>-9500</v>
      </c>
      <c r="M5" s="252">
        <f>IFERROR(VLOOKUP(Tableau1315[[#This Row],[PARCS]],Tableau15[],36,FALSE),"")</f>
        <v>-1100</v>
      </c>
      <c r="N5" s="252">
        <f>IFERROR(VLOOKUP(Tableau1315[[#This Row],[PARCS]],Tableau15[],37,FALSE),"")</f>
        <v>0</v>
      </c>
      <c r="O5" s="468">
        <f>SUM(Tableau1315[[#This Row],[CONTRAT O&amp;M FORFAIT GROUPE]:[CHARGES exceptionnels (BONUS, sinistres)]])</f>
        <v>-473285.63970354659</v>
      </c>
      <c r="P5" s="354">
        <f>VLOOKUP(Tableau1315[[#This Row],[PARCS]],Tableau16[],10,FALSE)</f>
        <v>-18075</v>
      </c>
      <c r="Q5" s="350">
        <f>VLOOKUP(Tableau1315[[#This Row],[PARCS]],Tableau16[],18,FALSE)</f>
        <v>-8330</v>
      </c>
      <c r="R5" s="350">
        <f>VLOOKUP(Tableau1315[[#This Row],[PARCS]],Tableau16[],19,FALSE)</f>
        <v>-471101</v>
      </c>
      <c r="S5" s="20">
        <f>VLOOKUP(Tableau1315[[#This Row],[PARCS]],Tableau16[],28,FALSE)</f>
        <v>-7750</v>
      </c>
      <c r="T5" s="20">
        <f>VLOOKUP(Tableau1315[[#This Row],[PARCS]],Tableau16[],36,FALSE)</f>
        <v>-1100</v>
      </c>
      <c r="U5" s="20">
        <f>VLOOKUP(Tableau1315[[#This Row],[PARCS]],Tableau16[],37,FALSE)</f>
        <v>0</v>
      </c>
      <c r="V5" s="467">
        <f>SUM(Tableau1315[[#This Row],[CONTRAT O&amp;M FORFAIT GROUPE2]:[CHARGES exceptionnels (BONUS, sinistres)7]])</f>
        <v>-506356</v>
      </c>
      <c r="W5" s="354">
        <f>VLOOKUP(Tableau1315[[#This Row],[PARCS]],Tableau17[],10,FALSE)</f>
        <v>-18526.875</v>
      </c>
      <c r="X5" s="350">
        <f>VLOOKUP(Tableau1315[[#This Row],[PARCS]],Tableau17[],18,FALSE)</f>
        <v>-8420</v>
      </c>
      <c r="Y5" s="350">
        <f>VLOOKUP(Tableau1315[[#This Row],[PARCS]],Tableau17[],19,FALSE)</f>
        <v>-482878.52499999997</v>
      </c>
      <c r="Z5" s="350">
        <f>VLOOKUP(Tableau1315[[#This Row],[PARCS]],Tableau17[],28,FALSE)</f>
        <v>-5500</v>
      </c>
      <c r="AA5" s="350">
        <f>VLOOKUP(Tableau1315[[#This Row],[PARCS]],Tableau17[],36,FALSE)</f>
        <v>-1100</v>
      </c>
      <c r="AB5" s="252">
        <f>VLOOKUP(Tableau1315[[#This Row],[PARCS]],Tableau17[],37,FALSE)</f>
        <v>0</v>
      </c>
      <c r="AC5" s="468">
        <f>SUM(Tableau1315[[#This Row],[CONTRAT O&amp;M FORFAIT GROUPE22]:[CHARGES exceptionnels (BONUS, sinistres)77]])</f>
        <v>-516425.39999999997</v>
      </c>
      <c r="AD5" s="252">
        <f>Tableau1315[[#This Row],[TOTAL LE3]]-Tableau1315[[#This Row],[TOTAL BN-1]]</f>
        <v>-33070.360296453407</v>
      </c>
      <c r="AE5" s="351">
        <f>IFERROR((Tableau1315[[#This Row],[TOTAL LE3]]-Tableau1315[[#This Row],[TOTAL BN-1]])/Tableau1315[[#This Row],[TOTAL BN-1]],"")</f>
        <v>6.9873998960052516E-2</v>
      </c>
      <c r="AF5" s="252">
        <f>Tableau1315[[#This Row],[TOTAL BN+1]]-Tableau1315[[#This Row],[TOTAL LE3]]</f>
        <v>-10069.399999999965</v>
      </c>
      <c r="AG5" s="351">
        <f>IFERROR((Tableau1315[[#This Row],[TOTAL BN+1]]-Tableau1315[[#This Row],[TOTAL LE3]])/Tableau1315[[#This Row],[TOTAL LE3]],"")</f>
        <v>1.9886009052919221E-2</v>
      </c>
    </row>
    <row r="6" spans="1:34" hidden="1">
      <c r="A6" s="463" t="s">
        <v>448</v>
      </c>
      <c r="B6" s="464" t="str">
        <f>VLOOKUP(Tableau1315[[#This Row],[PARCS]],Tableau106[],3,FALSE)</f>
        <v>A099</v>
      </c>
      <c r="C6" s="464" t="str">
        <f>VLOOKUP(Tableau1315[[#This Row],[PARCS]],Tableau106[],2,FALSE)</f>
        <v>FR28E96E</v>
      </c>
      <c r="D6" s="465" t="str">
        <f>VLOOKUP(Tableau1315[[#This Row],[PARCS]],Tableau106[],8,FALSE)</f>
        <v>EOLIEN</v>
      </c>
      <c r="E6" s="465" t="str">
        <f>VLOOKUP(A6,Tableau106[[#Headers],[#Data]],6,FALSE)</f>
        <v>N</v>
      </c>
      <c r="F6" s="466" t="str">
        <f>VLOOKUP(Tableau1315[[#This Row],[PARCS]],Tableau106[],5,FALSE)</f>
        <v>CHAB</v>
      </c>
      <c r="G6" s="464" t="str">
        <f>VLOOKUP(Tableau1315[[#This Row],[PARCS]],Tableau106[],7,FALSE)</f>
        <v>GROUPE</v>
      </c>
      <c r="H6" s="464" t="str">
        <f>VLOOKUP(Tableau1315[[#This Row],[PARCS]],Tableau106[],9,FALSE)</f>
        <v>HuB</v>
      </c>
      <c r="I6" s="350">
        <f>IFERROR(VLOOKUP(Tableau1315[[#This Row],[PARCS]],Tableau15[],10,FALSE),"")</f>
        <v>-105604.19996112482</v>
      </c>
      <c r="J6" s="20">
        <f>IFERROR(VLOOKUP(Tableau1315[[#This Row],[PARCS]],Tableau15[],18,FALSE),"")</f>
        <v>-73200</v>
      </c>
      <c r="K6" s="252">
        <f>IFERROR(VLOOKUP(Tableau1315[[#This Row],[PARCS]],Tableau15[],19,FALSE),"")</f>
        <v>-1471765.36</v>
      </c>
      <c r="L6" s="20">
        <f>IFERROR(VLOOKUP(Tableau1315[[#This Row],[PARCS]],Tableau15[],28,FALSE),"")</f>
        <v>-47800</v>
      </c>
      <c r="M6" s="252">
        <f>IFERROR(VLOOKUP(Tableau1315[[#This Row],[PARCS]],Tableau15[],36,FALSE),"")</f>
        <v>0</v>
      </c>
      <c r="N6" s="252">
        <f>IFERROR(VLOOKUP(Tableau1315[[#This Row],[PARCS]],Tableau15[],37,FALSE),"")</f>
        <v>0</v>
      </c>
      <c r="O6" s="468">
        <f>SUM(Tableau1315[[#This Row],[CONTRAT O&amp;M FORFAIT GROUPE]:[CHARGES exceptionnels (BONUS, sinistres)]])</f>
        <v>-1698369.5599611248</v>
      </c>
      <c r="P6" s="354">
        <f>VLOOKUP(Tableau1315[[#This Row],[PARCS]],Tableau16[],10,FALSE)</f>
        <v>-32636</v>
      </c>
      <c r="Q6" s="350">
        <f>VLOOKUP(Tableau1315[[#This Row],[PARCS]],Tableau16[],18,FALSE)</f>
        <v>-205070</v>
      </c>
      <c r="R6" s="350">
        <f>VLOOKUP(Tableau1315[[#This Row],[PARCS]],Tableau16[],19,FALSE)</f>
        <v>-1445600</v>
      </c>
      <c r="S6" s="20">
        <f>VLOOKUP(Tableau1315[[#This Row],[PARCS]],Tableau16[],28,FALSE)</f>
        <v>-26000</v>
      </c>
      <c r="T6" s="20">
        <f>VLOOKUP(Tableau1315[[#This Row],[PARCS]],Tableau16[],36,FALSE)</f>
        <v>-5000</v>
      </c>
      <c r="U6" s="20">
        <f>VLOOKUP(Tableau1315[[#This Row],[PARCS]],Tableau16[],37,FALSE)</f>
        <v>0</v>
      </c>
      <c r="V6" s="467">
        <f>SUM(Tableau1315[[#This Row],[CONTRAT O&amp;M FORFAIT GROUPE2]:[CHARGES exceptionnels (BONUS, sinistres)7]])</f>
        <v>-1714306</v>
      </c>
      <c r="W6" s="354">
        <f>VLOOKUP(Tableau1315[[#This Row],[PARCS]],Tableau17[],10,FALSE)</f>
        <v>-33451.899999999994</v>
      </c>
      <c r="X6" s="350">
        <f>VLOOKUP(Tableau1315[[#This Row],[PARCS]],Tableau17[],18,FALSE)</f>
        <v>-154660</v>
      </c>
      <c r="Y6" s="350">
        <f>VLOOKUP(Tableau1315[[#This Row],[PARCS]],Tableau17[],19,FALSE)</f>
        <v>-1481739.9999999998</v>
      </c>
      <c r="Z6" s="350">
        <f>VLOOKUP(Tableau1315[[#This Row],[PARCS]],Tableau17[],28,FALSE)</f>
        <v>-26000</v>
      </c>
      <c r="AA6" s="350">
        <f>VLOOKUP(Tableau1315[[#This Row],[PARCS]],Tableau17[],36,FALSE)</f>
        <v>-5000</v>
      </c>
      <c r="AB6" s="252">
        <f>VLOOKUP(Tableau1315[[#This Row],[PARCS]],Tableau17[],37,FALSE)</f>
        <v>0</v>
      </c>
      <c r="AC6" s="468">
        <f>SUM(Tableau1315[[#This Row],[CONTRAT O&amp;M FORFAIT GROUPE22]:[CHARGES exceptionnels (BONUS, sinistres)77]])</f>
        <v>-1700851.8999999997</v>
      </c>
      <c r="AD6" s="252">
        <f>Tableau1315[[#This Row],[TOTAL LE3]]-Tableau1315[[#This Row],[TOTAL BN-1]]</f>
        <v>-15936.440038875211</v>
      </c>
      <c r="AE6" s="351">
        <f>IFERROR((Tableau1315[[#This Row],[TOTAL LE3]]-Tableau1315[[#This Row],[TOTAL BN-1]])/Tableau1315[[#This Row],[TOTAL BN-1]],"")</f>
        <v>9.3833759239302372E-3</v>
      </c>
      <c r="AF6" s="252">
        <f>Tableau1315[[#This Row],[TOTAL BN+1]]-Tableau1315[[#This Row],[TOTAL LE3]]</f>
        <v>13454.100000000326</v>
      </c>
      <c r="AG6" s="351">
        <f>IFERROR((Tableau1315[[#This Row],[TOTAL BN+1]]-Tableau1315[[#This Row],[TOTAL LE3]])/Tableau1315[[#This Row],[TOTAL LE3]],"")</f>
        <v>-7.8481321304366466E-3</v>
      </c>
    </row>
    <row r="7" spans="1:34" hidden="1">
      <c r="A7" s="463" t="s">
        <v>504</v>
      </c>
      <c r="B7" s="464" t="str">
        <f>VLOOKUP(Tableau1315[[#This Row],[PARCS]],Tableau106[],3,FALSE)</f>
        <v>A418</v>
      </c>
      <c r="C7" s="464" t="str">
        <f>VLOOKUP(Tableau1315[[#This Row],[PARCS]],Tableau106[],2,FALSE)</f>
        <v>FR78E01E</v>
      </c>
      <c r="D7" s="465" t="str">
        <f>VLOOKUP(Tableau1315[[#This Row],[PARCS]],Tableau106[],8,FALSE)</f>
        <v>EOLIEN</v>
      </c>
      <c r="E7" s="465" t="str">
        <f>VLOOKUP(A7,Tableau106[[#Headers],[#Data]],6,FALSE)</f>
        <v>N</v>
      </c>
      <c r="F7" s="466" t="str">
        <f>VLOOKUP(Tableau1315[[#This Row],[PARCS]],Tableau106[],5,FALSE)</f>
        <v>ALVI</v>
      </c>
      <c r="G7" s="464" t="str">
        <f>VLOOKUP(Tableau1315[[#This Row],[PARCS]],Tableau106[],7,FALSE)</f>
        <v>GROUPE</v>
      </c>
      <c r="H7" s="464" t="str">
        <f>VLOOKUP(Tableau1315[[#This Row],[PARCS]],Tableau106[],9,FALSE)</f>
        <v>AyB</v>
      </c>
      <c r="I7" s="350">
        <f>IFERROR(VLOOKUP(Tableau1315[[#This Row],[PARCS]],Tableau15[],10,FALSE),"")</f>
        <v>-10436.073423782922</v>
      </c>
      <c r="J7" s="20">
        <f>IFERROR(VLOOKUP(Tableau1315[[#This Row],[PARCS]],Tableau15[],18,FALSE),"")</f>
        <v>-22882.5</v>
      </c>
      <c r="K7" s="252">
        <f>IFERROR(VLOOKUP(Tableau1315[[#This Row],[PARCS]],Tableau15[],19,FALSE),"")</f>
        <v>-255543.1</v>
      </c>
      <c r="L7" s="20">
        <f>IFERROR(VLOOKUP(Tableau1315[[#This Row],[PARCS]],Tableau15[],28,FALSE),"")</f>
        <v>-13325</v>
      </c>
      <c r="M7" s="252">
        <f>IFERROR(VLOOKUP(Tableau1315[[#This Row],[PARCS]],Tableau15[],36,FALSE),"")</f>
        <v>0</v>
      </c>
      <c r="N7" s="252">
        <f>IFERROR(VLOOKUP(Tableau1315[[#This Row],[PARCS]],Tableau15[],37,FALSE),"")</f>
        <v>0</v>
      </c>
      <c r="O7" s="468">
        <f>SUM(Tableau1315[[#This Row],[CONTRAT O&amp;M FORFAIT GROUPE]:[CHARGES exceptionnels (BONUS, sinistres)]])</f>
        <v>-302186.67342378292</v>
      </c>
      <c r="P7" s="354">
        <f>VLOOKUP(Tableau1315[[#This Row],[PARCS]],Tableau16[],10,FALSE)</f>
        <v>-10387</v>
      </c>
      <c r="Q7" s="350">
        <f>VLOOKUP(Tableau1315[[#This Row],[PARCS]],Tableau16[],18,FALSE)</f>
        <v>-16365.5</v>
      </c>
      <c r="R7" s="350">
        <f>VLOOKUP(Tableau1315[[#This Row],[PARCS]],Tableau16[],19,FALSE)</f>
        <v>-257000</v>
      </c>
      <c r="S7" s="20">
        <f>VLOOKUP(Tableau1315[[#This Row],[PARCS]],Tableau16[],28,FALSE)</f>
        <v>-49087.5</v>
      </c>
      <c r="T7" s="20">
        <f>VLOOKUP(Tableau1315[[#This Row],[PARCS]],Tableau16[],36,FALSE)</f>
        <v>-48827.5</v>
      </c>
      <c r="U7" s="20">
        <f>VLOOKUP(Tableau1315[[#This Row],[PARCS]],Tableau16[],37,FALSE)</f>
        <v>-13000</v>
      </c>
      <c r="V7" s="467">
        <f>SUM(Tableau1315[[#This Row],[CONTRAT O&amp;M FORFAIT GROUPE2]:[CHARGES exceptionnels (BONUS, sinistres)7]])</f>
        <v>-394667.5</v>
      </c>
      <c r="W7" s="354">
        <f>VLOOKUP(Tableau1315[[#This Row],[PARCS]],Tableau17[],10,FALSE)</f>
        <v>-10646.674999999999</v>
      </c>
      <c r="X7" s="350">
        <f>VLOOKUP(Tableau1315[[#This Row],[PARCS]],Tableau17[],18,FALSE)</f>
        <v>-16465.5</v>
      </c>
      <c r="Y7" s="350">
        <f>VLOOKUP(Tableau1315[[#This Row],[PARCS]],Tableau17[],19,FALSE)</f>
        <v>-263425</v>
      </c>
      <c r="Z7" s="350">
        <f>VLOOKUP(Tableau1315[[#This Row],[PARCS]],Tableau17[],28,FALSE)</f>
        <v>-9087.5</v>
      </c>
      <c r="AA7" s="350">
        <f>VLOOKUP(Tableau1315[[#This Row],[PARCS]],Tableau17[],36,FALSE)</f>
        <v>-15047.099999999999</v>
      </c>
      <c r="AB7" s="252">
        <f>VLOOKUP(Tableau1315[[#This Row],[PARCS]],Tableau17[],37,FALSE)</f>
        <v>0</v>
      </c>
      <c r="AC7" s="468">
        <f>SUM(Tableau1315[[#This Row],[CONTRAT O&amp;M FORFAIT GROUPE22]:[CHARGES exceptionnels (BONUS, sinistres)77]])</f>
        <v>-314671.77499999997</v>
      </c>
      <c r="AD7" s="252">
        <f>Tableau1315[[#This Row],[TOTAL LE3]]-Tableau1315[[#This Row],[TOTAL BN-1]]</f>
        <v>-92480.826576217078</v>
      </c>
      <c r="AE7" s="351">
        <f>IFERROR((Tableau1315[[#This Row],[TOTAL LE3]]-Tableau1315[[#This Row],[TOTAL BN-1]])/Tableau1315[[#This Row],[TOTAL BN-1]],"")</f>
        <v>0.30603873270917903</v>
      </c>
      <c r="AF7" s="252">
        <f>Tableau1315[[#This Row],[TOTAL BN+1]]-Tableau1315[[#This Row],[TOTAL LE3]]</f>
        <v>79995.725000000035</v>
      </c>
      <c r="AG7" s="351">
        <f>IFERROR((Tableau1315[[#This Row],[TOTAL BN+1]]-Tableau1315[[#This Row],[TOTAL LE3]])/Tableau1315[[#This Row],[TOTAL LE3]],"")</f>
        <v>-0.20269144279678472</v>
      </c>
    </row>
    <row r="8" spans="1:34">
      <c r="A8" s="463" t="s">
        <v>530</v>
      </c>
      <c r="B8" s="464" t="str">
        <f>VLOOKUP(Tableau1315[[#This Row],[PARCS]],Tableau106[],3,FALSE)</f>
        <v>A109</v>
      </c>
      <c r="C8" s="464" t="str">
        <f>VLOOKUP(Tableau1315[[#This Row],[PARCS]],Tableau106[],2,FALSE)</f>
        <v>FR15E01E</v>
      </c>
      <c r="D8" s="465" t="str">
        <f>VLOOKUP(Tableau1315[[#This Row],[PARCS]],Tableau106[],8,FALSE)</f>
        <v>EOLIEN</v>
      </c>
      <c r="E8" s="465" t="str">
        <f>VLOOKUP(A8,Tableau106[[#Headers],[#Data]],6,FALSE)</f>
        <v>S</v>
      </c>
      <c r="F8" s="466" t="str">
        <f>VLOOKUP(Tableau1315[[#This Row],[PARCS]],Tableau106[],5,FALSE)</f>
        <v>ALLA</v>
      </c>
      <c r="G8" s="464" t="str">
        <f>VLOOKUP(Tableau1315[[#This Row],[PARCS]],Tableau106[],7,FALSE)</f>
        <v>FUTUREN</v>
      </c>
      <c r="H8" s="464" t="str">
        <f>VLOOKUP(Tableau1315[[#This Row],[PARCS]],Tableau106[],9,FALSE)</f>
        <v>AuE</v>
      </c>
      <c r="I8" s="350">
        <f>IFERROR(VLOOKUP(Tableau1315[[#This Row],[PARCS]],Tableau15[],10,FALSE),"")</f>
        <v>-76424.459002973992</v>
      </c>
      <c r="J8" s="20">
        <f>IFERROR(VLOOKUP(Tableau1315[[#This Row],[PARCS]],Tableau15[],18,FALSE),"")</f>
        <v>-16200</v>
      </c>
      <c r="K8" s="252">
        <f>IFERROR(VLOOKUP(Tableau1315[[#This Row],[PARCS]],Tableau15[],19,FALSE),"")</f>
        <v>-242549.08970000001</v>
      </c>
      <c r="L8" s="20">
        <f>IFERROR(VLOOKUP(Tableau1315[[#This Row],[PARCS]],Tableau15[],28,FALSE),"")</f>
        <v>-49800</v>
      </c>
      <c r="M8" s="252">
        <f>IFERROR(VLOOKUP(Tableau1315[[#This Row],[PARCS]],Tableau15[],36,FALSE),"")</f>
        <v>-45000</v>
      </c>
      <c r="N8" s="252">
        <f>IFERROR(VLOOKUP(Tableau1315[[#This Row],[PARCS]],Tableau15[],37,FALSE),"")</f>
        <v>-20000</v>
      </c>
      <c r="O8" s="468">
        <f>SUM(Tableau1315[[#This Row],[CONTRAT O&amp;M FORFAIT GROUPE]:[CHARGES exceptionnels (BONUS, sinistres)]])</f>
        <v>-449973.54870297399</v>
      </c>
      <c r="P8" s="354">
        <f>VLOOKUP(Tableau1315[[#This Row],[PARCS]],Tableau16[],10,FALSE)</f>
        <v>-76855</v>
      </c>
      <c r="Q8" s="350">
        <f>VLOOKUP(Tableau1315[[#This Row],[PARCS]],Tableau16[],18,FALSE)</f>
        <v>-19330</v>
      </c>
      <c r="R8" s="350">
        <f>VLOOKUP(Tableau1315[[#This Row],[PARCS]],Tableau16[],19,FALSE)</f>
        <v>-267979</v>
      </c>
      <c r="S8" s="20">
        <f>VLOOKUP(Tableau1315[[#This Row],[PARCS]],Tableau16[],28,FALSE)</f>
        <v>-11737.92562064</v>
      </c>
      <c r="T8" s="20">
        <f>VLOOKUP(Tableau1315[[#This Row],[PARCS]],Tableau16[],36,FALSE)</f>
        <v>-33925</v>
      </c>
      <c r="U8" s="20">
        <f>VLOOKUP(Tableau1315[[#This Row],[PARCS]],Tableau16[],37,FALSE)</f>
        <v>-20000</v>
      </c>
      <c r="V8" s="467">
        <f>SUM(Tableau1315[[#This Row],[CONTRAT O&amp;M FORFAIT GROUPE2]:[CHARGES exceptionnels (BONUS, sinistres)7]])</f>
        <v>-429826.92562063999</v>
      </c>
      <c r="W8" s="354">
        <f>VLOOKUP(Tableau1315[[#This Row],[PARCS]],Tableau17[],10,FALSE)</f>
        <v>-78776.375</v>
      </c>
      <c r="X8" s="350">
        <f>VLOOKUP(Tableau1315[[#This Row],[PARCS]],Tableau17[],18,FALSE)</f>
        <v>-23540</v>
      </c>
      <c r="Y8" s="350">
        <f>VLOOKUP(Tableau1315[[#This Row],[PARCS]],Tableau17[],19,FALSE)</f>
        <v>-274678.47499999998</v>
      </c>
      <c r="Z8" s="350">
        <f>VLOOKUP(Tableau1315[[#This Row],[PARCS]],Tableau17[],28,FALSE)</f>
        <v>-22017.925620640002</v>
      </c>
      <c r="AA8" s="350">
        <f>VLOOKUP(Tableau1315[[#This Row],[PARCS]],Tableau17[],36,FALSE)</f>
        <v>-74547.100000000006</v>
      </c>
      <c r="AB8" s="252">
        <f>VLOOKUP(Tableau1315[[#This Row],[PARCS]],Tableau17[],37,FALSE)</f>
        <v>0</v>
      </c>
      <c r="AC8" s="468">
        <f>SUM(Tableau1315[[#This Row],[CONTRAT O&amp;M FORFAIT GROUPE22]:[CHARGES exceptionnels (BONUS, sinistres)77]])</f>
        <v>-473559.87562064</v>
      </c>
      <c r="AD8" s="252">
        <f>Tableau1315[[#This Row],[TOTAL LE3]]-Tableau1315[[#This Row],[TOTAL BN-1]]</f>
        <v>20146.623082334001</v>
      </c>
      <c r="AE8" s="351">
        <f>IFERROR((Tableau1315[[#This Row],[TOTAL LE3]]-Tableau1315[[#This Row],[TOTAL BN-1]])/Tableau1315[[#This Row],[TOTAL BN-1]],"")</f>
        <v>-4.4772905297223858E-2</v>
      </c>
      <c r="AF8" s="252">
        <f>Tableau1315[[#This Row],[TOTAL BN+1]]-Tableau1315[[#This Row],[TOTAL LE3]]</f>
        <v>-43732.950000000012</v>
      </c>
      <c r="AG8" s="351">
        <f>IFERROR((Tableau1315[[#This Row],[TOTAL BN+1]]-Tableau1315[[#This Row],[TOTAL LE3]])/Tableau1315[[#This Row],[TOTAL LE3]],"")</f>
        <v>0.10174548729550317</v>
      </c>
      <c r="AH8" s="6" t="s">
        <v>713</v>
      </c>
    </row>
    <row r="9" spans="1:34" hidden="1">
      <c r="A9" s="463" t="s">
        <v>539</v>
      </c>
      <c r="B9" s="464" t="str">
        <f>VLOOKUP(Tableau1315[[#This Row],[PARCS]],Tableau106[],3,FALSE)</f>
        <v>A295</v>
      </c>
      <c r="C9" s="464" t="str">
        <f>VLOOKUP(Tableau1315[[#This Row],[PARCS]],Tableau106[],2,FALSE)</f>
        <v>FR43S04E</v>
      </c>
      <c r="D9" s="465" t="str">
        <f>VLOOKUP(Tableau1315[[#This Row],[PARCS]],Tableau106[],8,FALSE)</f>
        <v>SOLAIRE</v>
      </c>
      <c r="E9" s="465" t="str">
        <f>VLOOKUP(A9,Tableau106[[#Headers],[#Data]],6,FALSE)</f>
        <v>S</v>
      </c>
      <c r="F9" s="466" t="str">
        <f>VLOOKUP(Tableau1315[[#This Row],[PARCS]],Tableau106[],5,FALSE)</f>
        <v>MSTV</v>
      </c>
      <c r="G9" s="464" t="str">
        <f>VLOOKUP(Tableau1315[[#This Row],[PARCS]],Tableau106[],7,FALSE)</f>
        <v>GROUPE</v>
      </c>
      <c r="H9" s="464" t="str">
        <f>VLOOKUP(Tableau1315[[#This Row],[PARCS]],Tableau106[],9,FALSE)</f>
        <v>ArB</v>
      </c>
      <c r="I9" s="350">
        <f>IFERROR(VLOOKUP(Tableau1315[[#This Row],[PARCS]],Tableau15[],10,FALSE),"")</f>
        <v>-14790</v>
      </c>
      <c r="J9" s="20">
        <f>IFERROR(VLOOKUP(Tableau1315[[#This Row],[PARCS]],Tableau15[],18,FALSE),"")</f>
        <v>-2900</v>
      </c>
      <c r="K9" s="252">
        <f>IFERROR(VLOOKUP(Tableau1315[[#This Row],[PARCS]],Tableau15[],19,FALSE),"")</f>
        <v>0</v>
      </c>
      <c r="L9" s="20">
        <f>IFERROR(VLOOKUP(Tableau1315[[#This Row],[PARCS]],Tableau15[],28,FALSE),"")</f>
        <v>-1450</v>
      </c>
      <c r="M9" s="252">
        <f>IFERROR(VLOOKUP(Tableau1315[[#This Row],[PARCS]],Tableau15[],36,FALSE),"")</f>
        <v>0</v>
      </c>
      <c r="N9" s="252">
        <f>IFERROR(VLOOKUP(Tableau1315[[#This Row],[PARCS]],Tableau15[],37,FALSE),"")</f>
        <v>0</v>
      </c>
      <c r="O9" s="468">
        <f>SUM(Tableau1315[[#This Row],[CONTRAT O&amp;M FORFAIT GROUPE]:[CHARGES exceptionnels (BONUS, sinistres)]])</f>
        <v>-19140</v>
      </c>
      <c r="P9" s="354">
        <f>VLOOKUP(Tableau1315[[#This Row],[PARCS]],Tableau16[],10,FALSE)</f>
        <v>-24000</v>
      </c>
      <c r="Q9" s="252">
        <f>VLOOKUP(Tableau1315[[#This Row],[PARCS]],Tableau16[],18,FALSE)</f>
        <v>-3100</v>
      </c>
      <c r="R9" s="252">
        <f>VLOOKUP(Tableau1315[[#This Row],[PARCS]],Tableau16[],19,FALSE)</f>
        <v>-22400</v>
      </c>
      <c r="S9" s="252">
        <f>VLOOKUP(Tableau1315[[#This Row],[PARCS]],Tableau16[],28,FALSE)</f>
        <v>-3200</v>
      </c>
      <c r="T9" s="252">
        <f>VLOOKUP(Tableau1315[[#This Row],[PARCS]],Tableau16[],36,FALSE)</f>
        <v>0</v>
      </c>
      <c r="U9" s="252">
        <f>VLOOKUP(Tableau1315[[#This Row],[PARCS]],Tableau16[],37,FALSE)</f>
        <v>0</v>
      </c>
      <c r="V9" s="467">
        <f>SUM(Tableau1315[[#This Row],[CONTRAT O&amp;M FORFAIT GROUPE2]:[CHARGES exceptionnels (BONUS, sinistres)7]])</f>
        <v>-52700</v>
      </c>
      <c r="W9" s="354">
        <f>VLOOKUP(Tableau1315[[#This Row],[PARCS]],Tableau17[],10,FALSE)</f>
        <v>-24599.999999999996</v>
      </c>
      <c r="X9" s="252">
        <f>VLOOKUP(Tableau1315[[#This Row],[PARCS]],Tableau17[],18,FALSE)</f>
        <v>-700</v>
      </c>
      <c r="Y9" s="252">
        <f>VLOOKUP(Tableau1315[[#This Row],[PARCS]],Tableau17[],19,FALSE)</f>
        <v>-22959.999999999996</v>
      </c>
      <c r="Z9" s="252">
        <f>VLOOKUP(Tableau1315[[#This Row],[PARCS]],Tableau17[],28,FALSE)</f>
        <v>-3200</v>
      </c>
      <c r="AA9" s="252">
        <f>VLOOKUP(Tableau1315[[#This Row],[PARCS]],Tableau17[],36,FALSE)</f>
        <v>-5000</v>
      </c>
      <c r="AB9" s="252">
        <f>VLOOKUP(Tableau1315[[#This Row],[PARCS]],Tableau17[],37,FALSE)</f>
        <v>0</v>
      </c>
      <c r="AC9" s="468">
        <f>SUM(Tableau1315[[#This Row],[CONTRAT O&amp;M FORFAIT GROUPE22]:[CHARGES exceptionnels (BONUS, sinistres)77]])</f>
        <v>-56459.999999999993</v>
      </c>
      <c r="AD9" s="252">
        <f>Tableau1315[[#This Row],[TOTAL LE3]]-Tableau1315[[#This Row],[TOTAL BN-1]]</f>
        <v>-33560</v>
      </c>
      <c r="AE9" s="351">
        <f>IFERROR((Tableau1315[[#This Row],[TOTAL LE3]]-Tableau1315[[#This Row],[TOTAL BN-1]])/Tableau1315[[#This Row],[TOTAL BN-1]],"")</f>
        <v>1.7533960292580981</v>
      </c>
      <c r="AF9" s="252">
        <f>Tableau1315[[#This Row],[TOTAL BN+1]]-Tableau1315[[#This Row],[TOTAL LE3]]</f>
        <v>-3759.9999999999927</v>
      </c>
      <c r="AG9" s="351">
        <f>IFERROR((Tableau1315[[#This Row],[TOTAL BN+1]]-Tableau1315[[#This Row],[TOTAL LE3]])/Tableau1315[[#This Row],[TOTAL LE3]],"")</f>
        <v>7.1347248576849959E-2</v>
      </c>
      <c r="AH9" s="6" t="s">
        <v>714</v>
      </c>
    </row>
    <row r="10" spans="1:34" hidden="1">
      <c r="A10" s="463" t="s">
        <v>479</v>
      </c>
      <c r="B10" s="464" t="str">
        <f>VLOOKUP(Tableau1315[[#This Row],[PARCS]],Tableau106[],3,FALSE)</f>
        <v>A541</v>
      </c>
      <c r="C10" s="464" t="str">
        <f>VLOOKUP(Tableau1315[[#This Row],[PARCS]],Tableau106[],2,FALSE)</f>
        <v>FR57E04E</v>
      </c>
      <c r="D10" s="465" t="str">
        <f>VLOOKUP(Tableau1315[[#This Row],[PARCS]],Tableau106[],8,FALSE)</f>
        <v>EOLIEN</v>
      </c>
      <c r="E10" s="465" t="str">
        <f>VLOOKUP(A10,Tableau106[[#Headers],[#Data]],6,FALSE)</f>
        <v>N</v>
      </c>
      <c r="F10" s="466" t="str">
        <f>VLOOKUP(Tableau1315[[#This Row],[PARCS]],Tableau106[],5,FALSE)</f>
        <v>AMEL</v>
      </c>
      <c r="G10" s="464" t="str">
        <f>VLOOKUP(Tableau1315[[#This Row],[PARCS]],Tableau106[],7,FALSE)</f>
        <v>EGM</v>
      </c>
      <c r="H10" s="464" t="str">
        <f>VLOOKUP(Tableau1315[[#This Row],[PARCS]],Tableau106[],9,FALSE)</f>
        <v>NoS</v>
      </c>
      <c r="I10" s="350">
        <f>IFERROR(VLOOKUP(Tableau1315[[#This Row],[PARCS]],Tableau15[],10,FALSE),"")</f>
        <v>-307815.93714434805</v>
      </c>
      <c r="J10" s="20">
        <f>IFERROR(VLOOKUP(Tableau1315[[#This Row],[PARCS]],Tableau15[],18,FALSE),"")</f>
        <v>-55882.539682539682</v>
      </c>
      <c r="K10" s="252">
        <f>IFERROR(VLOOKUP(Tableau1315[[#This Row],[PARCS]],Tableau15[],19,FALSE),"")</f>
        <v>0</v>
      </c>
      <c r="L10" s="20">
        <f>IFERROR(VLOOKUP(Tableau1315[[#This Row],[PARCS]],Tableau15[],28,FALSE),"")</f>
        <v>-8000</v>
      </c>
      <c r="M10" s="252">
        <f>IFERROR(VLOOKUP(Tableau1315[[#This Row],[PARCS]],Tableau15[],36,FALSE),"")</f>
        <v>0</v>
      </c>
      <c r="N10" s="252">
        <f>IFERROR(VLOOKUP(Tableau1315[[#This Row],[PARCS]],Tableau15[],37,FALSE),"")</f>
        <v>0</v>
      </c>
      <c r="O10" s="467">
        <f>SUM(Tableau1315[[#This Row],[CONTRAT O&amp;M FORFAIT GROUPE]:[CHARGES exceptionnels (BONUS, sinistres)]])</f>
        <v>-371698.47682688775</v>
      </c>
      <c r="P10" s="354">
        <f>VLOOKUP(Tableau1315[[#This Row],[PARCS]],Tableau16[],10,FALSE)</f>
        <v>-309548</v>
      </c>
      <c r="Q10" s="350">
        <f>VLOOKUP(Tableau1315[[#This Row],[PARCS]],Tableau16[],18,FALSE)</f>
        <v>-237200</v>
      </c>
      <c r="R10" s="350">
        <f>VLOOKUP(Tableau1315[[#This Row],[PARCS]],Tableau16[],19,FALSE)</f>
        <v>0</v>
      </c>
      <c r="S10" s="20">
        <f>VLOOKUP(Tableau1315[[#This Row],[PARCS]],Tableau16[],28,FALSE)</f>
        <v>-8750</v>
      </c>
      <c r="T10" s="20">
        <f>VLOOKUP(Tableau1315[[#This Row],[PARCS]],Tableau16[],36,FALSE)</f>
        <v>0</v>
      </c>
      <c r="U10" s="20">
        <f>VLOOKUP(Tableau1315[[#This Row],[PARCS]],Tableau16[],37,FALSE)</f>
        <v>0</v>
      </c>
      <c r="V10" s="467">
        <f>SUM(Tableau1315[[#This Row],[CONTRAT O&amp;M FORFAIT GROUPE2]:[CHARGES exceptionnels (BONUS, sinistres)7]])</f>
        <v>-555498</v>
      </c>
      <c r="W10" s="354">
        <f>VLOOKUP(Tableau1315[[#This Row],[PARCS]],Tableau17[],10,FALSE)</f>
        <v>-317286.69999999995</v>
      </c>
      <c r="X10" s="350">
        <f>VLOOKUP(Tableau1315[[#This Row],[PARCS]],Tableau17[],18,FALSE)</f>
        <v>-157200</v>
      </c>
      <c r="Y10" s="350">
        <f>VLOOKUP(Tableau1315[[#This Row],[PARCS]],Tableau17[],19,FALSE)</f>
        <v>0</v>
      </c>
      <c r="Z10" s="350">
        <f>VLOOKUP(Tableau1315[[#This Row],[PARCS]],Tableau17[],28,FALSE)</f>
        <v>-5000</v>
      </c>
      <c r="AA10" s="350">
        <f>VLOOKUP(Tableau1315[[#This Row],[PARCS]],Tableau17[],36,FALSE)</f>
        <v>0</v>
      </c>
      <c r="AB10" s="252">
        <f>VLOOKUP(Tableau1315[[#This Row],[PARCS]],Tableau17[],37,FALSE)</f>
        <v>0</v>
      </c>
      <c r="AC10" s="468">
        <f>SUM(Tableau1315[[#This Row],[CONTRAT O&amp;M FORFAIT GROUPE22]:[CHARGES exceptionnels (BONUS, sinistres)77]])</f>
        <v>-479486.69999999995</v>
      </c>
      <c r="AD10" s="252">
        <f>Tableau1315[[#This Row],[TOTAL LE3]]-Tableau1315[[#This Row],[TOTAL BN-1]]</f>
        <v>-183799.52317311225</v>
      </c>
      <c r="AE10" s="351">
        <f>IFERROR((Tableau1315[[#This Row],[TOTAL LE3]]-Tableau1315[[#This Row],[TOTAL BN-1]])/Tableau1315[[#This Row],[TOTAL BN-1]],"")</f>
        <v>0.4944855430728971</v>
      </c>
      <c r="AF10" s="252">
        <f>Tableau1315[[#This Row],[TOTAL BN+1]]-Tableau1315[[#This Row],[TOTAL LE3]]</f>
        <v>76011.300000000047</v>
      </c>
      <c r="AG10" s="351">
        <f>IFERROR((Tableau1315[[#This Row],[TOTAL BN+1]]-Tableau1315[[#This Row],[TOTAL LE3]])/Tableau1315[[#This Row],[TOTAL LE3]],"")</f>
        <v>-0.13683451605586347</v>
      </c>
    </row>
    <row r="11" spans="1:34">
      <c r="A11" s="463" t="s">
        <v>508</v>
      </c>
      <c r="B11" s="464" t="str">
        <f>VLOOKUP(Tableau1315[[#This Row],[PARCS]],Tableau106[],3,FALSE)</f>
        <v>F245</v>
      </c>
      <c r="C11" s="464" t="str">
        <f>VLOOKUP(Tableau1315[[#This Row],[PARCS]],Tableau106[],2,FALSE)</f>
        <v>FR17E07E</v>
      </c>
      <c r="D11" s="465" t="str">
        <f>VLOOKUP(Tableau1315[[#This Row],[PARCS]],Tableau106[],8,FALSE)</f>
        <v>EOLIEN</v>
      </c>
      <c r="E11" s="465" t="str">
        <f>VLOOKUP(A11,Tableau106[[#Headers],[#Data]],6,FALSE)</f>
        <v>N</v>
      </c>
      <c r="F11" s="466" t="str">
        <f>VLOOKUP(Tableau1315[[#This Row],[PARCS]],Tableau106[],5,FALSE)</f>
        <v>ANPA</v>
      </c>
      <c r="G11" s="464" t="str">
        <f>VLOOKUP(Tableau1315[[#This Row],[PARCS]],Tableau106[],7,FALSE)</f>
        <v>FUTUREN</v>
      </c>
      <c r="H11" s="464" t="str">
        <f>VLOOKUP(Tableau1315[[#This Row],[PARCS]],Tableau106[],9,FALSE)</f>
        <v>KéC</v>
      </c>
      <c r="I11" s="350">
        <f>IFERROR(VLOOKUP(Tableau1315[[#This Row],[PARCS]],Tableau15[],10,FALSE),"")</f>
        <v>0</v>
      </c>
      <c r="J11" s="20">
        <f>IFERROR(VLOOKUP(Tableau1315[[#This Row],[PARCS]],Tableau15[],18,FALSE),"")</f>
        <v>-12000</v>
      </c>
      <c r="K11" s="252">
        <f>IFERROR(VLOOKUP(Tableau1315[[#This Row],[PARCS]],Tableau15[],19,FALSE),"")</f>
        <v>0</v>
      </c>
      <c r="L11" s="20">
        <f>IFERROR(VLOOKUP(Tableau1315[[#This Row],[PARCS]],Tableau15[],28,FALSE),"")</f>
        <v>-6000</v>
      </c>
      <c r="M11" s="252">
        <f>IFERROR(VLOOKUP(Tableau1315[[#This Row],[PARCS]],Tableau15[],36,FALSE),"")</f>
        <v>-60000</v>
      </c>
      <c r="N11" s="252">
        <f>IFERROR(VLOOKUP(Tableau1315[[#This Row],[PARCS]],Tableau15[],37,FALSE),"")</f>
        <v>0</v>
      </c>
      <c r="O11" s="467">
        <f>SUM(Tableau1315[[#This Row],[CONTRAT O&amp;M FORFAIT GROUPE]:[CHARGES exceptionnels (BONUS, sinistres)]])</f>
        <v>-78000</v>
      </c>
      <c r="P11" s="354">
        <f>VLOOKUP(Tableau1315[[#This Row],[PARCS]],Tableau16[],10,FALSE)</f>
        <v>0</v>
      </c>
      <c r="Q11" s="350">
        <f>VLOOKUP(Tableau1315[[#This Row],[PARCS]],Tableau16[],18,FALSE)</f>
        <v>-8752</v>
      </c>
      <c r="R11" s="350">
        <f>VLOOKUP(Tableau1315[[#This Row],[PARCS]],Tableau16[],19,FALSE)</f>
        <v>-162569.05840000001</v>
      </c>
      <c r="S11" s="20">
        <f>VLOOKUP(Tableau1315[[#This Row],[PARCS]],Tableau16[],28,FALSE)</f>
        <v>-16460.667215248002</v>
      </c>
      <c r="T11" s="20">
        <f>VLOOKUP(Tableau1315[[#This Row],[PARCS]],Tableau16[],36,FALSE)</f>
        <v>-64068</v>
      </c>
      <c r="U11" s="20">
        <f>VLOOKUP(Tableau1315[[#This Row],[PARCS]],Tableau16[],37,FALSE)</f>
        <v>-7000</v>
      </c>
      <c r="V11" s="467">
        <f>SUM(Tableau1315[[#This Row],[CONTRAT O&amp;M FORFAIT GROUPE2]:[CHARGES exceptionnels (BONUS, sinistres)7]])</f>
        <v>-258849.72561524803</v>
      </c>
      <c r="W11" s="354">
        <f>VLOOKUP(Tableau1315[[#This Row],[PARCS]],Tableau17[],10,FALSE)</f>
        <v>0</v>
      </c>
      <c r="X11" s="350">
        <f>VLOOKUP(Tableau1315[[#This Row],[PARCS]],Tableau17[],18,FALSE)</f>
        <v>-8280</v>
      </c>
      <c r="Y11" s="350">
        <f>VLOOKUP(Tableau1315[[#This Row],[PARCS]],Tableau17[],19,FALSE)</f>
        <v>-166633.28485999999</v>
      </c>
      <c r="Z11" s="350">
        <f>VLOOKUP(Tableau1315[[#This Row],[PARCS]],Tableau17[],28,FALSE)</f>
        <v>-14769.3108472</v>
      </c>
      <c r="AA11" s="350">
        <f>VLOOKUP(Tableau1315[[#This Row],[PARCS]],Tableau17[],36,FALSE)</f>
        <v>-64000</v>
      </c>
      <c r="AB11" s="252">
        <f>VLOOKUP(Tableau1315[[#This Row],[PARCS]],Tableau17[],37,FALSE)</f>
        <v>0</v>
      </c>
      <c r="AC11" s="468">
        <f>SUM(Tableau1315[[#This Row],[CONTRAT O&amp;M FORFAIT GROUPE22]:[CHARGES exceptionnels (BONUS, sinistres)77]])</f>
        <v>-253682.59570719997</v>
      </c>
      <c r="AD11" s="252">
        <f>Tableau1315[[#This Row],[TOTAL LE3]]-Tableau1315[[#This Row],[TOTAL BN-1]]</f>
        <v>-180849.72561524803</v>
      </c>
      <c r="AE11" s="351">
        <f>IFERROR((Tableau1315[[#This Row],[TOTAL LE3]]-Tableau1315[[#This Row],[TOTAL BN-1]])/Tableau1315[[#This Row],[TOTAL BN-1]],"")</f>
        <v>2.3185862258365133</v>
      </c>
      <c r="AF11" s="252">
        <f>Tableau1315[[#This Row],[TOTAL BN+1]]-Tableau1315[[#This Row],[TOTAL LE3]]</f>
        <v>5167.129908048053</v>
      </c>
      <c r="AG11" s="351">
        <f>IFERROR((Tableau1315[[#This Row],[TOTAL BN+1]]-Tableau1315[[#This Row],[TOTAL LE3]])/Tableau1315[[#This Row],[TOTAL LE3]],"")</f>
        <v>-1.9961890613430396E-2</v>
      </c>
      <c r="AH11" s="469" t="s">
        <v>715</v>
      </c>
    </row>
    <row r="12" spans="1:34" hidden="1">
      <c r="A12" s="463" t="s">
        <v>614</v>
      </c>
      <c r="B12" s="464" t="str">
        <f>VLOOKUP(Tableau1315[[#This Row],[PARCS]],Tableau106[],3,FALSE)</f>
        <v>A168</v>
      </c>
      <c r="C12" s="464" t="str">
        <f>VLOOKUP(Tableau1315[[#This Row],[PARCS]],Tableau106[],2,FALSE)</f>
        <v>FR97S89E</v>
      </c>
      <c r="D12" s="465" t="str">
        <f>VLOOKUP(Tableau1315[[#This Row],[PARCS]],Tableau106[],8,FALSE)</f>
        <v>SOLAIRE DOM</v>
      </c>
      <c r="E12" s="465" t="str">
        <f>VLOOKUP(A12,Tableau106[[#Headers],[#Data]],6,FALSE)</f>
        <v>DOM</v>
      </c>
      <c r="F12" s="466" t="str">
        <f>VLOOKUP(Tableau1315[[#This Row],[PARCS]],Tableau106[],5,FALSE)</f>
        <v>TOUC</v>
      </c>
      <c r="G12" s="464" t="str">
        <f>VLOOKUP(Tableau1315[[#This Row],[PARCS]],Tableau106[],7,FALSE)</f>
        <v>GROUPE</v>
      </c>
      <c r="H12" s="464" t="str">
        <f>VLOOKUP(Tableau1315[[#This Row],[PARCS]],Tableau106[],9,FALSE)</f>
        <v>DoJ</v>
      </c>
      <c r="I12" s="350">
        <f>IFERROR(VLOOKUP(Tableau1315[[#This Row],[PARCS]],Tableau15[],10,FALSE),"")</f>
        <v>0</v>
      </c>
      <c r="J12" s="20">
        <f>IFERROR(VLOOKUP(Tableau1315[[#This Row],[PARCS]],Tableau15[],18,FALSE),"")</f>
        <v>-19440</v>
      </c>
      <c r="K12" s="252">
        <f>IFERROR(VLOOKUP(Tableau1315[[#This Row],[PARCS]],Tableau15[],19,FALSE),"")</f>
        <v>-191402.8</v>
      </c>
      <c r="L12" s="20">
        <f>IFERROR(VLOOKUP(Tableau1315[[#This Row],[PARCS]],Tableau15[],28,FALSE),"")</f>
        <v>-9300</v>
      </c>
      <c r="M12" s="252">
        <f>IFERROR(VLOOKUP(Tableau1315[[#This Row],[PARCS]],Tableau15[],36,FALSE),"")</f>
        <v>-23920</v>
      </c>
      <c r="N12" s="252">
        <f>IFERROR(VLOOKUP(Tableau1315[[#This Row],[PARCS]],Tableau15[],37,FALSE),"")</f>
        <v>0</v>
      </c>
      <c r="O12" s="467">
        <f>SUM(Tableau1315[[#This Row],[CONTRAT O&amp;M FORFAIT GROUPE]:[CHARGES exceptionnels (BONUS, sinistres)]])</f>
        <v>-244062.8</v>
      </c>
      <c r="P12" s="354">
        <f>VLOOKUP(Tableau1315[[#This Row],[PARCS]],Tableau16[],10,FALSE)</f>
        <v>0</v>
      </c>
      <c r="Q12" s="252">
        <f>VLOOKUP(Tableau1315[[#This Row],[PARCS]],Tableau16[],18,FALSE)</f>
        <v>-6289.5</v>
      </c>
      <c r="R12" s="252">
        <f>VLOOKUP(Tableau1315[[#This Row],[PARCS]],Tableau16[],19,FALSE)</f>
        <v>-521421</v>
      </c>
      <c r="S12" s="252">
        <f>VLOOKUP(Tableau1315[[#This Row],[PARCS]],Tableau16[],28,FALSE)</f>
        <v>-142906.57</v>
      </c>
      <c r="T12" s="252">
        <f>VLOOKUP(Tableau1315[[#This Row],[PARCS]],Tableau16[],36,FALSE)</f>
        <v>0</v>
      </c>
      <c r="U12" s="252">
        <f>VLOOKUP(Tableau1315[[#This Row],[PARCS]],Tableau16[],37,FALSE)</f>
        <v>0</v>
      </c>
      <c r="V12" s="467">
        <f>SUM(Tableau1315[[#This Row],[CONTRAT O&amp;M FORFAIT GROUPE2]:[CHARGES exceptionnels (BONUS, sinistres)7]])</f>
        <v>-670617.07000000007</v>
      </c>
      <c r="W12" s="354">
        <f>VLOOKUP(Tableau1315[[#This Row],[PARCS]],Tableau17[],10,FALSE)</f>
        <v>0</v>
      </c>
      <c r="X12" s="252">
        <f>VLOOKUP(Tableau1315[[#This Row],[PARCS]],Tableau17[],18,FALSE)</f>
        <v>-6289.5</v>
      </c>
      <c r="Y12" s="252">
        <f>VLOOKUP(Tableau1315[[#This Row],[PARCS]],Tableau17[],19,FALSE)</f>
        <v>-534456.52499999991</v>
      </c>
      <c r="Z12" s="252">
        <f>VLOOKUP(Tableau1315[[#This Row],[PARCS]],Tableau17[],28,FALSE)</f>
        <v>-61335.701999999997</v>
      </c>
      <c r="AA12" s="252">
        <f>VLOOKUP(Tableau1315[[#This Row],[PARCS]],Tableau17[],36,FALSE)</f>
        <v>-23920</v>
      </c>
      <c r="AB12" s="252">
        <f>VLOOKUP(Tableau1315[[#This Row],[PARCS]],Tableau17[],37,FALSE)</f>
        <v>0</v>
      </c>
      <c r="AC12" s="468">
        <f>SUM(Tableau1315[[#This Row],[CONTRAT O&amp;M FORFAIT GROUPE22]:[CHARGES exceptionnels (BONUS, sinistres)77]])</f>
        <v>-626001.72699999996</v>
      </c>
      <c r="AD12" s="252">
        <f>Tableau1315[[#This Row],[TOTAL LE3]]-Tableau1315[[#This Row],[TOTAL BN-1]]</f>
        <v>-426554.27000000008</v>
      </c>
      <c r="AE12" s="351">
        <f>IFERROR((Tableau1315[[#This Row],[TOTAL LE3]]-Tableau1315[[#This Row],[TOTAL BN-1]])/Tableau1315[[#This Row],[TOTAL BN-1]],"")</f>
        <v>1.7477234138098887</v>
      </c>
      <c r="AF12" s="252">
        <f>Tableau1315[[#This Row],[TOTAL BN+1]]-Tableau1315[[#This Row],[TOTAL LE3]]</f>
        <v>44615.34300000011</v>
      </c>
      <c r="AG12" s="351">
        <f>IFERROR((Tableau1315[[#This Row],[TOTAL BN+1]]-Tableau1315[[#This Row],[TOTAL LE3]])/Tableau1315[[#This Row],[TOTAL LE3]],"")</f>
        <v>-6.652879116244402E-2</v>
      </c>
      <c r="AH12" s="6" t="s">
        <v>716</v>
      </c>
    </row>
    <row r="13" spans="1:34" hidden="1">
      <c r="A13" s="463" t="s">
        <v>83</v>
      </c>
      <c r="B13" s="464" t="str">
        <f>VLOOKUP(Tableau1315[[#This Row],[PARCS]],Tableau106[],3,FALSE)</f>
        <v>A253</v>
      </c>
      <c r="C13" s="464" t="str">
        <f>VLOOKUP(Tableau1315[[#This Row],[PARCS]],Tableau106[],2,FALSE)</f>
        <v>FR21S01E</v>
      </c>
      <c r="D13" s="465" t="str">
        <f>VLOOKUP(Tableau1315[[#This Row],[PARCS]],Tableau106[],8,FALSE)</f>
        <v>SOLAIRE</v>
      </c>
      <c r="E13" s="465" t="str">
        <f>VLOOKUP(A13,Tableau106[[#Headers],[#Data]],6,FALSE)</f>
        <v>N</v>
      </c>
      <c r="F13" s="466" t="str">
        <f>VLOOKUP(Tableau1315[[#This Row],[PARCS]],Tableau106[],5,FALSE)</f>
        <v>DIJO</v>
      </c>
      <c r="G13" s="464" t="str">
        <f>VLOOKUP(Tableau1315[[#This Row],[PARCS]],Tableau106[],7,FALSE)</f>
        <v>GROUPE</v>
      </c>
      <c r="H13" s="464" t="str">
        <f>VLOOKUP(Tableau1315[[#This Row],[PARCS]],Tableau106[],9,FALSE)</f>
        <v>LoG</v>
      </c>
      <c r="I13" s="350">
        <f>IFERROR(VLOOKUP(Tableau1315[[#This Row],[PARCS]],Tableau15[],10,FALSE),"")</f>
        <v>-36312</v>
      </c>
      <c r="J13" s="20">
        <f>IFERROR(VLOOKUP(Tableau1315[[#This Row],[PARCS]],Tableau15[],18,FALSE),"")</f>
        <v>-29900</v>
      </c>
      <c r="K13" s="252">
        <f>IFERROR(VLOOKUP(Tableau1315[[#This Row],[PARCS]],Tableau15[],19,FALSE),"")</f>
        <v>0</v>
      </c>
      <c r="L13" s="20">
        <f>IFERROR(VLOOKUP(Tableau1315[[#This Row],[PARCS]],Tableau15[],28,FALSE),"")</f>
        <v>-7200</v>
      </c>
      <c r="M13" s="252">
        <f>IFERROR(VLOOKUP(Tableau1315[[#This Row],[PARCS]],Tableau15[],36,FALSE),"")</f>
        <v>0</v>
      </c>
      <c r="N13" s="252">
        <f>IFERROR(VLOOKUP(Tableau1315[[#This Row],[PARCS]],Tableau15[],37,FALSE),"")</f>
        <v>0</v>
      </c>
      <c r="O13" s="467">
        <f>SUM(Tableau1315[[#This Row],[CONTRAT O&amp;M FORFAIT GROUPE]:[CHARGES exceptionnels (BONUS, sinistres)]])</f>
        <v>-73412</v>
      </c>
      <c r="P13" s="354">
        <f>VLOOKUP(Tableau1315[[#This Row],[PARCS]],Tableau16[],10,FALSE)</f>
        <v>-92027</v>
      </c>
      <c r="Q13" s="350">
        <f>VLOOKUP(Tableau1315[[#This Row],[PARCS]],Tableau16[],18,FALSE)</f>
        <v>-63427.7</v>
      </c>
      <c r="R13" s="350">
        <f>VLOOKUP(Tableau1315[[#This Row],[PARCS]],Tableau16[],19,FALSE)</f>
        <v>0</v>
      </c>
      <c r="S13" s="20">
        <f>VLOOKUP(Tableau1315[[#This Row],[PARCS]],Tableau16[],28,FALSE)</f>
        <v>-11200</v>
      </c>
      <c r="T13" s="20">
        <f>VLOOKUP(Tableau1315[[#This Row],[PARCS]],Tableau16[],36,FALSE)</f>
        <v>0</v>
      </c>
      <c r="U13" s="20">
        <f>VLOOKUP(Tableau1315[[#This Row],[PARCS]],Tableau16[],37,FALSE)</f>
        <v>0</v>
      </c>
      <c r="V13" s="467">
        <f>SUM(Tableau1315[[#This Row],[CONTRAT O&amp;M FORFAIT GROUPE2]:[CHARGES exceptionnels (BONUS, sinistres)7]])</f>
        <v>-166654.70000000001</v>
      </c>
      <c r="W13" s="354">
        <f>VLOOKUP(Tableau1315[[#This Row],[PARCS]],Tableau17[],10,FALSE)</f>
        <v>-92027</v>
      </c>
      <c r="X13" s="350">
        <f>VLOOKUP(Tableau1315[[#This Row],[PARCS]],Tableau17[],18,FALSE)</f>
        <v>-14495.000000000002</v>
      </c>
      <c r="Y13" s="350">
        <f>VLOOKUP(Tableau1315[[#This Row],[PARCS]],Tableau17[],19,FALSE)</f>
        <v>0</v>
      </c>
      <c r="Z13" s="350">
        <f>VLOOKUP(Tableau1315[[#This Row],[PARCS]],Tableau17[],28,FALSE)</f>
        <v>-3875</v>
      </c>
      <c r="AA13" s="350">
        <f>VLOOKUP(Tableau1315[[#This Row],[PARCS]],Tableau17[],36,FALSE)</f>
        <v>-6000</v>
      </c>
      <c r="AB13" s="252">
        <f>VLOOKUP(Tableau1315[[#This Row],[PARCS]],Tableau17[],37,FALSE)</f>
        <v>0</v>
      </c>
      <c r="AC13" s="468">
        <f>SUM(Tableau1315[[#This Row],[CONTRAT O&amp;M FORFAIT GROUPE22]:[CHARGES exceptionnels (BONUS, sinistres)77]])</f>
        <v>-116397</v>
      </c>
      <c r="AD13" s="252">
        <f>Tableau1315[[#This Row],[TOTAL LE3]]-Tableau1315[[#This Row],[TOTAL BN-1]]</f>
        <v>-93242.700000000012</v>
      </c>
      <c r="AE13" s="351">
        <f>IFERROR((Tableau1315[[#This Row],[TOTAL LE3]]-Tableau1315[[#This Row],[TOTAL BN-1]])/Tableau1315[[#This Row],[TOTAL BN-1]],"")</f>
        <v>1.2701288617664688</v>
      </c>
      <c r="AF13" s="252">
        <f>Tableau1315[[#This Row],[TOTAL BN+1]]-Tableau1315[[#This Row],[TOTAL LE3]]</f>
        <v>50257.700000000012</v>
      </c>
      <c r="AG13" s="351">
        <f>IFERROR((Tableau1315[[#This Row],[TOTAL BN+1]]-Tableau1315[[#This Row],[TOTAL LE3]])/Tableau1315[[#This Row],[TOTAL LE3]],"")</f>
        <v>-0.30156785257181473</v>
      </c>
      <c r="AH13" s="6" t="s">
        <v>717</v>
      </c>
    </row>
    <row r="14" spans="1:34">
      <c r="A14" s="463" t="s">
        <v>441</v>
      </c>
      <c r="B14" s="464" t="str">
        <f>VLOOKUP(Tableau1315[[#This Row],[PARCS]],Tableau106[],3,FALSE)</f>
        <v>F244</v>
      </c>
      <c r="C14" s="464" t="str">
        <f>VLOOKUP(Tableau1315[[#This Row],[PARCS]],Tableau106[],2,FALSE)</f>
        <v>FR17E08E</v>
      </c>
      <c r="D14" s="465" t="str">
        <f>VLOOKUP(Tableau1315[[#This Row],[PARCS]],Tableau106[],8,FALSE)</f>
        <v>EOLIEN</v>
      </c>
      <c r="E14" s="465" t="str">
        <f>VLOOKUP(A14,Tableau106[[#Headers],[#Data]],6,FALSE)</f>
        <v>N</v>
      </c>
      <c r="F14" s="466" t="str">
        <f>VLOOKUP(Tableau1315[[#This Row],[PARCS]],Tableau106[],5,FALSE)</f>
        <v>VARA</v>
      </c>
      <c r="G14" s="464" t="str">
        <f>VLOOKUP(Tableau1315[[#This Row],[PARCS]],Tableau106[],7,FALSE)</f>
        <v>FUTUREN</v>
      </c>
      <c r="H14" s="464" t="str">
        <f>VLOOKUP(Tableau1315[[#This Row],[PARCS]],Tableau106[],9,FALSE)</f>
        <v>PiM</v>
      </c>
      <c r="I14" s="350">
        <f>IFERROR(VLOOKUP(Tableau1315[[#This Row],[PARCS]],Tableau15[],10,FALSE),"")</f>
        <v>0</v>
      </c>
      <c r="J14" s="20">
        <f>IFERROR(VLOOKUP(Tableau1315[[#This Row],[PARCS]],Tableau15[],18,FALSE),"")</f>
        <v>-11900</v>
      </c>
      <c r="K14" s="252">
        <f>IFERROR(VLOOKUP(Tableau1315[[#This Row],[PARCS]],Tableau15[],19,FALSE),"")</f>
        <v>-147000</v>
      </c>
      <c r="L14" s="20">
        <f>IFERROR(VLOOKUP(Tableau1315[[#This Row],[PARCS]],Tableau15[],28,FALSE),"")</f>
        <v>-9550</v>
      </c>
      <c r="M14" s="252">
        <f>IFERROR(VLOOKUP(Tableau1315[[#This Row],[PARCS]],Tableau15[],36,FALSE),"")</f>
        <v>0</v>
      </c>
      <c r="N14" s="252">
        <f>IFERROR(VLOOKUP(Tableau1315[[#This Row],[PARCS]],Tableau15[],37,FALSE),"")</f>
        <v>0</v>
      </c>
      <c r="O14" s="467">
        <f>SUM(Tableau1315[[#This Row],[CONTRAT O&amp;M FORFAIT GROUPE]:[CHARGES exceptionnels (BONUS, sinistres)]])</f>
        <v>-168450</v>
      </c>
      <c r="P14" s="354">
        <f>VLOOKUP(Tableau1315[[#This Row],[PARCS]],Tableau16[],10,FALSE)</f>
        <v>0</v>
      </c>
      <c r="Q14" s="252">
        <f>VLOOKUP(Tableau1315[[#This Row],[PARCS]],Tableau16[],18,FALSE)</f>
        <v>-41725</v>
      </c>
      <c r="R14" s="252">
        <f>VLOOKUP(Tableau1315[[#This Row],[PARCS]],Tableau16[],19,FALSE)</f>
        <v>-149735</v>
      </c>
      <c r="S14" s="252">
        <f>VLOOKUP(Tableau1315[[#This Row],[PARCS]],Tableau16[],28,FALSE)</f>
        <v>-20645.599999999999</v>
      </c>
      <c r="T14" s="252">
        <f>VLOOKUP(Tableau1315[[#This Row],[PARCS]],Tableau16[],36,FALSE)</f>
        <v>-57434</v>
      </c>
      <c r="U14" s="252">
        <f>VLOOKUP(Tableau1315[[#This Row],[PARCS]],Tableau16[],37,FALSE)</f>
        <v>-3350</v>
      </c>
      <c r="V14" s="467">
        <f>SUM(Tableau1315[[#This Row],[CONTRAT O&amp;M FORFAIT GROUPE2]:[CHARGES exceptionnels (BONUS, sinistres)7]])</f>
        <v>-272889.59999999998</v>
      </c>
      <c r="W14" s="354">
        <f>VLOOKUP(Tableau1315[[#This Row],[PARCS]],Tableau17[],10,FALSE)</f>
        <v>0</v>
      </c>
      <c r="X14" s="252">
        <f>VLOOKUP(Tableau1315[[#This Row],[PARCS]],Tableau17[],18,FALSE)</f>
        <v>-6100</v>
      </c>
      <c r="Y14" s="252">
        <f>VLOOKUP(Tableau1315[[#This Row],[PARCS]],Tableau17[],19,FALSE)</f>
        <v>-153478.375</v>
      </c>
      <c r="Z14" s="252">
        <f>VLOOKUP(Tableau1315[[#This Row],[PARCS]],Tableau17[],28,FALSE)</f>
        <v>-15450</v>
      </c>
      <c r="AA14" s="252">
        <f>VLOOKUP(Tableau1315[[#This Row],[PARCS]],Tableau17[],36,FALSE)</f>
        <v>-66047.100000000006</v>
      </c>
      <c r="AB14" s="252">
        <f>VLOOKUP(Tableau1315[[#This Row],[PARCS]],Tableau17[],37,FALSE)</f>
        <v>0</v>
      </c>
      <c r="AC14" s="468">
        <f>SUM(Tableau1315[[#This Row],[CONTRAT O&amp;M FORFAIT GROUPE22]:[CHARGES exceptionnels (BONUS, sinistres)77]])</f>
        <v>-241075.47500000001</v>
      </c>
      <c r="AD14" s="252">
        <f>Tableau1315[[#This Row],[TOTAL LE3]]-Tableau1315[[#This Row],[TOTAL BN-1]]</f>
        <v>-104439.59999999998</v>
      </c>
      <c r="AE14" s="351">
        <f>IFERROR((Tableau1315[[#This Row],[TOTAL LE3]]-Tableau1315[[#This Row],[TOTAL BN-1]])/Tableau1315[[#This Row],[TOTAL BN-1]],"")</f>
        <v>0.62000356188780037</v>
      </c>
      <c r="AF14" s="252">
        <f>Tableau1315[[#This Row],[TOTAL BN+1]]-Tableau1315[[#This Row],[TOTAL LE3]]</f>
        <v>31814.124999999971</v>
      </c>
      <c r="AG14" s="351">
        <f>IFERROR((Tableau1315[[#This Row],[TOTAL BN+1]]-Tableau1315[[#This Row],[TOTAL LE3]])/Tableau1315[[#This Row],[TOTAL LE3]],"")</f>
        <v>-0.11658240182110265</v>
      </c>
      <c r="AH14" s="6" t="s">
        <v>718</v>
      </c>
    </row>
    <row r="15" spans="1:34" hidden="1">
      <c r="A15" s="463" t="s">
        <v>494</v>
      </c>
      <c r="B15" s="464" t="str">
        <f>VLOOKUP(Tableau1315[[#This Row],[PARCS]],Tableau106[],3,FALSE)</f>
        <v>A530</v>
      </c>
      <c r="C15" s="464" t="str">
        <f>VLOOKUP(Tableau1315[[#This Row],[PARCS]],Tableau106[],2,FALSE)</f>
        <v>FR57E01E</v>
      </c>
      <c r="D15" s="465" t="str">
        <f>VLOOKUP(Tableau1315[[#This Row],[PARCS]],Tableau106[],8,FALSE)</f>
        <v>EOLIEN</v>
      </c>
      <c r="E15" s="465" t="str">
        <f>VLOOKUP(A15,Tableau106[[#Headers],[#Data]],6,FALSE)</f>
        <v>N</v>
      </c>
      <c r="F15" s="466" t="str">
        <f>VLOOKUP(Tableau1315[[#This Row],[PARCS]],Tableau106[],5,FALSE)</f>
        <v>BAMB</v>
      </c>
      <c r="G15" s="464" t="str">
        <f>VLOOKUP(Tableau1315[[#This Row],[PARCS]],Tableau106[],7,FALSE)</f>
        <v>GROUPE</v>
      </c>
      <c r="H15" s="464" t="str">
        <f>VLOOKUP(Tableau1315[[#This Row],[PARCS]],Tableau106[],9,FALSE)</f>
        <v>HuB</v>
      </c>
      <c r="I15" s="350">
        <f>IFERROR(VLOOKUP(Tableau1315[[#This Row],[PARCS]],Tableau15[],10,FALSE),"")</f>
        <v>-12626.246851385387</v>
      </c>
      <c r="J15" s="20">
        <f>IFERROR(VLOOKUP(Tableau1315[[#This Row],[PARCS]],Tableau15[],18,FALSE),"")</f>
        <v>-13600</v>
      </c>
      <c r="K15" s="252">
        <f>IFERROR(VLOOKUP(Tableau1315[[#This Row],[PARCS]],Tableau15[],19,FALSE),"")</f>
        <v>-363257.591312</v>
      </c>
      <c r="L15" s="20">
        <f>IFERROR(VLOOKUP(Tableau1315[[#This Row],[PARCS]],Tableau15[],28,FALSE),"")</f>
        <v>-9600</v>
      </c>
      <c r="M15" s="252">
        <f>IFERROR(VLOOKUP(Tableau1315[[#This Row],[PARCS]],Tableau15[],36,FALSE),"")</f>
        <v>0</v>
      </c>
      <c r="N15" s="252">
        <f>IFERROR(VLOOKUP(Tableau1315[[#This Row],[PARCS]],Tableau15[],37,FALSE),"")</f>
        <v>0</v>
      </c>
      <c r="O15" s="467">
        <f>SUM(Tableau1315[[#This Row],[CONTRAT O&amp;M FORFAIT GROUPE]:[CHARGES exceptionnels (BONUS, sinistres)]])</f>
        <v>-399083.8381633854</v>
      </c>
      <c r="P15" s="354">
        <f>VLOOKUP(Tableau1315[[#This Row],[PARCS]],Tableau16[],10,FALSE)</f>
        <v>-10234</v>
      </c>
      <c r="Q15" s="350">
        <f>VLOOKUP(Tableau1315[[#This Row],[PARCS]],Tableau16[],18,FALSE)</f>
        <v>-3920</v>
      </c>
      <c r="R15" s="350">
        <f>VLOOKUP(Tableau1315[[#This Row],[PARCS]],Tableau16[],19,FALSE)</f>
        <v>-377851</v>
      </c>
      <c r="S15" s="20">
        <f>VLOOKUP(Tableau1315[[#This Row],[PARCS]],Tableau16[],28,FALSE)</f>
        <v>-6600</v>
      </c>
      <c r="T15" s="20">
        <f>VLOOKUP(Tableau1315[[#This Row],[PARCS]],Tableau16[],36,FALSE)</f>
        <v>0</v>
      </c>
      <c r="U15" s="20">
        <f>VLOOKUP(Tableau1315[[#This Row],[PARCS]],Tableau16[],37,FALSE)</f>
        <v>0</v>
      </c>
      <c r="V15" s="467">
        <f>SUM(Tableau1315[[#This Row],[CONTRAT O&amp;M FORFAIT GROUPE2]:[CHARGES exceptionnels (BONUS, sinistres)7]])</f>
        <v>-398605</v>
      </c>
      <c r="W15" s="354">
        <f>VLOOKUP(Tableau1315[[#This Row],[PARCS]],Tableau17[],10,FALSE)</f>
        <v>-10489.849999999999</v>
      </c>
      <c r="X15" s="350">
        <f>VLOOKUP(Tableau1315[[#This Row],[PARCS]],Tableau17[],18,FALSE)</f>
        <v>-3940</v>
      </c>
      <c r="Y15" s="350">
        <f>VLOOKUP(Tableau1315[[#This Row],[PARCS]],Tableau17[],19,FALSE)</f>
        <v>-387297.27499999997</v>
      </c>
      <c r="Z15" s="350">
        <f>VLOOKUP(Tableau1315[[#This Row],[PARCS]],Tableau17[],28,FALSE)</f>
        <v>-6600</v>
      </c>
      <c r="AA15" s="350">
        <f>VLOOKUP(Tableau1315[[#This Row],[PARCS]],Tableau17[],36,FALSE)</f>
        <v>0</v>
      </c>
      <c r="AB15" s="252">
        <f>VLOOKUP(Tableau1315[[#This Row],[PARCS]],Tableau17[],37,FALSE)</f>
        <v>0</v>
      </c>
      <c r="AC15" s="468">
        <f>SUM(Tableau1315[[#This Row],[CONTRAT O&amp;M FORFAIT GROUPE22]:[CHARGES exceptionnels (BONUS, sinistres)77]])</f>
        <v>-408327.12499999994</v>
      </c>
      <c r="AD15" s="252">
        <f>Tableau1315[[#This Row],[TOTAL LE3]]-Tableau1315[[#This Row],[TOTAL BN-1]]</f>
        <v>478.83816338540055</v>
      </c>
      <c r="AE15" s="351">
        <f>IFERROR((Tableau1315[[#This Row],[TOTAL LE3]]-Tableau1315[[#This Row],[TOTAL BN-1]])/Tableau1315[[#This Row],[TOTAL BN-1]],"")</f>
        <v>-1.1998435356065801E-3</v>
      </c>
      <c r="AF15" s="252">
        <f>Tableau1315[[#This Row],[TOTAL BN+1]]-Tableau1315[[#This Row],[TOTAL LE3]]</f>
        <v>-9722.1249999999418</v>
      </c>
      <c r="AG15" s="351">
        <f>IFERROR((Tableau1315[[#This Row],[TOTAL BN+1]]-Tableau1315[[#This Row],[TOTAL LE3]])/Tableau1315[[#This Row],[TOTAL LE3]],"")</f>
        <v>2.4390373929077513E-2</v>
      </c>
    </row>
    <row r="16" spans="1:34" hidden="1">
      <c r="A16" s="463" t="s">
        <v>535</v>
      </c>
      <c r="B16" s="464" t="str">
        <f>VLOOKUP(Tableau1315[[#This Row],[PARCS]],Tableau106[],3,FALSE)</f>
        <v>A553</v>
      </c>
      <c r="C16" s="464" t="str">
        <f>VLOOKUP(Tableau1315[[#This Row],[PARCS]],Tableau106[],2,FALSE)</f>
        <v>FR62E02E</v>
      </c>
      <c r="D16" s="465" t="str">
        <f>VLOOKUP(Tableau1315[[#This Row],[PARCS]],Tableau106[],8,FALSE)</f>
        <v>EOLIEN</v>
      </c>
      <c r="E16" s="465" t="str">
        <f>VLOOKUP(A16,Tableau106[[#Headers],[#Data]],6,FALSE)</f>
        <v>N</v>
      </c>
      <c r="F16" s="466" t="str">
        <f>VLOOKUP(Tableau1315[[#This Row],[PARCS]],Tableau106[],5,FALSE)</f>
        <v>SBAP</v>
      </c>
      <c r="G16" s="464" t="str">
        <f>VLOOKUP(Tableau1315[[#This Row],[PARCS]],Tableau106[],7,FALSE)</f>
        <v>ENDF</v>
      </c>
      <c r="H16" s="464" t="str">
        <f>VLOOKUP(Tableau1315[[#This Row],[PARCS]],Tableau106[],9,FALSE)</f>
        <v>NiD</v>
      </c>
      <c r="I16" s="350">
        <f>IFERROR(VLOOKUP(Tableau1315[[#This Row],[PARCS]],Tableau15[],10,FALSE),"")</f>
        <v>0</v>
      </c>
      <c r="J16" s="20">
        <f>IFERROR(VLOOKUP(Tableau1315[[#This Row],[PARCS]],Tableau15[],18,FALSE),"")</f>
        <v>-15000</v>
      </c>
      <c r="K16" s="252">
        <f>IFERROR(VLOOKUP(Tableau1315[[#This Row],[PARCS]],Tableau15[],19,FALSE),"")</f>
        <v>-469783.9192</v>
      </c>
      <c r="L16" s="20">
        <f>IFERROR(VLOOKUP(Tableau1315[[#This Row],[PARCS]],Tableau15[],28,FALSE),"")</f>
        <v>-9500</v>
      </c>
      <c r="M16" s="252">
        <f>IFERROR(VLOOKUP(Tableau1315[[#This Row],[PARCS]],Tableau15[],36,FALSE),"")</f>
        <v>-35000</v>
      </c>
      <c r="N16" s="252">
        <f>IFERROR(VLOOKUP(Tableau1315[[#This Row],[PARCS]],Tableau15[],37,FALSE),"")</f>
        <v>0</v>
      </c>
      <c r="O16" s="467">
        <f>SUM(Tableau1315[[#This Row],[CONTRAT O&amp;M FORFAIT GROUPE]:[CHARGES exceptionnels (BONUS, sinistres)]])</f>
        <v>-529283.9192</v>
      </c>
      <c r="P16" s="354">
        <f>VLOOKUP(Tableau1315[[#This Row],[PARCS]],Tableau16[],10,FALSE)</f>
        <v>0</v>
      </c>
      <c r="Q16" s="252">
        <f>VLOOKUP(Tableau1315[[#This Row],[PARCS]],Tableau16[],18,FALSE)</f>
        <v>-3750</v>
      </c>
      <c r="R16" s="252">
        <f>VLOOKUP(Tableau1315[[#This Row],[PARCS]],Tableau16[],19,FALSE)</f>
        <v>-468629</v>
      </c>
      <c r="S16" s="252">
        <f>VLOOKUP(Tableau1315[[#This Row],[PARCS]],Tableau16[],28,FALSE)</f>
        <v>-33250</v>
      </c>
      <c r="T16" s="252">
        <f>VLOOKUP(Tableau1315[[#This Row],[PARCS]],Tableau16[],36,FALSE)</f>
        <v>0</v>
      </c>
      <c r="U16" s="252">
        <f>VLOOKUP(Tableau1315[[#This Row],[PARCS]],Tableau16[],37,FALSE)</f>
        <v>0</v>
      </c>
      <c r="V16" s="467">
        <f>SUM(Tableau1315[[#This Row],[CONTRAT O&amp;M FORFAIT GROUPE2]:[CHARGES exceptionnels (BONUS, sinistres)7]])</f>
        <v>-505629</v>
      </c>
      <c r="W16" s="354">
        <f>VLOOKUP(Tableau1315[[#This Row],[PARCS]],Tableau17[],10,FALSE)</f>
        <v>0</v>
      </c>
      <c r="X16" s="252">
        <f>VLOOKUP(Tableau1315[[#This Row],[PARCS]],Tableau17[],18,FALSE)</f>
        <v>-10350</v>
      </c>
      <c r="Y16" s="252">
        <f>VLOOKUP(Tableau1315[[#This Row],[PARCS]],Tableau17[],19,FALSE)</f>
        <v>-480344.72499999998</v>
      </c>
      <c r="Z16" s="252">
        <f>VLOOKUP(Tableau1315[[#This Row],[PARCS]],Tableau17[],28,FALSE)</f>
        <v>-6250</v>
      </c>
      <c r="AA16" s="252">
        <f>VLOOKUP(Tableau1315[[#This Row],[PARCS]],Tableau17[],36,FALSE)</f>
        <v>-50000</v>
      </c>
      <c r="AB16" s="252">
        <f>VLOOKUP(Tableau1315[[#This Row],[PARCS]],Tableau17[],37,FALSE)</f>
        <v>0</v>
      </c>
      <c r="AC16" s="468">
        <f>SUM(Tableau1315[[#This Row],[CONTRAT O&amp;M FORFAIT GROUPE22]:[CHARGES exceptionnels (BONUS, sinistres)77]])</f>
        <v>-546944.72499999998</v>
      </c>
      <c r="AD16" s="252">
        <f>Tableau1315[[#This Row],[TOTAL LE3]]-Tableau1315[[#This Row],[TOTAL BN-1]]</f>
        <v>23654.919200000004</v>
      </c>
      <c r="AE16" s="351">
        <f>IFERROR((Tableau1315[[#This Row],[TOTAL LE3]]-Tableau1315[[#This Row],[TOTAL BN-1]])/Tableau1315[[#This Row],[TOTAL BN-1]],"")</f>
        <v>-4.4692306608811863E-2</v>
      </c>
      <c r="AF16" s="252">
        <f>Tableau1315[[#This Row],[TOTAL BN+1]]-Tableau1315[[#This Row],[TOTAL LE3]]</f>
        <v>-41315.724999999977</v>
      </c>
      <c r="AG16" s="351">
        <f>IFERROR((Tableau1315[[#This Row],[TOTAL BN+1]]-Tableau1315[[#This Row],[TOTAL LE3]])/Tableau1315[[#This Row],[TOTAL LE3]],"")</f>
        <v>8.1711541466173765E-2</v>
      </c>
    </row>
    <row r="17" spans="1:34" ht="24" hidden="1">
      <c r="A17" s="463" t="s">
        <v>489</v>
      </c>
      <c r="B17" s="464" t="str">
        <f>VLOOKUP(Tableau1315[[#This Row],[PARCS]],Tableau106[],3,FALSE)</f>
        <v>A905</v>
      </c>
      <c r="C17" s="464" t="str">
        <f>VLOOKUP(Tableau1315[[#This Row],[PARCS]],Tableau106[],2,FALSE)</f>
        <v>FR69E01E</v>
      </c>
      <c r="D17" s="465" t="str">
        <f>VLOOKUP(Tableau1315[[#This Row],[PARCS]],Tableau106[],8,FALSE)</f>
        <v>EOLIEN</v>
      </c>
      <c r="E17" s="465" t="str">
        <f>VLOOKUP(A17,Tableau106[[#Headers],[#Data]],6,FALSE)</f>
        <v>S</v>
      </c>
      <c r="F17" s="466" t="str">
        <f>VLOOKUP(Tableau1315[[#This Row],[PARCS]],Tableau106[],5,FALSE)</f>
        <v>BVER</v>
      </c>
      <c r="G17" s="464" t="str">
        <f>VLOOKUP(Tableau1315[[#This Row],[PARCS]],Tableau106[],7,FALSE)</f>
        <v>GROUPE</v>
      </c>
      <c r="H17" s="464" t="str">
        <f>VLOOKUP(Tableau1315[[#This Row],[PARCS]],Tableau106[],9,FALSE)</f>
        <v>KéC</v>
      </c>
      <c r="I17" s="350">
        <f>IFERROR(VLOOKUP(Tableau1315[[#This Row],[PARCS]],Tableau15[],10,FALSE),"")</f>
        <v>0</v>
      </c>
      <c r="J17" s="20">
        <f>IFERROR(VLOOKUP(Tableau1315[[#This Row],[PARCS]],Tableau15[],18,FALSE),"")</f>
        <v>-13200</v>
      </c>
      <c r="K17" s="252">
        <f>IFERROR(VLOOKUP(Tableau1315[[#This Row],[PARCS]],Tableau15[],19,FALSE),"")</f>
        <v>-156285.4767</v>
      </c>
      <c r="L17" s="20">
        <f>IFERROR(VLOOKUP(Tableau1315[[#This Row],[PARCS]],Tableau15[],28,FALSE),"")</f>
        <v>-6800</v>
      </c>
      <c r="M17" s="252">
        <f>IFERROR(VLOOKUP(Tableau1315[[#This Row],[PARCS]],Tableau15[],36,FALSE),"")</f>
        <v>-5650</v>
      </c>
      <c r="N17" s="252">
        <f>IFERROR(VLOOKUP(Tableau1315[[#This Row],[PARCS]],Tableau15[],37,FALSE),"")</f>
        <v>-10000</v>
      </c>
      <c r="O17" s="467">
        <f>SUM(Tableau1315[[#This Row],[CONTRAT O&amp;M FORFAIT GROUPE]:[CHARGES exceptionnels (BONUS, sinistres)]])</f>
        <v>-191935.4767</v>
      </c>
      <c r="P17" s="354">
        <f>VLOOKUP(Tableau1315[[#This Row],[PARCS]],Tableau16[],10,FALSE)</f>
        <v>0</v>
      </c>
      <c r="Q17" s="350">
        <f>VLOOKUP(Tableau1315[[#This Row],[PARCS]],Tableau16[],18,FALSE)</f>
        <v>-8752</v>
      </c>
      <c r="R17" s="350">
        <f>VLOOKUP(Tableau1315[[#This Row],[PARCS]],Tableau16[],19,FALSE)</f>
        <v>-187511</v>
      </c>
      <c r="S17" s="20">
        <f>VLOOKUP(Tableau1315[[#This Row],[PARCS]],Tableau16[],28,FALSE)</f>
        <v>-35192.234561999998</v>
      </c>
      <c r="T17" s="20">
        <f>VLOOKUP(Tableau1315[[#This Row],[PARCS]],Tableau16[],36,FALSE)</f>
        <v>-35650</v>
      </c>
      <c r="U17" s="20">
        <f>VLOOKUP(Tableau1315[[#This Row],[PARCS]],Tableau16[],37,FALSE)</f>
        <v>-7000</v>
      </c>
      <c r="V17" s="467">
        <f>SUM(Tableau1315[[#This Row],[CONTRAT O&amp;M FORFAIT GROUPE2]:[CHARGES exceptionnels (BONUS, sinistres)7]])</f>
        <v>-274105.23456200003</v>
      </c>
      <c r="W17" s="354">
        <f>VLOOKUP(Tableau1315[[#This Row],[PARCS]],Tableau17[],10,FALSE)</f>
        <v>0</v>
      </c>
      <c r="X17" s="350">
        <f>VLOOKUP(Tableau1315[[#This Row],[PARCS]],Tableau17[],18,FALSE)</f>
        <v>-8280</v>
      </c>
      <c r="Y17" s="350">
        <f>VLOOKUP(Tableau1315[[#This Row],[PARCS]],Tableau17[],19,FALSE)</f>
        <v>-192198.77499999999</v>
      </c>
      <c r="Z17" s="350">
        <f>VLOOKUP(Tableau1315[[#This Row],[PARCS]],Tableau17[],28,FALSE)</f>
        <v>-12402.234562</v>
      </c>
      <c r="AA17" s="350">
        <f>VLOOKUP(Tableau1315[[#This Row],[PARCS]],Tableau17[],36,FALSE)</f>
        <v>-30000</v>
      </c>
      <c r="AB17" s="252">
        <f>VLOOKUP(Tableau1315[[#This Row],[PARCS]],Tableau17[],37,FALSE)</f>
        <v>0</v>
      </c>
      <c r="AC17" s="468">
        <f>SUM(Tableau1315[[#This Row],[CONTRAT O&amp;M FORFAIT GROUPE22]:[CHARGES exceptionnels (BONUS, sinistres)77]])</f>
        <v>-242881.00956199999</v>
      </c>
      <c r="AD17" s="252">
        <f>Tableau1315[[#This Row],[TOTAL LE3]]-Tableau1315[[#This Row],[TOTAL BN-1]]</f>
        <v>-82169.757862000028</v>
      </c>
      <c r="AE17" s="351">
        <f>IFERROR((Tableau1315[[#This Row],[TOTAL LE3]]-Tableau1315[[#This Row],[TOTAL BN-1]])/Tableau1315[[#This Row],[TOTAL BN-1]],"")</f>
        <v>0.42811135947750523</v>
      </c>
      <c r="AF17" s="252">
        <f>Tableau1315[[#This Row],[TOTAL BN+1]]-Tableau1315[[#This Row],[TOTAL LE3]]</f>
        <v>31224.225000000035</v>
      </c>
      <c r="AG17" s="351">
        <f>IFERROR((Tableau1315[[#This Row],[TOTAL BN+1]]-Tableau1315[[#This Row],[TOTAL LE3]])/Tableau1315[[#This Row],[TOTAL LE3]],"")</f>
        <v>-0.1139132751327936</v>
      </c>
      <c r="AH17" s="469" t="s">
        <v>719</v>
      </c>
    </row>
    <row r="18" spans="1:34" hidden="1">
      <c r="A18" s="463" t="s">
        <v>525</v>
      </c>
      <c r="B18" s="464" t="str">
        <f>VLOOKUP(Tableau1315[[#This Row],[PARCS]],Tableau106[],3,FALSE)</f>
        <v>A554</v>
      </c>
      <c r="C18" s="464" t="str">
        <f>VLOOKUP(Tableau1315[[#This Row],[PARCS]],Tableau106[],2,FALSE)</f>
        <v>FR02E08E</v>
      </c>
      <c r="D18" s="465" t="str">
        <f>VLOOKUP(Tableau1315[[#This Row],[PARCS]],Tableau106[],8,FALSE)</f>
        <v>EOLIEN</v>
      </c>
      <c r="E18" s="465" t="str">
        <f>VLOOKUP(A18,Tableau106[[#Headers],[#Data]],6,FALSE)</f>
        <v>N</v>
      </c>
      <c r="F18" s="466" t="str">
        <f>VLOOKUP(Tableau1315[[#This Row],[PARCS]],Tableau106[],5,FALSE)</f>
        <v>BTS1</v>
      </c>
      <c r="G18" s="464" t="str">
        <f>VLOOKUP(Tableau1315[[#This Row],[PARCS]],Tableau106[],7,FALSE)</f>
        <v>ENDF</v>
      </c>
      <c r="H18" s="464" t="str">
        <f>VLOOKUP(Tableau1315[[#This Row],[PARCS]],Tableau106[],9,FALSE)</f>
        <v>BoK</v>
      </c>
      <c r="I18" s="350">
        <f>IFERROR(VLOOKUP(Tableau1315[[#This Row],[PARCS]],Tableau15[],10,FALSE),"")</f>
        <v>0</v>
      </c>
      <c r="J18" s="20">
        <f>IFERROR(VLOOKUP(Tableau1315[[#This Row],[PARCS]],Tableau15[],18,FALSE),"")</f>
        <v>-12000</v>
      </c>
      <c r="K18" s="252">
        <f>IFERROR(VLOOKUP(Tableau1315[[#This Row],[PARCS]],Tableau15[],19,FALSE),"")</f>
        <v>-361331.43774099997</v>
      </c>
      <c r="L18" s="20">
        <f>IFERROR(VLOOKUP(Tableau1315[[#This Row],[PARCS]],Tableau15[],28,FALSE),"")</f>
        <v>-8000</v>
      </c>
      <c r="M18" s="252">
        <f>IFERROR(VLOOKUP(Tableau1315[[#This Row],[PARCS]],Tableau15[],36,FALSE),"")</f>
        <v>0</v>
      </c>
      <c r="N18" s="252">
        <f>IFERROR(VLOOKUP(Tableau1315[[#This Row],[PARCS]],Tableau15[],37,FALSE),"")</f>
        <v>0</v>
      </c>
      <c r="O18" s="467">
        <f>SUM(Tableau1315[[#This Row],[CONTRAT O&amp;M FORFAIT GROUPE]:[CHARGES exceptionnels (BONUS, sinistres)]])</f>
        <v>-381331.43774099997</v>
      </c>
      <c r="P18" s="354">
        <f>VLOOKUP(Tableau1315[[#This Row],[PARCS]],Tableau16[],10,FALSE)</f>
        <v>0</v>
      </c>
      <c r="Q18" s="350">
        <f>VLOOKUP(Tableau1315[[#This Row],[PARCS]],Tableau16[],18,FALSE)</f>
        <v>-6188.7</v>
      </c>
      <c r="R18" s="350">
        <f>VLOOKUP(Tableau1315[[#This Row],[PARCS]],Tableau16[],19,FALSE)</f>
        <v>-384247</v>
      </c>
      <c r="S18" s="20">
        <f>VLOOKUP(Tableau1315[[#This Row],[PARCS]],Tableau16[],28,FALSE)</f>
        <v>-12280</v>
      </c>
      <c r="T18" s="20">
        <f>VLOOKUP(Tableau1315[[#This Row],[PARCS]],Tableau16[],36,FALSE)</f>
        <v>0</v>
      </c>
      <c r="U18" s="20">
        <f>VLOOKUP(Tableau1315[[#This Row],[PARCS]],Tableau16[],37,FALSE)</f>
        <v>-5718</v>
      </c>
      <c r="V18" s="467">
        <f>SUM(Tableau1315[[#This Row],[CONTRAT O&amp;M FORFAIT GROUPE2]:[CHARGES exceptionnels (BONUS, sinistres)7]])</f>
        <v>-408433.7</v>
      </c>
      <c r="W18" s="354">
        <f>VLOOKUP(Tableau1315[[#This Row],[PARCS]],Tableau17[],10,FALSE)</f>
        <v>0</v>
      </c>
      <c r="X18" s="350">
        <f>VLOOKUP(Tableau1315[[#This Row],[PARCS]],Tableau17[],18,FALSE)</f>
        <v>-3000</v>
      </c>
      <c r="Y18" s="350">
        <f>VLOOKUP(Tableau1315[[#This Row],[PARCS]],Tableau17[],19,FALSE)</f>
        <v>-393853.17499999999</v>
      </c>
      <c r="Z18" s="350">
        <f>VLOOKUP(Tableau1315[[#This Row],[PARCS]],Tableau17[],28,FALSE)</f>
        <v>-5000</v>
      </c>
      <c r="AA18" s="350">
        <f>VLOOKUP(Tableau1315[[#This Row],[PARCS]],Tableau17[],36,FALSE)</f>
        <v>0</v>
      </c>
      <c r="AB18" s="252">
        <f>VLOOKUP(Tableau1315[[#This Row],[PARCS]],Tableau17[],37,FALSE)</f>
        <v>0</v>
      </c>
      <c r="AC18" s="468">
        <f>SUM(Tableau1315[[#This Row],[CONTRAT O&amp;M FORFAIT GROUPE22]:[CHARGES exceptionnels (BONUS, sinistres)77]])</f>
        <v>-401853.17499999999</v>
      </c>
      <c r="AD18" s="252">
        <f>Tableau1315[[#This Row],[TOTAL LE3]]-Tableau1315[[#This Row],[TOTAL BN-1]]</f>
        <v>-27102.262259000039</v>
      </c>
      <c r="AE18" s="351">
        <f>IFERROR((Tableau1315[[#This Row],[TOTAL LE3]]-Tableau1315[[#This Row],[TOTAL BN-1]])/Tableau1315[[#This Row],[TOTAL BN-1]],"")</f>
        <v>7.1072719363379305E-2</v>
      </c>
      <c r="AF18" s="252">
        <f>Tableau1315[[#This Row],[TOTAL BN+1]]-Tableau1315[[#This Row],[TOTAL LE3]]</f>
        <v>6580.5250000000233</v>
      </c>
      <c r="AG18" s="351">
        <f>IFERROR((Tableau1315[[#This Row],[TOTAL BN+1]]-Tableau1315[[#This Row],[TOTAL LE3]])/Tableau1315[[#This Row],[TOTAL LE3]],"")</f>
        <v>-1.6111611260285385E-2</v>
      </c>
    </row>
    <row r="19" spans="1:34" hidden="1">
      <c r="A19" s="463" t="s">
        <v>598</v>
      </c>
      <c r="B19" s="464" t="str">
        <f>VLOOKUP(Tableau1315[[#This Row],[PARCS]],Tableau106[],3,FALSE)</f>
        <v>A555</v>
      </c>
      <c r="C19" s="464" t="str">
        <f>VLOOKUP(Tableau1315[[#This Row],[PARCS]],Tableau106[],2,FALSE)</f>
        <v>FR02E09E</v>
      </c>
      <c r="D19" s="465" t="str">
        <f>VLOOKUP(Tableau1315[[#This Row],[PARCS]],Tableau106[],8,FALSE)</f>
        <v>EOLIEN</v>
      </c>
      <c r="E19" s="465" t="str">
        <f>VLOOKUP(A19,Tableau106[[#Headers],[#Data]],6,FALSE)</f>
        <v>N</v>
      </c>
      <c r="F19" s="466" t="str">
        <f>VLOOKUP(Tableau1315[[#This Row],[PARCS]],Tableau106[],5,FALSE)</f>
        <v>BTS2</v>
      </c>
      <c r="G19" s="464" t="str">
        <f>VLOOKUP(Tableau1315[[#This Row],[PARCS]],Tableau106[],7,FALSE)</f>
        <v>ENDF</v>
      </c>
      <c r="H19" s="464" t="str">
        <f>VLOOKUP(Tableau1315[[#This Row],[PARCS]],Tableau106[],9,FALSE)</f>
        <v>BoK</v>
      </c>
      <c r="I19" s="350">
        <f>IFERROR(VLOOKUP(Tableau1315[[#This Row],[PARCS]],Tableau15[],10,FALSE),"")</f>
        <v>0</v>
      </c>
      <c r="J19" s="20">
        <f>IFERROR(VLOOKUP(Tableau1315[[#This Row],[PARCS]],Tableau15[],18,FALSE),"")</f>
        <v>-15000</v>
      </c>
      <c r="K19" s="252">
        <f>IFERROR(VLOOKUP(Tableau1315[[#This Row],[PARCS]],Tableau15[],19,FALSE),"")</f>
        <v>-361331.43774099997</v>
      </c>
      <c r="L19" s="20">
        <f>IFERROR(VLOOKUP(Tableau1315[[#This Row],[PARCS]],Tableau15[],28,FALSE),"")</f>
        <v>-15000</v>
      </c>
      <c r="M19" s="252">
        <f>IFERROR(VLOOKUP(Tableau1315[[#This Row],[PARCS]],Tableau15[],36,FALSE),"")</f>
        <v>0</v>
      </c>
      <c r="N19" s="252">
        <f>IFERROR(VLOOKUP(Tableau1315[[#This Row],[PARCS]],Tableau15[],37,FALSE),"")</f>
        <v>0</v>
      </c>
      <c r="O19" s="467">
        <f>SUM(Tableau1315[[#This Row],[CONTRAT O&amp;M FORFAIT GROUPE]:[CHARGES exceptionnels (BONUS, sinistres)]])</f>
        <v>-391331.43774099997</v>
      </c>
      <c r="P19" s="354">
        <f>VLOOKUP(Tableau1315[[#This Row],[PARCS]],Tableau16[],10,FALSE)</f>
        <v>0</v>
      </c>
      <c r="Q19" s="350">
        <f>VLOOKUP(Tableau1315[[#This Row],[PARCS]],Tableau16[],18,FALSE)</f>
        <v>-6000</v>
      </c>
      <c r="R19" s="350">
        <f>VLOOKUP(Tableau1315[[#This Row],[PARCS]],Tableau16[],19,FALSE)</f>
        <v>-384247</v>
      </c>
      <c r="S19" s="20">
        <f>VLOOKUP(Tableau1315[[#This Row],[PARCS]],Tableau16[],28,FALSE)</f>
        <v>-15000</v>
      </c>
      <c r="T19" s="20">
        <f>VLOOKUP(Tableau1315[[#This Row],[PARCS]],Tableau16[],36,FALSE)</f>
        <v>0</v>
      </c>
      <c r="U19" s="20">
        <f>VLOOKUP(Tableau1315[[#This Row],[PARCS]],Tableau16[],37,FALSE)</f>
        <v>0</v>
      </c>
      <c r="V19" s="467">
        <f>SUM(Tableau1315[[#This Row],[CONTRAT O&amp;M FORFAIT GROUPE2]:[CHARGES exceptionnels (BONUS, sinistres)7]])</f>
        <v>-405247</v>
      </c>
      <c r="W19" s="354">
        <f>VLOOKUP(Tableau1315[[#This Row],[PARCS]],Tableau17[],10,FALSE)</f>
        <v>0</v>
      </c>
      <c r="X19" s="350">
        <f>VLOOKUP(Tableau1315[[#This Row],[PARCS]],Tableau17[],18,FALSE)</f>
        <v>-6000</v>
      </c>
      <c r="Y19" s="350">
        <f>VLOOKUP(Tableau1315[[#This Row],[PARCS]],Tableau17[],19,FALSE)</f>
        <v>-393853.17499999999</v>
      </c>
      <c r="Z19" s="350">
        <f>VLOOKUP(Tableau1315[[#This Row],[PARCS]],Tableau17[],28,FALSE)</f>
        <v>-12000</v>
      </c>
      <c r="AA19" s="350">
        <f>VLOOKUP(Tableau1315[[#This Row],[PARCS]],Tableau17[],36,FALSE)</f>
        <v>0</v>
      </c>
      <c r="AB19" s="252">
        <f>VLOOKUP(Tableau1315[[#This Row],[PARCS]],Tableau17[],37,FALSE)</f>
        <v>0</v>
      </c>
      <c r="AC19" s="468">
        <f>SUM(Tableau1315[[#This Row],[CONTRAT O&amp;M FORFAIT GROUPE22]:[CHARGES exceptionnels (BONUS, sinistres)77]])</f>
        <v>-411853.17499999999</v>
      </c>
      <c r="AD19" s="252">
        <f>Tableau1315[[#This Row],[TOTAL LE3]]-Tableau1315[[#This Row],[TOTAL BN-1]]</f>
        <v>-13915.562259000028</v>
      </c>
      <c r="AE19" s="351">
        <f>IFERROR((Tableau1315[[#This Row],[TOTAL LE3]]-Tableau1315[[#This Row],[TOTAL BN-1]])/Tableau1315[[#This Row],[TOTAL BN-1]],"")</f>
        <v>3.5559530661091292E-2</v>
      </c>
      <c r="AF19" s="252">
        <f>Tableau1315[[#This Row],[TOTAL BN+1]]-Tableau1315[[#This Row],[TOTAL LE3]]</f>
        <v>-6606.1749999999884</v>
      </c>
      <c r="AG19" s="351">
        <f>IFERROR((Tableau1315[[#This Row],[TOTAL BN+1]]-Tableau1315[[#This Row],[TOTAL LE3]])/Tableau1315[[#This Row],[TOTAL LE3]],"")</f>
        <v>1.6301601245660026E-2</v>
      </c>
    </row>
    <row r="20" spans="1:34" hidden="1">
      <c r="A20" s="463" t="s">
        <v>531</v>
      </c>
      <c r="B20" s="464" t="str">
        <f>VLOOKUP(Tableau1315[[#This Row],[PARCS]],Tableau106[],3,FALSE)</f>
        <v>A432</v>
      </c>
      <c r="C20" s="464" t="str">
        <f>VLOOKUP(Tableau1315[[#This Row],[PARCS]],Tableau106[],2,FALSE)</f>
        <v>FR07E97E</v>
      </c>
      <c r="D20" s="465" t="str">
        <f>VLOOKUP(Tableau1315[[#This Row],[PARCS]],Tableau106[],8,FALSE)</f>
        <v>EOLIEN</v>
      </c>
      <c r="E20" s="465" t="str">
        <f>VLOOKUP(A20,Tableau106[[#Headers],[#Data]],6,FALSE)</f>
        <v>S</v>
      </c>
      <c r="F20" s="466" t="str">
        <f>VLOOKUP(Tableau1315[[#This Row],[PARCS]],Tableau106[],5,FALSE)</f>
        <v>MTAR</v>
      </c>
      <c r="G20" s="464" t="str">
        <f>VLOOKUP(Tableau1315[[#This Row],[PARCS]],Tableau106[],7,FALSE)</f>
        <v>GROUPE</v>
      </c>
      <c r="H20" s="464" t="str">
        <f>VLOOKUP(Tableau1315[[#This Row],[PARCS]],Tableau106[],9,FALSE)</f>
        <v>StE</v>
      </c>
      <c r="I20" s="350">
        <f>IFERROR(VLOOKUP(Tableau1315[[#This Row],[PARCS]],Tableau15[],10,FALSE),"")</f>
        <v>-96708.24</v>
      </c>
      <c r="J20" s="20">
        <f>IFERROR(VLOOKUP(Tableau1315[[#This Row],[PARCS]],Tableau15[],18,FALSE),"")</f>
        <v>-87822.5</v>
      </c>
      <c r="K20" s="252">
        <f>IFERROR(VLOOKUP(Tableau1315[[#This Row],[PARCS]],Tableau15[],19,FALSE),"")</f>
        <v>-519881.56589999999</v>
      </c>
      <c r="L20" s="20">
        <f>IFERROR(VLOOKUP(Tableau1315[[#This Row],[PARCS]],Tableau15[],28,FALSE),"")</f>
        <v>-145675</v>
      </c>
      <c r="M20" s="252">
        <f>IFERROR(VLOOKUP(Tableau1315[[#This Row],[PARCS]],Tableau15[],36,FALSE),"")</f>
        <v>-5000</v>
      </c>
      <c r="N20" s="252">
        <f>IFERROR(VLOOKUP(Tableau1315[[#This Row],[PARCS]],Tableau15[],37,FALSE),"")</f>
        <v>0</v>
      </c>
      <c r="O20" s="467">
        <f>SUM(Tableau1315[[#This Row],[CONTRAT O&amp;M FORFAIT GROUPE]:[CHARGES exceptionnels (BONUS, sinistres)]])</f>
        <v>-855087.30590000004</v>
      </c>
      <c r="P20" s="354">
        <f>VLOOKUP(Tableau1315[[#This Row],[PARCS]],Tableau16[],10,FALSE)</f>
        <v>-97253</v>
      </c>
      <c r="Q20" s="252">
        <f>VLOOKUP(Tableau1315[[#This Row],[PARCS]],Tableau16[],18,FALSE)</f>
        <v>-56576</v>
      </c>
      <c r="R20" s="252">
        <f>VLOOKUP(Tableau1315[[#This Row],[PARCS]],Tableau16[],19,FALSE)</f>
        <v>-797442</v>
      </c>
      <c r="S20" s="252">
        <f>VLOOKUP(Tableau1315[[#This Row],[PARCS]],Tableau16[],28,FALSE)</f>
        <v>-229000</v>
      </c>
      <c r="T20" s="252">
        <f>VLOOKUP(Tableau1315[[#This Row],[PARCS]],Tableau16[],36,FALSE)</f>
        <v>-10071.720000000001</v>
      </c>
      <c r="U20" s="252">
        <f>VLOOKUP(Tableau1315[[#This Row],[PARCS]],Tableau16[],37,FALSE)</f>
        <v>0</v>
      </c>
      <c r="V20" s="467">
        <f>SUM(Tableau1315[[#This Row],[CONTRAT O&amp;M FORFAIT GROUPE2]:[CHARGES exceptionnels (BONUS, sinistres)7]])</f>
        <v>-1190342.72</v>
      </c>
      <c r="W20" s="354">
        <f>VLOOKUP(Tableau1315[[#This Row],[PARCS]],Tableau17[],10,FALSE)</f>
        <v>-99684.324999999997</v>
      </c>
      <c r="X20" s="252">
        <f>VLOOKUP(Tableau1315[[#This Row],[PARCS]],Tableau17[],18,FALSE)</f>
        <v>-46646</v>
      </c>
      <c r="Y20" s="252">
        <f>VLOOKUP(Tableau1315[[#This Row],[PARCS]],Tableau17[],19,FALSE)</f>
        <v>-817378.04999999993</v>
      </c>
      <c r="Z20" s="252">
        <f>VLOOKUP(Tableau1315[[#This Row],[PARCS]],Tableau17[],28,FALSE)</f>
        <v>-137100</v>
      </c>
      <c r="AA20" s="252">
        <f>VLOOKUP(Tableau1315[[#This Row],[PARCS]],Tableau17[],36,FALSE)</f>
        <v>-10047.099999999999</v>
      </c>
      <c r="AB20" s="252">
        <f>VLOOKUP(Tableau1315[[#This Row],[PARCS]],Tableau17[],37,FALSE)</f>
        <v>0</v>
      </c>
      <c r="AC20" s="468">
        <f>SUM(Tableau1315[[#This Row],[CONTRAT O&amp;M FORFAIT GROUPE22]:[CHARGES exceptionnels (BONUS, sinistres)77]])</f>
        <v>-1110855.4750000001</v>
      </c>
      <c r="AD20" s="252">
        <f>Tableau1315[[#This Row],[TOTAL LE3]]-Tableau1315[[#This Row],[TOTAL BN-1]]</f>
        <v>-335255.41409999994</v>
      </c>
      <c r="AE20" s="351">
        <f>IFERROR((Tableau1315[[#This Row],[TOTAL LE3]]-Tableau1315[[#This Row],[TOTAL BN-1]])/Tableau1315[[#This Row],[TOTAL BN-1]],"")</f>
        <v>0.39207156016324618</v>
      </c>
      <c r="AF20" s="252">
        <f>Tableau1315[[#This Row],[TOTAL BN+1]]-Tableau1315[[#This Row],[TOTAL LE3]]</f>
        <v>79487.244999999879</v>
      </c>
      <c r="AG20" s="351">
        <f>IFERROR((Tableau1315[[#This Row],[TOTAL BN+1]]-Tableau1315[[#This Row],[TOTAL LE3]])/Tableau1315[[#This Row],[TOTAL LE3]],"")</f>
        <v>-6.6776772491203104E-2</v>
      </c>
      <c r="AH20" s="6" t="s">
        <v>720</v>
      </c>
    </row>
    <row r="21" spans="1:34" hidden="1">
      <c r="A21" s="463" t="s">
        <v>600</v>
      </c>
      <c r="B21" s="464" t="str">
        <f>VLOOKUP(Tableau1315[[#This Row],[PARCS]],Tableau106[],3,FALSE)</f>
        <v>A065</v>
      </c>
      <c r="C21" s="464" t="str">
        <f>VLOOKUP(Tableau1315[[#This Row],[PARCS]],Tableau106[],2,FALSE)</f>
        <v>FR97S90E</v>
      </c>
      <c r="D21" s="465" t="str">
        <f>VLOOKUP(Tableau1315[[#This Row],[PARCS]],Tableau106[],8,FALSE)</f>
        <v>SOLAIRE DOM</v>
      </c>
      <c r="E21" s="465" t="str">
        <f>VLOOKUP(A21,Tableau106[[#Headers],[#Data]],6,FALSE)</f>
        <v>DOM</v>
      </c>
      <c r="F21" s="466" t="str">
        <f>VLOOKUP(Tableau1315[[#This Row],[PARCS]],Tableau106[],5,FALSE)</f>
        <v>SIOU</v>
      </c>
      <c r="G21" s="464" t="str">
        <f>VLOOKUP(Tableau1315[[#This Row],[PARCS]],Tableau106[],7,FALSE)</f>
        <v>GROUPE</v>
      </c>
      <c r="H21" s="464" t="str">
        <f>VLOOKUP(Tableau1315[[#This Row],[PARCS]],Tableau106[],9,FALSE)</f>
        <v>DoJ</v>
      </c>
      <c r="I21" s="350">
        <f>IFERROR(VLOOKUP(Tableau1315[[#This Row],[PARCS]],Tableau15[],10,FALSE),"")</f>
        <v>0</v>
      </c>
      <c r="J21" s="20">
        <f>IFERROR(VLOOKUP(Tableau1315[[#This Row],[PARCS]],Tableau15[],18,FALSE),"")</f>
        <v>-1257</v>
      </c>
      <c r="K21" s="252">
        <f>IFERROR(VLOOKUP(Tableau1315[[#This Row],[PARCS]],Tableau15[],19,FALSE),"")</f>
        <v>-70008.75057199999</v>
      </c>
      <c r="L21" s="20">
        <f>IFERROR(VLOOKUP(Tableau1315[[#This Row],[PARCS]],Tableau15[],28,FALSE),"")</f>
        <v>-10848.5</v>
      </c>
      <c r="M21" s="252">
        <f>IFERROR(VLOOKUP(Tableau1315[[#This Row],[PARCS]],Tableau15[],36,FALSE),"")</f>
        <v>0</v>
      </c>
      <c r="N21" s="252">
        <f>IFERROR(VLOOKUP(Tableau1315[[#This Row],[PARCS]],Tableau15[],37,FALSE),"")</f>
        <v>0</v>
      </c>
      <c r="O21" s="467">
        <f>SUM(Tableau1315[[#This Row],[CONTRAT O&amp;M FORFAIT GROUPE]:[CHARGES exceptionnels (BONUS, sinistres)]])</f>
        <v>-82114.25057199999</v>
      </c>
      <c r="P21" s="354">
        <f>VLOOKUP(Tableau1315[[#This Row],[PARCS]],Tableau16[],10,FALSE)</f>
        <v>0</v>
      </c>
      <c r="Q21" s="252">
        <f>VLOOKUP(Tableau1315[[#This Row],[PARCS]],Tableau16[],18,FALSE)</f>
        <v>-314.25</v>
      </c>
      <c r="R21" s="252">
        <f>VLOOKUP(Tableau1315[[#This Row],[PARCS]],Tableau16[],19,FALSE)</f>
        <v>-73620</v>
      </c>
      <c r="S21" s="252">
        <f>VLOOKUP(Tableau1315[[#This Row],[PARCS]],Tableau16[],28,FALSE)</f>
        <v>-76468.995999999999</v>
      </c>
      <c r="T21" s="252">
        <f>VLOOKUP(Tableau1315[[#This Row],[PARCS]],Tableau16[],36,FALSE)</f>
        <v>0</v>
      </c>
      <c r="U21" s="252">
        <f>VLOOKUP(Tableau1315[[#This Row],[PARCS]],Tableau16[],37,FALSE)</f>
        <v>0</v>
      </c>
      <c r="V21" s="467">
        <f>SUM(Tableau1315[[#This Row],[CONTRAT O&amp;M FORFAIT GROUPE2]:[CHARGES exceptionnels (BONUS, sinistres)7]])</f>
        <v>-150403.24599999998</v>
      </c>
      <c r="W21" s="354">
        <f>VLOOKUP(Tableau1315[[#This Row],[PARCS]],Tableau17[],10,FALSE)</f>
        <v>0</v>
      </c>
      <c r="X21" s="252">
        <f>VLOOKUP(Tableau1315[[#This Row],[PARCS]],Tableau17[],18,FALSE)</f>
        <v>-3450</v>
      </c>
      <c r="Y21" s="252">
        <f>VLOOKUP(Tableau1315[[#This Row],[PARCS]],Tableau17[],19,FALSE)</f>
        <v>-75460.5</v>
      </c>
      <c r="Z21" s="252">
        <f>VLOOKUP(Tableau1315[[#This Row],[PARCS]],Tableau17[],28,FALSE)</f>
        <v>-10283.245999999999</v>
      </c>
      <c r="AA21" s="252">
        <f>VLOOKUP(Tableau1315[[#This Row],[PARCS]],Tableau17[],36,FALSE)</f>
        <v>0</v>
      </c>
      <c r="AB21" s="252">
        <f>VLOOKUP(Tableau1315[[#This Row],[PARCS]],Tableau17[],37,FALSE)</f>
        <v>0</v>
      </c>
      <c r="AC21" s="468">
        <f>SUM(Tableau1315[[#This Row],[CONTRAT O&amp;M FORFAIT GROUPE22]:[CHARGES exceptionnels (BONUS, sinistres)77]])</f>
        <v>-89193.745999999999</v>
      </c>
      <c r="AD21" s="252">
        <f>Tableau1315[[#This Row],[TOTAL LE3]]-Tableau1315[[#This Row],[TOTAL BN-1]]</f>
        <v>-68288.995427999995</v>
      </c>
      <c r="AE21" s="351">
        <f>IFERROR((Tableau1315[[#This Row],[TOTAL LE3]]-Tableau1315[[#This Row],[TOTAL BN-1]])/Tableau1315[[#This Row],[TOTAL BN-1]],"")</f>
        <v>0.83163391192521885</v>
      </c>
      <c r="AF21" s="252">
        <f>Tableau1315[[#This Row],[TOTAL BN+1]]-Tableau1315[[#This Row],[TOTAL LE3]]</f>
        <v>61209.499999999985</v>
      </c>
      <c r="AG21" s="351">
        <f>IFERROR((Tableau1315[[#This Row],[TOTAL BN+1]]-Tableau1315[[#This Row],[TOTAL LE3]])/Tableau1315[[#This Row],[TOTAL LE3]],"")</f>
        <v>-0.40696927511790532</v>
      </c>
      <c r="AH21" s="6" t="s">
        <v>721</v>
      </c>
    </row>
    <row r="22" spans="1:34" hidden="1">
      <c r="A22" s="463" t="s">
        <v>473</v>
      </c>
      <c r="B22" s="464" t="str">
        <f>VLOOKUP(Tableau1315[[#This Row],[PARCS]],Tableau106[],3,FALSE)</f>
        <v>A177</v>
      </c>
      <c r="C22" s="464" t="str">
        <f>VLOOKUP(Tableau1315[[#This Row],[PARCS]],Tableau106[],2,FALSE)</f>
        <v>FR88E99E</v>
      </c>
      <c r="D22" s="465" t="str">
        <f>VLOOKUP(Tableau1315[[#This Row],[PARCS]],Tableau106[],8,FALSE)</f>
        <v>EOLIEN</v>
      </c>
      <c r="E22" s="465" t="str">
        <f>VLOOKUP(A22,Tableau106[[#Headers],[#Data]],6,FALSE)</f>
        <v>N</v>
      </c>
      <c r="F22" s="466" t="str">
        <f>VLOOKUP(Tableau1315[[#This Row],[PARCS]],Tableau106[],5,FALSE)</f>
        <v>BDBS</v>
      </c>
      <c r="G22" s="464" t="str">
        <f>VLOOKUP(Tableau1315[[#This Row],[PARCS]],Tableau106[],7,FALSE)</f>
        <v>GROUPE</v>
      </c>
      <c r="H22" s="464" t="str">
        <f>VLOOKUP(Tableau1315[[#This Row],[PARCS]],Tableau106[],9,FALSE)</f>
        <v>AyB</v>
      </c>
      <c r="I22" s="350">
        <f>IFERROR(VLOOKUP(Tableau1315[[#This Row],[PARCS]],Tableau15[],10,FALSE),"")</f>
        <v>0</v>
      </c>
      <c r="J22" s="20">
        <f>IFERROR(VLOOKUP(Tableau1315[[#This Row],[PARCS]],Tableau15[],18,FALSE),"")</f>
        <v>-29700</v>
      </c>
      <c r="K22" s="252">
        <f>IFERROR(VLOOKUP(Tableau1315[[#This Row],[PARCS]],Tableau15[],19,FALSE),"")</f>
        <v>-442677.00670000003</v>
      </c>
      <c r="L22" s="20">
        <f>IFERROR(VLOOKUP(Tableau1315[[#This Row],[PARCS]],Tableau15[],28,FALSE),"")</f>
        <v>-44500</v>
      </c>
      <c r="M22" s="252">
        <f>IFERROR(VLOOKUP(Tableau1315[[#This Row],[PARCS]],Tableau15[],36,FALSE),"")</f>
        <v>-17500</v>
      </c>
      <c r="N22" s="252">
        <f>IFERROR(VLOOKUP(Tableau1315[[#This Row],[PARCS]],Tableau15[],37,FALSE),"")</f>
        <v>0</v>
      </c>
      <c r="O22" s="467">
        <f>SUM(Tableau1315[[#This Row],[CONTRAT O&amp;M FORFAIT GROUPE]:[CHARGES exceptionnels (BONUS, sinistres)]])</f>
        <v>-534377.00670000003</v>
      </c>
      <c r="P22" s="354">
        <f>VLOOKUP(Tableau1315[[#This Row],[PARCS]],Tableau16[],10,FALSE)</f>
        <v>0</v>
      </c>
      <c r="Q22" s="350">
        <f>VLOOKUP(Tableau1315[[#This Row],[PARCS]],Tableau16[],18,FALSE)</f>
        <v>-16500</v>
      </c>
      <c r="R22" s="350">
        <f>VLOOKUP(Tableau1315[[#This Row],[PARCS]],Tableau16[],19,FALSE)</f>
        <v>-434920</v>
      </c>
      <c r="S22" s="20">
        <f>VLOOKUP(Tableau1315[[#This Row],[PARCS]],Tableau16[],28,FALSE)</f>
        <v>-84500</v>
      </c>
      <c r="T22" s="20">
        <f>VLOOKUP(Tableau1315[[#This Row],[PARCS]],Tableau16[],36,FALSE)</f>
        <v>-14754.6</v>
      </c>
      <c r="U22" s="20">
        <f>VLOOKUP(Tableau1315[[#This Row],[PARCS]],Tableau16[],37,FALSE)</f>
        <v>0</v>
      </c>
      <c r="V22" s="467">
        <f>SUM(Tableau1315[[#This Row],[CONTRAT O&amp;M FORFAIT GROUPE2]:[CHARGES exceptionnels (BONUS, sinistres)7]])</f>
        <v>-550674.6</v>
      </c>
      <c r="W22" s="354">
        <f>VLOOKUP(Tableau1315[[#This Row],[PARCS]],Tableau17[],10,FALSE)</f>
        <v>0</v>
      </c>
      <c r="X22" s="350">
        <f>VLOOKUP(Tableau1315[[#This Row],[PARCS]],Tableau17[],18,FALSE)</f>
        <v>-16500</v>
      </c>
      <c r="Y22" s="350">
        <f>VLOOKUP(Tableau1315[[#This Row],[PARCS]],Tableau17[],19,FALSE)</f>
        <v>-445792.99999999994</v>
      </c>
      <c r="Z22" s="350">
        <f>VLOOKUP(Tableau1315[[#This Row],[PARCS]],Tableau17[],28,FALSE)</f>
        <v>-19500</v>
      </c>
      <c r="AA22" s="350">
        <f>VLOOKUP(Tableau1315[[#This Row],[PARCS]],Tableau17[],36,FALSE)</f>
        <v>-11047.099999999999</v>
      </c>
      <c r="AB22" s="252">
        <f>VLOOKUP(Tableau1315[[#This Row],[PARCS]],Tableau17[],37,FALSE)</f>
        <v>0</v>
      </c>
      <c r="AC22" s="468">
        <f>SUM(Tableau1315[[#This Row],[CONTRAT O&amp;M FORFAIT GROUPE22]:[CHARGES exceptionnels (BONUS, sinistres)77]])</f>
        <v>-492840.09999999992</v>
      </c>
      <c r="AD22" s="252">
        <f>Tableau1315[[#This Row],[TOTAL LE3]]-Tableau1315[[#This Row],[TOTAL BN-1]]</f>
        <v>-16297.59329999995</v>
      </c>
      <c r="AE22" s="351">
        <f>IFERROR((Tableau1315[[#This Row],[TOTAL LE3]]-Tableau1315[[#This Row],[TOTAL BN-1]])/Tableau1315[[#This Row],[TOTAL BN-1]],"")</f>
        <v>3.0498305682432628E-2</v>
      </c>
      <c r="AF22" s="252">
        <f>Tableau1315[[#This Row],[TOTAL BN+1]]-Tableau1315[[#This Row],[TOTAL LE3]]</f>
        <v>57834.500000000058</v>
      </c>
      <c r="AG22" s="351">
        <f>IFERROR((Tableau1315[[#This Row],[TOTAL BN+1]]-Tableau1315[[#This Row],[TOTAL LE3]])/Tableau1315[[#This Row],[TOTAL LE3]],"")</f>
        <v>-0.10502481864970721</v>
      </c>
    </row>
    <row r="23" spans="1:34" hidden="1">
      <c r="A23" s="463" t="s">
        <v>472</v>
      </c>
      <c r="B23" s="464" t="str">
        <f>VLOOKUP(Tableau1315[[#This Row],[PARCS]],Tableau106[],3,FALSE)</f>
        <v>A257</v>
      </c>
      <c r="C23" s="464" t="str">
        <f>VLOOKUP(Tableau1315[[#This Row],[PARCS]],Tableau106[],2,FALSE)</f>
        <v>FR71S06E</v>
      </c>
      <c r="D23" s="465" t="str">
        <f>VLOOKUP(Tableau1315[[#This Row],[PARCS]],Tableau106[],8,FALSE)</f>
        <v>SOLAIRE</v>
      </c>
      <c r="E23" s="465" t="str">
        <f>VLOOKUP(A23,Tableau106[[#Headers],[#Data]],6,FALSE)</f>
        <v>N</v>
      </c>
      <c r="F23" s="466" t="str">
        <f>VLOOKUP(Tableau1315[[#This Row],[PARCS]],Tableau106[],5,FALSE)</f>
        <v>CHAG</v>
      </c>
      <c r="G23" s="464" t="str">
        <f>VLOOKUP(Tableau1315[[#This Row],[PARCS]],Tableau106[],7,FALSE)</f>
        <v>GROUPE</v>
      </c>
      <c r="H23" s="464" t="str">
        <f>VLOOKUP(Tableau1315[[#This Row],[PARCS]],Tableau106[],9,FALSE)</f>
        <v>LoG</v>
      </c>
      <c r="I23" s="350">
        <f>IFERROR(VLOOKUP(Tableau1315[[#This Row],[PARCS]],Tableau15[],10,FALSE),"")</f>
        <v>-21930</v>
      </c>
      <c r="J23" s="20">
        <f>IFERROR(VLOOKUP(Tableau1315[[#This Row],[PARCS]],Tableau15[],18,FALSE),"")</f>
        <v>-4300</v>
      </c>
      <c r="K23" s="252">
        <f>IFERROR(VLOOKUP(Tableau1315[[#This Row],[PARCS]],Tableau15[],19,FALSE),"")</f>
        <v>0</v>
      </c>
      <c r="L23" s="20">
        <f>IFERROR(VLOOKUP(Tableau1315[[#This Row],[PARCS]],Tableau15[],28,FALSE),"")</f>
        <v>-2150</v>
      </c>
      <c r="M23" s="252">
        <f>IFERROR(VLOOKUP(Tableau1315[[#This Row],[PARCS]],Tableau15[],36,FALSE),"")</f>
        <v>-3500</v>
      </c>
      <c r="N23" s="252">
        <f>IFERROR(VLOOKUP(Tableau1315[[#This Row],[PARCS]],Tableau15[],37,FALSE),"")</f>
        <v>0</v>
      </c>
      <c r="O23" s="467">
        <f>SUM(Tableau1315[[#This Row],[CONTRAT O&amp;M FORFAIT GROUPE]:[CHARGES exceptionnels (BONUS, sinistres)]])</f>
        <v>-31880</v>
      </c>
      <c r="P23" s="354">
        <f>VLOOKUP(Tableau1315[[#This Row],[PARCS]],Tableau16[],10,FALSE)</f>
        <v>-26000</v>
      </c>
      <c r="Q23" s="350">
        <f>VLOOKUP(Tableau1315[[#This Row],[PARCS]],Tableau16[],18,FALSE)</f>
        <v>-26420</v>
      </c>
      <c r="R23" s="350">
        <f>VLOOKUP(Tableau1315[[#This Row],[PARCS]],Tableau16[],19,FALSE)</f>
        <v>0</v>
      </c>
      <c r="S23" s="20">
        <f>VLOOKUP(Tableau1315[[#This Row],[PARCS]],Tableau16[],28,FALSE)</f>
        <v>0</v>
      </c>
      <c r="T23" s="20">
        <f>VLOOKUP(Tableau1315[[#This Row],[PARCS]],Tableau16[],36,FALSE)</f>
        <v>-4249.5</v>
      </c>
      <c r="U23" s="20">
        <f>VLOOKUP(Tableau1315[[#This Row],[PARCS]],Tableau16[],37,FALSE)</f>
        <v>0</v>
      </c>
      <c r="V23" s="467">
        <f>SUM(Tableau1315[[#This Row],[CONTRAT O&amp;M FORFAIT GROUPE2]:[CHARGES exceptionnels (BONUS, sinistres)7]])</f>
        <v>-56669.5</v>
      </c>
      <c r="W23" s="354">
        <f>VLOOKUP(Tableau1315[[#This Row],[PARCS]],Tableau17[],10,FALSE)</f>
        <v>-47666</v>
      </c>
      <c r="X23" s="350">
        <f>VLOOKUP(Tableau1315[[#This Row],[PARCS]],Tableau17[],18,FALSE)</f>
        <v>-3040</v>
      </c>
      <c r="Y23" s="350">
        <f>VLOOKUP(Tableau1315[[#This Row],[PARCS]],Tableau17[],19,FALSE)</f>
        <v>0</v>
      </c>
      <c r="Z23" s="350">
        <f>VLOOKUP(Tableau1315[[#This Row],[PARCS]],Tableau17[],28,FALSE)</f>
        <v>-1100</v>
      </c>
      <c r="AA23" s="350">
        <f>VLOOKUP(Tableau1315[[#This Row],[PARCS]],Tableau17[],36,FALSE)</f>
        <v>-3843.25</v>
      </c>
      <c r="AB23" s="252">
        <f>VLOOKUP(Tableau1315[[#This Row],[PARCS]],Tableau17[],37,FALSE)</f>
        <v>0</v>
      </c>
      <c r="AC23" s="468">
        <f>SUM(Tableau1315[[#This Row],[CONTRAT O&amp;M FORFAIT GROUPE22]:[CHARGES exceptionnels (BONUS, sinistres)77]])</f>
        <v>-55649.25</v>
      </c>
      <c r="AD23" s="252">
        <f>Tableau1315[[#This Row],[TOTAL LE3]]-Tableau1315[[#This Row],[TOTAL BN-1]]</f>
        <v>-24789.5</v>
      </c>
      <c r="AE23" s="351">
        <f>IFERROR((Tableau1315[[#This Row],[TOTAL LE3]]-Tableau1315[[#This Row],[TOTAL BN-1]])/Tableau1315[[#This Row],[TOTAL BN-1]],"")</f>
        <v>0.7775878293601004</v>
      </c>
      <c r="AF23" s="252">
        <f>Tableau1315[[#This Row],[TOTAL BN+1]]-Tableau1315[[#This Row],[TOTAL LE3]]</f>
        <v>1020.25</v>
      </c>
      <c r="AG23" s="351">
        <f>IFERROR((Tableau1315[[#This Row],[TOTAL BN+1]]-Tableau1315[[#This Row],[TOTAL LE3]])/Tableau1315[[#This Row],[TOTAL LE3]],"")</f>
        <v>-1.8003511589126425E-2</v>
      </c>
    </row>
    <row r="24" spans="1:34" hidden="1">
      <c r="A24" s="463" t="s">
        <v>437</v>
      </c>
      <c r="B24" s="464" t="str">
        <f>VLOOKUP(Tableau1315[[#This Row],[PARCS]],Tableau106[],3,FALSE)</f>
        <v>A541</v>
      </c>
      <c r="C24" s="464" t="str">
        <f>VLOOKUP(Tableau1315[[#This Row],[PARCS]],Tableau106[],2,FALSE)</f>
        <v>FR57E05E</v>
      </c>
      <c r="D24" s="465" t="str">
        <f>VLOOKUP(Tableau1315[[#This Row],[PARCS]],Tableau106[],8,FALSE)</f>
        <v>EOLIEN</v>
      </c>
      <c r="E24" s="465" t="str">
        <f>VLOOKUP(A24,Tableau106[[#Headers],[#Data]],6,FALSE)</f>
        <v>N</v>
      </c>
      <c r="F24" s="466" t="str">
        <f>VLOOKUP(Tableau1315[[#This Row],[PARCS]],Tableau106[],5,FALSE)</f>
        <v>BOUS</v>
      </c>
      <c r="G24" s="464" t="str">
        <f>VLOOKUP(Tableau1315[[#This Row],[PARCS]],Tableau106[],7,FALSE)</f>
        <v>EGM</v>
      </c>
      <c r="H24" s="464" t="str">
        <f>VLOOKUP(Tableau1315[[#This Row],[PARCS]],Tableau106[],9,FALSE)</f>
        <v>NoS</v>
      </c>
      <c r="I24" s="350">
        <f>IFERROR(VLOOKUP(Tableau1315[[#This Row],[PARCS]],Tableau15[],10,FALSE),"")</f>
        <v>-256678.59608762685</v>
      </c>
      <c r="J24" s="20">
        <f>IFERROR(VLOOKUP(Tableau1315[[#This Row],[PARCS]],Tableau15[],18,FALSE),"")</f>
        <v>-48897.222222222226</v>
      </c>
      <c r="K24" s="252">
        <f>IFERROR(VLOOKUP(Tableau1315[[#This Row],[PARCS]],Tableau15[],19,FALSE),"")</f>
        <v>0</v>
      </c>
      <c r="L24" s="20">
        <f>IFERROR(VLOOKUP(Tableau1315[[#This Row],[PARCS]],Tableau15[],28,FALSE),"")</f>
        <v>-7250</v>
      </c>
      <c r="M24" s="252">
        <f>IFERROR(VLOOKUP(Tableau1315[[#This Row],[PARCS]],Tableau15[],36,FALSE),"")</f>
        <v>-12000</v>
      </c>
      <c r="N24" s="252">
        <f>IFERROR(VLOOKUP(Tableau1315[[#This Row],[PARCS]],Tableau15[],37,FALSE),"")</f>
        <v>0</v>
      </c>
      <c r="O24" s="467">
        <f>SUM(Tableau1315[[#This Row],[CONTRAT O&amp;M FORFAIT GROUPE]:[CHARGES exceptionnels (BONUS, sinistres)]])</f>
        <v>-324825.81830984907</v>
      </c>
      <c r="P24" s="354">
        <f>VLOOKUP(Tableau1315[[#This Row],[PARCS]],Tableau16[],10,FALSE)</f>
        <v>-258123</v>
      </c>
      <c r="Q24" s="350">
        <f>VLOOKUP(Tableau1315[[#This Row],[PARCS]],Tableau16[],18,FALSE)</f>
        <v>-186300</v>
      </c>
      <c r="R24" s="350">
        <f>VLOOKUP(Tableau1315[[#This Row],[PARCS]],Tableau16[],19,FALSE)</f>
        <v>0</v>
      </c>
      <c r="S24" s="20">
        <f>VLOOKUP(Tableau1315[[#This Row],[PARCS]],Tableau16[],28,FALSE)</f>
        <v>-4625</v>
      </c>
      <c r="T24" s="20">
        <f>VLOOKUP(Tableau1315[[#This Row],[PARCS]],Tableau16[],36,FALSE)</f>
        <v>0</v>
      </c>
      <c r="U24" s="20">
        <f>VLOOKUP(Tableau1315[[#This Row],[PARCS]],Tableau16[],37,FALSE)</f>
        <v>0</v>
      </c>
      <c r="V24" s="467">
        <f>SUM(Tableau1315[[#This Row],[CONTRAT O&amp;M FORFAIT GROUPE2]:[CHARGES exceptionnels (BONUS, sinistres)7]])</f>
        <v>-449048</v>
      </c>
      <c r="W24" s="354">
        <f>VLOOKUP(Tableau1315[[#This Row],[PARCS]],Tableau17[],10,FALSE)</f>
        <v>-264576.07499999995</v>
      </c>
      <c r="X24" s="350">
        <f>VLOOKUP(Tableau1315[[#This Row],[PARCS]],Tableau17[],18,FALSE)</f>
        <v>-86300</v>
      </c>
      <c r="Y24" s="350">
        <f>VLOOKUP(Tableau1315[[#This Row],[PARCS]],Tableau17[],19,FALSE)</f>
        <v>0</v>
      </c>
      <c r="Z24" s="350">
        <f>VLOOKUP(Tableau1315[[#This Row],[PARCS]],Tableau17[],28,FALSE)</f>
        <v>-4625</v>
      </c>
      <c r="AA24" s="350">
        <f>VLOOKUP(Tableau1315[[#This Row],[PARCS]],Tableau17[],36,FALSE)</f>
        <v>0</v>
      </c>
      <c r="AB24" s="252">
        <f>VLOOKUP(Tableau1315[[#This Row],[PARCS]],Tableau17[],37,FALSE)</f>
        <v>0</v>
      </c>
      <c r="AC24" s="468">
        <f>SUM(Tableau1315[[#This Row],[CONTRAT O&amp;M FORFAIT GROUPE22]:[CHARGES exceptionnels (BONUS, sinistres)77]])</f>
        <v>-355501.07499999995</v>
      </c>
      <c r="AD24" s="252">
        <f>Tableau1315[[#This Row],[TOTAL LE3]]-Tableau1315[[#This Row],[TOTAL BN-1]]</f>
        <v>-124222.18169015093</v>
      </c>
      <c r="AE24" s="351">
        <f>IFERROR((Tableau1315[[#This Row],[TOTAL LE3]]-Tableau1315[[#This Row],[TOTAL BN-1]])/Tableau1315[[#This Row],[TOTAL BN-1]],"")</f>
        <v>0.38242705686546213</v>
      </c>
      <c r="AF24" s="252">
        <f>Tableau1315[[#This Row],[TOTAL BN+1]]-Tableau1315[[#This Row],[TOTAL LE3]]</f>
        <v>93546.925000000047</v>
      </c>
      <c r="AG24" s="351">
        <f>IFERROR((Tableau1315[[#This Row],[TOTAL BN+1]]-Tableau1315[[#This Row],[TOTAL LE3]])/Tableau1315[[#This Row],[TOTAL LE3]],"")</f>
        <v>-0.20832277395734988</v>
      </c>
    </row>
    <row r="25" spans="1:34" hidden="1">
      <c r="A25" s="463" t="s">
        <v>353</v>
      </c>
      <c r="B25" s="464" t="str">
        <f>VLOOKUP(Tableau1315[[#This Row],[PARCS]],Tableau106[],3,FALSE)</f>
        <v>A257</v>
      </c>
      <c r="C25" s="464" t="str">
        <f>VLOOKUP(Tableau1315[[#This Row],[PARCS]],Tableau106[],2,FALSE)</f>
        <v>FR11S06E</v>
      </c>
      <c r="D25" s="465" t="str">
        <f>VLOOKUP(Tableau1315[[#This Row],[PARCS]],Tableau106[],8,FALSE)</f>
        <v>SOLAIRE</v>
      </c>
      <c r="E25" s="465" t="str">
        <f>VLOOKUP(A25,Tableau106[[#Headers],[#Data]],6,FALSE)</f>
        <v>S</v>
      </c>
      <c r="F25" s="466" t="str">
        <f>VLOOKUP(Tableau1315[[#This Row],[PARCS]],Tableau106[],5,FALSE)</f>
        <v>STPA</v>
      </c>
      <c r="G25" s="464" t="str">
        <f>VLOOKUP(Tableau1315[[#This Row],[PARCS]],Tableau106[],7,FALSE)</f>
        <v>GROUPE</v>
      </c>
      <c r="H25" s="464" t="str">
        <f>VLOOKUP(Tableau1315[[#This Row],[PARCS]],Tableau106[],9,FALSE)</f>
        <v>BaA</v>
      </c>
      <c r="I25" s="350">
        <f>IFERROR(VLOOKUP(Tableau1315[[#This Row],[PARCS]],Tableau15[],10,FALSE),"")</f>
        <v>-25261.32</v>
      </c>
      <c r="J25" s="20">
        <f>IFERROR(VLOOKUP(Tableau1315[[#This Row],[PARCS]],Tableau15[],18,FALSE),"")</f>
        <v>-9900</v>
      </c>
      <c r="K25" s="252">
        <f>IFERROR(VLOOKUP(Tableau1315[[#This Row],[PARCS]],Tableau15[],19,FALSE),"")</f>
        <v>0</v>
      </c>
      <c r="L25" s="20">
        <f>IFERROR(VLOOKUP(Tableau1315[[#This Row],[PARCS]],Tableau15[],28,FALSE),"")</f>
        <v>-2500</v>
      </c>
      <c r="M25" s="252">
        <f>IFERROR(VLOOKUP(Tableau1315[[#This Row],[PARCS]],Tableau15[],36,FALSE),"")</f>
        <v>-2160</v>
      </c>
      <c r="N25" s="252">
        <f>IFERROR(VLOOKUP(Tableau1315[[#This Row],[PARCS]],Tableau15[],37,FALSE),"")</f>
        <v>0</v>
      </c>
      <c r="O25" s="467">
        <f>SUM(Tableau1315[[#This Row],[CONTRAT O&amp;M FORFAIT GROUPE]:[CHARGES exceptionnels (BONUS, sinistres)]])</f>
        <v>-39821.32</v>
      </c>
      <c r="P25" s="354">
        <f>VLOOKUP(Tableau1315[[#This Row],[PARCS]],Tableau16[],10,FALSE)</f>
        <v>-25644</v>
      </c>
      <c r="Q25" s="350">
        <f>VLOOKUP(Tableau1315[[#This Row],[PARCS]],Tableau16[],18,FALSE)</f>
        <v>-7550</v>
      </c>
      <c r="R25" s="350">
        <f>VLOOKUP(Tableau1315[[#This Row],[PARCS]],Tableau16[],19,FALSE)</f>
        <v>0</v>
      </c>
      <c r="S25" s="20">
        <f>VLOOKUP(Tableau1315[[#This Row],[PARCS]],Tableau16[],28,FALSE)</f>
        <v>-32100</v>
      </c>
      <c r="T25" s="20">
        <f>VLOOKUP(Tableau1315[[#This Row],[PARCS]],Tableau16[],36,FALSE)</f>
        <v>-2160</v>
      </c>
      <c r="U25" s="20">
        <f>VLOOKUP(Tableau1315[[#This Row],[PARCS]],Tableau16[],37,FALSE)</f>
        <v>0</v>
      </c>
      <c r="V25" s="467">
        <f>SUM(Tableau1315[[#This Row],[CONTRAT O&amp;M FORFAIT GROUPE2]:[CHARGES exceptionnels (BONUS, sinistres)7]])</f>
        <v>-67454</v>
      </c>
      <c r="W25" s="354">
        <f>VLOOKUP(Tableau1315[[#This Row],[PARCS]],Tableau17[],10,FALSE)</f>
        <v>-26285.1</v>
      </c>
      <c r="X25" s="350">
        <f>VLOOKUP(Tableau1315[[#This Row],[PARCS]],Tableau17[],18,FALSE)</f>
        <v>-4265</v>
      </c>
      <c r="Y25" s="350">
        <f>VLOOKUP(Tableau1315[[#This Row],[PARCS]],Tableau17[],19,FALSE)</f>
        <v>0</v>
      </c>
      <c r="Z25" s="350">
        <f>VLOOKUP(Tableau1315[[#This Row],[PARCS]],Tableau17[],28,FALSE)</f>
        <v>-2550</v>
      </c>
      <c r="AA25" s="350">
        <f>VLOOKUP(Tableau1315[[#This Row],[PARCS]],Tableau17[],36,FALSE)</f>
        <v>-2160</v>
      </c>
      <c r="AB25" s="252">
        <f>VLOOKUP(Tableau1315[[#This Row],[PARCS]],Tableau17[],37,FALSE)</f>
        <v>0</v>
      </c>
      <c r="AC25" s="468">
        <f>SUM(Tableau1315[[#This Row],[CONTRAT O&amp;M FORFAIT GROUPE22]:[CHARGES exceptionnels (BONUS, sinistres)77]])</f>
        <v>-35260.1</v>
      </c>
      <c r="AD25" s="252">
        <f>Tableau1315[[#This Row],[TOTAL LE3]]-Tableau1315[[#This Row],[TOTAL BN-1]]</f>
        <v>-27632.68</v>
      </c>
      <c r="AE25" s="351">
        <f>IFERROR((Tableau1315[[#This Row],[TOTAL LE3]]-Tableau1315[[#This Row],[TOTAL BN-1]])/Tableau1315[[#This Row],[TOTAL BN-1]],"")</f>
        <v>0.69391672601510945</v>
      </c>
      <c r="AF25" s="252">
        <f>Tableau1315[[#This Row],[TOTAL BN+1]]-Tableau1315[[#This Row],[TOTAL LE3]]</f>
        <v>32193.9</v>
      </c>
      <c r="AG25" s="351">
        <f>IFERROR((Tableau1315[[#This Row],[TOTAL BN+1]]-Tableau1315[[#This Row],[TOTAL LE3]])/Tableau1315[[#This Row],[TOTAL LE3]],"")</f>
        <v>-0.47727191864085156</v>
      </c>
      <c r="AH25" s="6" t="s">
        <v>722</v>
      </c>
    </row>
    <row r="26" spans="1:34" hidden="1">
      <c r="A26" s="463" t="s">
        <v>611</v>
      </c>
      <c r="B26" s="464" t="str">
        <f>VLOOKUP(Tableau1315[[#This Row],[PARCS]],Tableau106[],3,FALSE)</f>
        <v>A307</v>
      </c>
      <c r="C26" s="464" t="str">
        <f>VLOOKUP(Tableau1315[[#This Row],[PARCS]],Tableau106[],2,FALSE)</f>
        <v>FR04S07E</v>
      </c>
      <c r="D26" s="465" t="str">
        <f>VLOOKUP(Tableau1315[[#This Row],[PARCS]],Tableau106[],8,FALSE)</f>
        <v>SOLAIRE</v>
      </c>
      <c r="E26" s="465" t="str">
        <f>VLOOKUP(A26,Tableau106[[#Headers],[#Data]],6,FALSE)</f>
        <v>S</v>
      </c>
      <c r="F26" s="466" t="str">
        <f>VLOOKUP(Tableau1315[[#This Row],[PARCS]],Tableau106[],5,FALSE)</f>
        <v>STLM</v>
      </c>
      <c r="G26" s="464" t="str">
        <f>VLOOKUP(Tableau1315[[#This Row],[PARCS]],Tableau106[],7,FALSE)</f>
        <v>GROUPE</v>
      </c>
      <c r="H26" s="464" t="str">
        <f>VLOOKUP(Tableau1315[[#This Row],[PARCS]],Tableau106[],9,FALSE)</f>
        <v>BaA</v>
      </c>
      <c r="I26" s="350">
        <f>IFERROR(VLOOKUP(Tableau1315[[#This Row],[PARCS]],Tableau15[],10,FALSE),"")</f>
        <v>-14000</v>
      </c>
      <c r="J26" s="20">
        <f>IFERROR(VLOOKUP(Tableau1315[[#This Row],[PARCS]],Tableau15[],18,FALSE),"")</f>
        <v>-2800</v>
      </c>
      <c r="K26" s="252">
        <f>IFERROR(VLOOKUP(Tableau1315[[#This Row],[PARCS]],Tableau15[],19,FALSE),"")</f>
        <v>0</v>
      </c>
      <c r="L26" s="20">
        <f>IFERROR(VLOOKUP(Tableau1315[[#This Row],[PARCS]],Tableau15[],28,FALSE),"")</f>
        <v>-1400</v>
      </c>
      <c r="M26" s="252">
        <f>IFERROR(VLOOKUP(Tableau1315[[#This Row],[PARCS]],Tableau15[],36,FALSE),"")</f>
        <v>0</v>
      </c>
      <c r="N26" s="252">
        <f>IFERROR(VLOOKUP(Tableau1315[[#This Row],[PARCS]],Tableau15[],37,FALSE),"")</f>
        <v>0</v>
      </c>
      <c r="O26" s="467">
        <f>SUM(Tableau1315[[#This Row],[CONTRAT O&amp;M FORFAIT GROUPE]:[CHARGES exceptionnels (BONUS, sinistres)]])</f>
        <v>-18200</v>
      </c>
      <c r="P26" s="354">
        <f>VLOOKUP(Tableau1315[[#This Row],[PARCS]],Tableau16[],10,FALSE)</f>
        <v>-24000</v>
      </c>
      <c r="Q26" s="252">
        <f>VLOOKUP(Tableau1315[[#This Row],[PARCS]],Tableau16[],18,FALSE)</f>
        <v>-700</v>
      </c>
      <c r="R26" s="252">
        <f>VLOOKUP(Tableau1315[[#This Row],[PARCS]],Tableau16[],19,FALSE)</f>
        <v>0</v>
      </c>
      <c r="S26" s="252">
        <f>VLOOKUP(Tableau1315[[#This Row],[PARCS]],Tableau16[],28,FALSE)</f>
        <v>-700</v>
      </c>
      <c r="T26" s="252">
        <f>VLOOKUP(Tableau1315[[#This Row],[PARCS]],Tableau16[],36,FALSE)</f>
        <v>-4850</v>
      </c>
      <c r="U26" s="252">
        <f>VLOOKUP(Tableau1315[[#This Row],[PARCS]],Tableau16[],37,FALSE)</f>
        <v>0</v>
      </c>
      <c r="V26" s="467">
        <f>SUM(Tableau1315[[#This Row],[CONTRAT O&amp;M FORFAIT GROUPE2]:[CHARGES exceptionnels (BONUS, sinistres)7]])</f>
        <v>-30250</v>
      </c>
      <c r="W26" s="354">
        <f>VLOOKUP(Tableau1315[[#This Row],[PARCS]],Tableau17[],10,FALSE)</f>
        <v>-24599.999999999996</v>
      </c>
      <c r="X26" s="252">
        <f>VLOOKUP(Tableau1315[[#This Row],[PARCS]],Tableau17[],18,FALSE)</f>
        <v>-675</v>
      </c>
      <c r="Y26" s="252">
        <f>VLOOKUP(Tableau1315[[#This Row],[PARCS]],Tableau17[],19,FALSE)</f>
        <v>0</v>
      </c>
      <c r="Z26" s="252">
        <f>VLOOKUP(Tableau1315[[#This Row],[PARCS]],Tableau17[],28,FALSE)</f>
        <v>-700</v>
      </c>
      <c r="AA26" s="252">
        <f>VLOOKUP(Tableau1315[[#This Row],[PARCS]],Tableau17[],36,FALSE)</f>
        <v>-4850</v>
      </c>
      <c r="AB26" s="252">
        <f>VLOOKUP(Tableau1315[[#This Row],[PARCS]],Tableau17[],37,FALSE)</f>
        <v>0</v>
      </c>
      <c r="AC26" s="468">
        <f>SUM(Tableau1315[[#This Row],[CONTRAT O&amp;M FORFAIT GROUPE22]:[CHARGES exceptionnels (BONUS, sinistres)77]])</f>
        <v>-30824.999999999996</v>
      </c>
      <c r="AD26" s="252">
        <f>Tableau1315[[#This Row],[TOTAL LE3]]-Tableau1315[[#This Row],[TOTAL BN-1]]</f>
        <v>-12050</v>
      </c>
      <c r="AE26" s="351">
        <f>IFERROR((Tableau1315[[#This Row],[TOTAL LE3]]-Tableau1315[[#This Row],[TOTAL BN-1]])/Tableau1315[[#This Row],[TOTAL BN-1]],"")</f>
        <v>0.66208791208791207</v>
      </c>
      <c r="AF26" s="252">
        <f>Tableau1315[[#This Row],[TOTAL BN+1]]-Tableau1315[[#This Row],[TOTAL LE3]]</f>
        <v>-574.99999999999636</v>
      </c>
      <c r="AG26" s="351">
        <f>IFERROR((Tableau1315[[#This Row],[TOTAL BN+1]]-Tableau1315[[#This Row],[TOTAL LE3]])/Tableau1315[[#This Row],[TOTAL LE3]],"")</f>
        <v>1.9008264462809798E-2</v>
      </c>
    </row>
    <row r="27" spans="1:34" hidden="1">
      <c r="A27" s="463" t="s">
        <v>510</v>
      </c>
      <c r="B27" s="464" t="str">
        <f>VLOOKUP(Tableau1315[[#This Row],[PARCS]],Tableau106[],3,FALSE)</f>
        <v>A540</v>
      </c>
      <c r="C27" s="464" t="str">
        <f>VLOOKUP(Tableau1315[[#This Row],[PARCS]],Tableau106[],2,FALSE)</f>
        <v>FR02E03E</v>
      </c>
      <c r="D27" s="465" t="str">
        <f>VLOOKUP(Tableau1315[[#This Row],[PARCS]],Tableau106[],8,FALSE)</f>
        <v>EOLIEN</v>
      </c>
      <c r="E27" s="465" t="str">
        <f>VLOOKUP(A27,Tableau106[[#Headers],[#Data]],6,FALSE)</f>
        <v>N</v>
      </c>
      <c r="F27" s="466" t="str">
        <f>VLOOKUP(Tableau1315[[#This Row],[PARCS]],Tableau106[],5,FALSE)</f>
        <v>BRIY</v>
      </c>
      <c r="G27" s="464" t="str">
        <f>VLOOKUP(Tableau1315[[#This Row],[PARCS]],Tableau106[],7,FALSE)</f>
        <v>EGM</v>
      </c>
      <c r="H27" s="464" t="str">
        <f>VLOOKUP(Tableau1315[[#This Row],[PARCS]],Tableau106[],9,FALSE)</f>
        <v>NoS</v>
      </c>
      <c r="I27" s="350">
        <f>IFERROR(VLOOKUP(Tableau1315[[#This Row],[PARCS]],Tableau15[],10,FALSE),"")</f>
        <v>-154007.1576525761</v>
      </c>
      <c r="J27" s="20">
        <f>IFERROR(VLOOKUP(Tableau1315[[#This Row],[PARCS]],Tableau15[],18,FALSE),"")</f>
        <v>-27941.269841269841</v>
      </c>
      <c r="K27" s="252">
        <f>IFERROR(VLOOKUP(Tableau1315[[#This Row],[PARCS]],Tableau15[],19,FALSE),"")</f>
        <v>0</v>
      </c>
      <c r="L27" s="20">
        <f>IFERROR(VLOOKUP(Tableau1315[[#This Row],[PARCS]],Tableau15[],28,FALSE),"")</f>
        <v>-4000</v>
      </c>
      <c r="M27" s="252">
        <f>IFERROR(VLOOKUP(Tableau1315[[#This Row],[PARCS]],Tableau15[],36,FALSE),"")</f>
        <v>0</v>
      </c>
      <c r="N27" s="252">
        <f>IFERROR(VLOOKUP(Tableau1315[[#This Row],[PARCS]],Tableau15[],37,FALSE),"")</f>
        <v>0</v>
      </c>
      <c r="O27" s="467">
        <f>SUM(Tableau1315[[#This Row],[CONTRAT O&amp;M FORFAIT GROUPE]:[CHARGES exceptionnels (BONUS, sinistres)]])</f>
        <v>-185948.42749384596</v>
      </c>
      <c r="P27" s="354">
        <f>VLOOKUP(Tableau1315[[#This Row],[PARCS]],Tableau16[],10,FALSE)</f>
        <v>-154874</v>
      </c>
      <c r="Q27" s="350">
        <f>VLOOKUP(Tableau1315[[#This Row],[PARCS]],Tableau16[],18,FALSE)</f>
        <v>-96872</v>
      </c>
      <c r="R27" s="350">
        <f>VLOOKUP(Tableau1315[[#This Row],[PARCS]],Tableau16[],19,FALSE)</f>
        <v>0</v>
      </c>
      <c r="S27" s="20">
        <f>VLOOKUP(Tableau1315[[#This Row],[PARCS]],Tableau16[],28,FALSE)</f>
        <v>-5230</v>
      </c>
      <c r="T27" s="20">
        <f>VLOOKUP(Tableau1315[[#This Row],[PARCS]],Tableau16[],36,FALSE)</f>
        <v>0</v>
      </c>
      <c r="U27" s="20">
        <f>VLOOKUP(Tableau1315[[#This Row],[PARCS]],Tableau16[],37,FALSE)</f>
        <v>0</v>
      </c>
      <c r="V27" s="467">
        <f>SUM(Tableau1315[[#This Row],[CONTRAT O&amp;M FORFAIT GROUPE2]:[CHARGES exceptionnels (BONUS, sinistres)7]])</f>
        <v>-256976</v>
      </c>
      <c r="W27" s="354">
        <f>VLOOKUP(Tableau1315[[#This Row],[PARCS]],Tableau17[],10,FALSE)</f>
        <v>-158745.84999999998</v>
      </c>
      <c r="X27" s="350">
        <f>VLOOKUP(Tableau1315[[#This Row],[PARCS]],Tableau17[],18,FALSE)</f>
        <v>-93600</v>
      </c>
      <c r="Y27" s="350">
        <f>VLOOKUP(Tableau1315[[#This Row],[PARCS]],Tableau17[],19,FALSE)</f>
        <v>0</v>
      </c>
      <c r="Z27" s="350">
        <f>VLOOKUP(Tableau1315[[#This Row],[PARCS]],Tableau17[],28,FALSE)</f>
        <v>-4984</v>
      </c>
      <c r="AA27" s="350">
        <f>VLOOKUP(Tableau1315[[#This Row],[PARCS]],Tableau17[],36,FALSE)</f>
        <v>0</v>
      </c>
      <c r="AB27" s="252">
        <f>VLOOKUP(Tableau1315[[#This Row],[PARCS]],Tableau17[],37,FALSE)</f>
        <v>0</v>
      </c>
      <c r="AC27" s="468">
        <f>SUM(Tableau1315[[#This Row],[CONTRAT O&amp;M FORFAIT GROUPE22]:[CHARGES exceptionnels (BONUS, sinistres)77]])</f>
        <v>-257329.84999999998</v>
      </c>
      <c r="AD27" s="252">
        <f>Tableau1315[[#This Row],[TOTAL LE3]]-Tableau1315[[#This Row],[TOTAL BN-1]]</f>
        <v>-71027.572506154043</v>
      </c>
      <c r="AE27" s="351">
        <f>IFERROR((Tableau1315[[#This Row],[TOTAL LE3]]-Tableau1315[[#This Row],[TOTAL BN-1]])/Tableau1315[[#This Row],[TOTAL BN-1]],"")</f>
        <v>0.38197458006739388</v>
      </c>
      <c r="AF27" s="252">
        <f>Tableau1315[[#This Row],[TOTAL BN+1]]-Tableau1315[[#This Row],[TOTAL LE3]]</f>
        <v>-353.84999999997672</v>
      </c>
      <c r="AG27" s="351">
        <f>IFERROR((Tableau1315[[#This Row],[TOTAL BN+1]]-Tableau1315[[#This Row],[TOTAL LE3]])/Tableau1315[[#This Row],[TOTAL LE3]],"")</f>
        <v>1.3769768383038756E-3</v>
      </c>
    </row>
    <row r="28" spans="1:34" hidden="1">
      <c r="A28" s="463" t="s">
        <v>558</v>
      </c>
      <c r="B28" s="464" t="str">
        <f>VLOOKUP(Tableau1315[[#This Row],[PARCS]],Tableau106[],3,FALSE)</f>
        <v>A540</v>
      </c>
      <c r="C28" s="464" t="str">
        <f>VLOOKUP(Tableau1315[[#This Row],[PARCS]],Tableau106[],2,FALSE)</f>
        <v>FR56E01E</v>
      </c>
      <c r="D28" s="465" t="str">
        <f>VLOOKUP(Tableau1315[[#This Row],[PARCS]],Tableau106[],8,FALSE)</f>
        <v>EOLIEN</v>
      </c>
      <c r="E28" s="465" t="str">
        <f>VLOOKUP(A28,Tableau106[[#Headers],[#Data]],6,FALSE)</f>
        <v>N</v>
      </c>
      <c r="F28" s="466" t="str">
        <f>VLOOKUP(Tableau1315[[#This Row],[PARCS]],Tableau106[],5,FALSE)</f>
        <v>LBDF</v>
      </c>
      <c r="G28" s="464" t="str">
        <f>VLOOKUP(Tableau1315[[#This Row],[PARCS]],Tableau106[],7,FALSE)</f>
        <v>EGM</v>
      </c>
      <c r="H28" s="464" t="str">
        <f>VLOOKUP(Tableau1315[[#This Row],[PARCS]],Tableau106[],9,FALSE)</f>
        <v>BoK</v>
      </c>
      <c r="I28" s="350">
        <f>IFERROR(VLOOKUP(Tableau1315[[#This Row],[PARCS]],Tableau15[],10,FALSE),"")</f>
        <v>-308014.31530515221</v>
      </c>
      <c r="J28" s="20">
        <f>IFERROR(VLOOKUP(Tableau1315[[#This Row],[PARCS]],Tableau15[],18,FALSE),"")</f>
        <v>-55882.539682539682</v>
      </c>
      <c r="K28" s="252">
        <f>IFERROR(VLOOKUP(Tableau1315[[#This Row],[PARCS]],Tableau15[],19,FALSE),"")</f>
        <v>0</v>
      </c>
      <c r="L28" s="20">
        <f>IFERROR(VLOOKUP(Tableau1315[[#This Row],[PARCS]],Tableau15[],28,FALSE),"")</f>
        <v>-8000</v>
      </c>
      <c r="M28" s="252">
        <f>IFERROR(VLOOKUP(Tableau1315[[#This Row],[PARCS]],Tableau15[],36,FALSE),"")</f>
        <v>0</v>
      </c>
      <c r="N28" s="252">
        <f>IFERROR(VLOOKUP(Tableau1315[[#This Row],[PARCS]],Tableau15[],37,FALSE),"")</f>
        <v>0</v>
      </c>
      <c r="O28" s="467">
        <f>SUM(Tableau1315[[#This Row],[CONTRAT O&amp;M FORFAIT GROUPE]:[CHARGES exceptionnels (BONUS, sinistres)]])</f>
        <v>-371896.85498769191</v>
      </c>
      <c r="P28" s="354">
        <f>VLOOKUP(Tableau1315[[#This Row],[PARCS]],Tableau16[],10,FALSE)</f>
        <v>-309748</v>
      </c>
      <c r="Q28" s="350">
        <f>VLOOKUP(Tableau1315[[#This Row],[PARCS]],Tableau16[],18,FALSE)</f>
        <v>-133710</v>
      </c>
      <c r="R28" s="350">
        <f>VLOOKUP(Tableau1315[[#This Row],[PARCS]],Tableau16[],19,FALSE)</f>
        <v>0</v>
      </c>
      <c r="S28" s="20">
        <f>VLOOKUP(Tableau1315[[#This Row],[PARCS]],Tableau16[],28,FALSE)</f>
        <v>-5000</v>
      </c>
      <c r="T28" s="20">
        <f>VLOOKUP(Tableau1315[[#This Row],[PARCS]],Tableau16[],36,FALSE)</f>
        <v>0</v>
      </c>
      <c r="U28" s="20">
        <f>VLOOKUP(Tableau1315[[#This Row],[PARCS]],Tableau16[],37,FALSE)</f>
        <v>0</v>
      </c>
      <c r="V28" s="467">
        <f>SUM(Tableau1315[[#This Row],[CONTRAT O&amp;M FORFAIT GROUPE2]:[CHARGES exceptionnels (BONUS, sinistres)7]])</f>
        <v>-448458</v>
      </c>
      <c r="W28" s="354">
        <f>VLOOKUP(Tableau1315[[#This Row],[PARCS]],Tableau17[],10,FALSE)</f>
        <v>-317491.69999999995</v>
      </c>
      <c r="X28" s="350">
        <f>VLOOKUP(Tableau1315[[#This Row],[PARCS]],Tableau17[],18,FALSE)</f>
        <v>-103230</v>
      </c>
      <c r="Y28" s="350">
        <f>VLOOKUP(Tableau1315[[#This Row],[PARCS]],Tableau17[],19,FALSE)</f>
        <v>0</v>
      </c>
      <c r="Z28" s="350">
        <f>VLOOKUP(Tableau1315[[#This Row],[PARCS]],Tableau17[],28,FALSE)</f>
        <v>-5000</v>
      </c>
      <c r="AA28" s="350">
        <f>VLOOKUP(Tableau1315[[#This Row],[PARCS]],Tableau17[],36,FALSE)</f>
        <v>0</v>
      </c>
      <c r="AB28" s="252">
        <f>VLOOKUP(Tableau1315[[#This Row],[PARCS]],Tableau17[],37,FALSE)</f>
        <v>0</v>
      </c>
      <c r="AC28" s="468">
        <f>SUM(Tableau1315[[#This Row],[CONTRAT O&amp;M FORFAIT GROUPE22]:[CHARGES exceptionnels (BONUS, sinistres)77]])</f>
        <v>-425721.69999999995</v>
      </c>
      <c r="AD28" s="252">
        <f>Tableau1315[[#This Row],[TOTAL LE3]]-Tableau1315[[#This Row],[TOTAL BN-1]]</f>
        <v>-76561.145012308087</v>
      </c>
      <c r="AE28" s="351">
        <f>IFERROR((Tableau1315[[#This Row],[TOTAL LE3]]-Tableau1315[[#This Row],[TOTAL BN-1]])/Tableau1315[[#This Row],[TOTAL BN-1]],"")</f>
        <v>0.20586661055480535</v>
      </c>
      <c r="AF28" s="252">
        <f>Tableau1315[[#This Row],[TOTAL BN+1]]-Tableau1315[[#This Row],[TOTAL LE3]]</f>
        <v>22736.300000000047</v>
      </c>
      <c r="AG28" s="351">
        <f>IFERROR((Tableau1315[[#This Row],[TOTAL BN+1]]-Tableau1315[[#This Row],[TOTAL LE3]])/Tableau1315[[#This Row],[TOTAL LE3]],"")</f>
        <v>-5.069883913320767E-2</v>
      </c>
    </row>
    <row r="29" spans="1:34">
      <c r="A29" s="463" t="s">
        <v>581</v>
      </c>
      <c r="B29" s="464" t="str">
        <f>VLOOKUP(Tableau1315[[#This Row],[PARCS]],Tableau106[],3,FALSE)</f>
        <v>A063</v>
      </c>
      <c r="C29" s="464" t="str">
        <f>VLOOKUP(Tableau1315[[#This Row],[PARCS]],Tableau106[],2,FALSE)</f>
        <v>FR34E85E</v>
      </c>
      <c r="D29" s="465" t="str">
        <f>VLOOKUP(Tableau1315[[#This Row],[PARCS]],Tableau106[],8,FALSE)</f>
        <v>EOLIEN</v>
      </c>
      <c r="E29" s="465" t="str">
        <f>VLOOKUP(A29,Tableau106[[#Headers],[#Data]],6,FALSE)</f>
        <v>S</v>
      </c>
      <c r="F29" s="466" t="str">
        <f>VLOOKUP(Tableau1315[[#This Row],[PARCS]],Tableau106[],5,FALSE)</f>
        <v>FRA1</v>
      </c>
      <c r="G29" s="464" t="str">
        <f>VLOOKUP(Tableau1315[[#This Row],[PARCS]],Tableau106[],7,FALSE)</f>
        <v>FUTUREN</v>
      </c>
      <c r="H29" s="464" t="str">
        <f>VLOOKUP(Tableau1315[[#This Row],[PARCS]],Tableau106[],9,FALSE)</f>
        <v>OdP</v>
      </c>
      <c r="I29" s="350">
        <f>IFERROR(VLOOKUP(Tableau1315[[#This Row],[PARCS]],Tableau15[],10,FALSE),"")</f>
        <v>-23605.591939546593</v>
      </c>
      <c r="J29" s="20">
        <f>IFERROR(VLOOKUP(Tableau1315[[#This Row],[PARCS]],Tableau15[],18,FALSE),"")</f>
        <v>-15525</v>
      </c>
      <c r="K29" s="252">
        <f>IFERROR(VLOOKUP(Tableau1315[[#This Row],[PARCS]],Tableau15[],19,FALSE),"")</f>
        <v>-354773.43822000001</v>
      </c>
      <c r="L29" s="20">
        <f>IFERROR(VLOOKUP(Tableau1315[[#This Row],[PARCS]],Tableau15[],28,FALSE),"")</f>
        <v>-24980</v>
      </c>
      <c r="M29" s="252">
        <f>IFERROR(VLOOKUP(Tableau1315[[#This Row],[PARCS]],Tableau15[],36,FALSE),"")</f>
        <v>-14000</v>
      </c>
      <c r="N29" s="252">
        <f>IFERROR(VLOOKUP(Tableau1315[[#This Row],[PARCS]],Tableau15[],37,FALSE),"")</f>
        <v>0</v>
      </c>
      <c r="O29" s="467">
        <f>SUM(Tableau1315[[#This Row],[CONTRAT O&amp;M FORFAIT GROUPE]:[CHARGES exceptionnels (BONUS, sinistres)]])</f>
        <v>-432884.03015954659</v>
      </c>
      <c r="P29" s="354">
        <f>VLOOKUP(Tableau1315[[#This Row],[PARCS]],Tableau16[],10,FALSE)</f>
        <v>-18390</v>
      </c>
      <c r="Q29" s="350">
        <f>VLOOKUP(Tableau1315[[#This Row],[PARCS]],Tableau16[],18,FALSE)</f>
        <v>-20005</v>
      </c>
      <c r="R29" s="350">
        <f>VLOOKUP(Tableau1315[[#This Row],[PARCS]],Tableau16[],19,FALSE)</f>
        <v>-459293</v>
      </c>
      <c r="S29" s="20">
        <f>VLOOKUP(Tableau1315[[#This Row],[PARCS]],Tableau16[],28,FALSE)</f>
        <v>-25475</v>
      </c>
      <c r="T29" s="20">
        <f>VLOOKUP(Tableau1315[[#This Row],[PARCS]],Tableau16[],36,FALSE)</f>
        <v>-58151.72</v>
      </c>
      <c r="U29" s="20">
        <f>VLOOKUP(Tableau1315[[#This Row],[PARCS]],Tableau16[],37,FALSE)</f>
        <v>0</v>
      </c>
      <c r="V29" s="467">
        <f>SUM(Tableau1315[[#This Row],[CONTRAT O&amp;M FORFAIT GROUPE2]:[CHARGES exceptionnels (BONUS, sinistres)7]])</f>
        <v>-581314.72</v>
      </c>
      <c r="W29" s="354">
        <f>VLOOKUP(Tableau1315[[#This Row],[PARCS]],Tableau17[],10,FALSE)</f>
        <v>-18849.75</v>
      </c>
      <c r="X29" s="350">
        <f>VLOOKUP(Tableau1315[[#This Row],[PARCS]],Tableau17[],18,FALSE)</f>
        <v>-17600</v>
      </c>
      <c r="Y29" s="350">
        <f>VLOOKUP(Tableau1315[[#This Row],[PARCS]],Tableau17[],19,FALSE)</f>
        <v>-470775.32499999995</v>
      </c>
      <c r="Z29" s="350">
        <f>VLOOKUP(Tableau1315[[#This Row],[PARCS]],Tableau17[],28,FALSE)</f>
        <v>-21475</v>
      </c>
      <c r="AA29" s="350">
        <f>VLOOKUP(Tableau1315[[#This Row],[PARCS]],Tableau17[],36,FALSE)</f>
        <v>-62047.1</v>
      </c>
      <c r="AB29" s="252">
        <f>VLOOKUP(Tableau1315[[#This Row],[PARCS]],Tableau17[],37,FALSE)</f>
        <v>0</v>
      </c>
      <c r="AC29" s="468">
        <f>SUM(Tableau1315[[#This Row],[CONTRAT O&amp;M FORFAIT GROUPE22]:[CHARGES exceptionnels (BONUS, sinistres)77]])</f>
        <v>-590747.17499999993</v>
      </c>
      <c r="AD29" s="252">
        <f>Tableau1315[[#This Row],[TOTAL LE3]]-Tableau1315[[#This Row],[TOTAL BN-1]]</f>
        <v>-148430.68984045339</v>
      </c>
      <c r="AE29" s="351">
        <f>IFERROR((Tableau1315[[#This Row],[TOTAL LE3]]-Tableau1315[[#This Row],[TOTAL BN-1]])/Tableau1315[[#This Row],[TOTAL BN-1]],"")</f>
        <v>0.34288788566708456</v>
      </c>
      <c r="AF29" s="252">
        <f>Tableau1315[[#This Row],[TOTAL BN+1]]-Tableau1315[[#This Row],[TOTAL LE3]]</f>
        <v>-9432.4549999999581</v>
      </c>
      <c r="AG29" s="351">
        <f>IFERROR((Tableau1315[[#This Row],[TOTAL BN+1]]-Tableau1315[[#This Row],[TOTAL LE3]])/Tableau1315[[#This Row],[TOTAL LE3]],"")</f>
        <v>1.6226072857745556E-2</v>
      </c>
      <c r="AH29" s="6" t="s">
        <v>723</v>
      </c>
    </row>
    <row r="30" spans="1:34" hidden="1">
      <c r="A30" s="463" t="s">
        <v>610</v>
      </c>
      <c r="B30" s="464" t="str">
        <f>VLOOKUP(Tableau1315[[#This Row],[PARCS]],Tableau106[],3,FALSE)</f>
        <v>A295</v>
      </c>
      <c r="C30" s="464" t="str">
        <f>VLOOKUP(Tableau1315[[#This Row],[PARCS]],Tableau106[],2,FALSE)</f>
        <v>FR01S05E</v>
      </c>
      <c r="D30" s="465" t="str">
        <f>VLOOKUP(Tableau1315[[#This Row],[PARCS]],Tableau106[],8,FALSE)</f>
        <v>SOLAIRE</v>
      </c>
      <c r="E30" s="465" t="str">
        <f>VLOOKUP(A30,Tableau106[[#Headers],[#Data]],6,FALSE)</f>
        <v>S</v>
      </c>
      <c r="F30" s="466" t="str">
        <f>VLOOKUP(Tableau1315[[#This Row],[PARCS]],Tableau106[],5,FALSE)</f>
        <v>STJU</v>
      </c>
      <c r="G30" s="464" t="str">
        <f>VLOOKUP(Tableau1315[[#This Row],[PARCS]],Tableau106[],7,FALSE)</f>
        <v>GROUPE</v>
      </c>
      <c r="H30" s="464" t="str">
        <f>VLOOKUP(Tableau1315[[#This Row],[PARCS]],Tableau106[],9,FALSE)</f>
        <v>ArB</v>
      </c>
      <c r="I30" s="350">
        <f>IFERROR(VLOOKUP(Tableau1315[[#This Row],[PARCS]],Tableau15[],10,FALSE),"")</f>
        <v>-14280</v>
      </c>
      <c r="J30" s="20">
        <f>IFERROR(VLOOKUP(Tableau1315[[#This Row],[PARCS]],Tableau15[],18,FALSE),"")</f>
        <v>-3600</v>
      </c>
      <c r="K30" s="252">
        <f>IFERROR(VLOOKUP(Tableau1315[[#This Row],[PARCS]],Tableau15[],19,FALSE),"")</f>
        <v>-28800</v>
      </c>
      <c r="L30" s="20">
        <f>IFERROR(VLOOKUP(Tableau1315[[#This Row],[PARCS]],Tableau15[],28,FALSE),"")</f>
        <v>-1800</v>
      </c>
      <c r="M30" s="252">
        <f>IFERROR(VLOOKUP(Tableau1315[[#This Row],[PARCS]],Tableau15[],36,FALSE),"")</f>
        <v>0</v>
      </c>
      <c r="N30" s="252">
        <f>IFERROR(VLOOKUP(Tableau1315[[#This Row],[PARCS]],Tableau15[],37,FALSE),"")</f>
        <v>0</v>
      </c>
      <c r="O30" s="467">
        <f>SUM(Tableau1315[[#This Row],[CONTRAT O&amp;M FORFAIT GROUPE]:[CHARGES exceptionnels (BONUS, sinistres)]])</f>
        <v>-48480</v>
      </c>
      <c r="P30" s="354">
        <f>VLOOKUP(Tableau1315[[#This Row],[PARCS]],Tableau16[],10,FALSE)</f>
        <v>0</v>
      </c>
      <c r="Q30" s="252">
        <f>VLOOKUP(Tableau1315[[#This Row],[PARCS]],Tableau16[],18,FALSE)</f>
        <v>-675</v>
      </c>
      <c r="R30" s="252">
        <f>VLOOKUP(Tableau1315[[#This Row],[PARCS]],Tableau16[],19,FALSE)</f>
        <v>-70434</v>
      </c>
      <c r="S30" s="252">
        <f>VLOOKUP(Tableau1315[[#This Row],[PARCS]],Tableau16[],28,FALSE)</f>
        <v>-3075</v>
      </c>
      <c r="T30" s="252">
        <f>VLOOKUP(Tableau1315[[#This Row],[PARCS]],Tableau16[],36,FALSE)</f>
        <v>-5000</v>
      </c>
      <c r="U30" s="252">
        <f>VLOOKUP(Tableau1315[[#This Row],[PARCS]],Tableau16[],37,FALSE)</f>
        <v>0</v>
      </c>
      <c r="V30" s="467">
        <f>SUM(Tableau1315[[#This Row],[CONTRAT O&amp;M FORFAIT GROUPE2]:[CHARGES exceptionnels (BONUS, sinistres)7]])</f>
        <v>-79184</v>
      </c>
      <c r="W30" s="354">
        <f>VLOOKUP(Tableau1315[[#This Row],[PARCS]],Tableau17[],10,FALSE)</f>
        <v>0</v>
      </c>
      <c r="X30" s="252">
        <f>VLOOKUP(Tableau1315[[#This Row],[PARCS]],Tableau17[],18,FALSE)</f>
        <v>-1250</v>
      </c>
      <c r="Y30" s="252">
        <f>VLOOKUP(Tableau1315[[#This Row],[PARCS]],Tableau17[],19,FALSE)</f>
        <v>-72194.849999999991</v>
      </c>
      <c r="Z30" s="252">
        <f>VLOOKUP(Tableau1315[[#This Row],[PARCS]],Tableau17[],28,FALSE)</f>
        <v>-2375</v>
      </c>
      <c r="AA30" s="252">
        <f>VLOOKUP(Tableau1315[[#This Row],[PARCS]],Tableau17[],36,FALSE)</f>
        <v>0</v>
      </c>
      <c r="AB30" s="252">
        <f>VLOOKUP(Tableau1315[[#This Row],[PARCS]],Tableau17[],37,FALSE)</f>
        <v>0</v>
      </c>
      <c r="AC30" s="468">
        <f>SUM(Tableau1315[[#This Row],[CONTRAT O&amp;M FORFAIT GROUPE22]:[CHARGES exceptionnels (BONUS, sinistres)77]])</f>
        <v>-75819.849999999991</v>
      </c>
      <c r="AD30" s="252">
        <f>Tableau1315[[#This Row],[TOTAL LE3]]-Tableau1315[[#This Row],[TOTAL BN-1]]</f>
        <v>-30704</v>
      </c>
      <c r="AE30" s="351">
        <f>IFERROR((Tableau1315[[#This Row],[TOTAL LE3]]-Tableau1315[[#This Row],[TOTAL BN-1]])/Tableau1315[[#This Row],[TOTAL BN-1]],"")</f>
        <v>0.6333333333333333</v>
      </c>
      <c r="AF30" s="252">
        <f>Tableau1315[[#This Row],[TOTAL BN+1]]-Tableau1315[[#This Row],[TOTAL LE3]]</f>
        <v>3364.1500000000087</v>
      </c>
      <c r="AG30" s="351">
        <f>IFERROR((Tableau1315[[#This Row],[TOTAL BN+1]]-Tableau1315[[#This Row],[TOTAL LE3]])/Tableau1315[[#This Row],[TOTAL LE3]],"")</f>
        <v>-4.2485224287735004E-2</v>
      </c>
      <c r="AH30" s="6" t="s">
        <v>724</v>
      </c>
    </row>
    <row r="31" spans="1:34" hidden="1">
      <c r="A31" s="463" t="s">
        <v>590</v>
      </c>
      <c r="B31" s="464" t="str">
        <f>VLOOKUP(Tableau1315[[#This Row],[PARCS]],Tableau106[],3,FALSE)</f>
        <v>A124</v>
      </c>
      <c r="C31" s="464" t="str">
        <f>VLOOKUP(Tableau1315[[#This Row],[PARCS]],Tableau106[],2,FALSE)</f>
        <v>FR28E99E</v>
      </c>
      <c r="D31" s="465" t="str">
        <f>VLOOKUP(Tableau1315[[#This Row],[PARCS]],Tableau106[],8,FALSE)</f>
        <v>EOLIEN</v>
      </c>
      <c r="E31" s="465" t="str">
        <f>VLOOKUP(A31,Tableau106[[#Headers],[#Data]],6,FALSE)</f>
        <v>N</v>
      </c>
      <c r="F31" s="466" t="str">
        <f>VLOOKUP(Tableau1315[[#This Row],[PARCS]],Tableau106[],5,FALSE)</f>
        <v>CDBO</v>
      </c>
      <c r="G31" s="464" t="str">
        <f>VLOOKUP(Tableau1315[[#This Row],[PARCS]],Tableau106[],7,FALSE)</f>
        <v>GROUPE</v>
      </c>
      <c r="H31" s="464" t="str">
        <f>VLOOKUP(Tableau1315[[#This Row],[PARCS]],Tableau106[],9,FALSE)</f>
        <v>LoH</v>
      </c>
      <c r="I31" s="350">
        <f>IFERROR(VLOOKUP(Tableau1315[[#This Row],[PARCS]],Tableau15[],10,FALSE),"")</f>
        <v>-23605.591939546579</v>
      </c>
      <c r="J31" s="20">
        <f>IFERROR(VLOOKUP(Tableau1315[[#This Row],[PARCS]],Tableau15[],18,FALSE),"")</f>
        <v>-35400</v>
      </c>
      <c r="K31" s="252">
        <f>IFERROR(VLOOKUP(Tableau1315[[#This Row],[PARCS]],Tableau15[],19,FALSE),"")</f>
        <v>-648514.14343199995</v>
      </c>
      <c r="L31" s="20">
        <f>IFERROR(VLOOKUP(Tableau1315[[#This Row],[PARCS]],Tableau15[],28,FALSE),"")</f>
        <v>-18000</v>
      </c>
      <c r="M31" s="252">
        <f>IFERROR(VLOOKUP(Tableau1315[[#This Row],[PARCS]],Tableau15[],36,FALSE),"")</f>
        <v>0</v>
      </c>
      <c r="N31" s="252">
        <f>IFERROR(VLOOKUP(Tableau1315[[#This Row],[PARCS]],Tableau15[],37,FALSE),"")</f>
        <v>0</v>
      </c>
      <c r="O31" s="467">
        <f>SUM(Tableau1315[[#This Row],[CONTRAT O&amp;M FORFAIT GROUPE]:[CHARGES exceptionnels (BONUS, sinistres)]])</f>
        <v>-725519.73537154659</v>
      </c>
      <c r="P31" s="354">
        <f>VLOOKUP(Tableau1315[[#This Row],[PARCS]],Tableau16[],10,FALSE)</f>
        <v>-20274</v>
      </c>
      <c r="Q31" s="350">
        <f>VLOOKUP(Tableau1315[[#This Row],[PARCS]],Tableau16[],18,FALSE)</f>
        <v>-40390</v>
      </c>
      <c r="R31" s="350">
        <f>VLOOKUP(Tableau1315[[#This Row],[PARCS]],Tableau16[],19,FALSE)</f>
        <v>-775210</v>
      </c>
      <c r="S31" s="20">
        <f>VLOOKUP(Tableau1315[[#This Row],[PARCS]],Tableau16[],28,FALSE)</f>
        <v>-26600</v>
      </c>
      <c r="T31" s="20">
        <f>VLOOKUP(Tableau1315[[#This Row],[PARCS]],Tableau16[],36,FALSE)</f>
        <v>0</v>
      </c>
      <c r="U31" s="20">
        <f>VLOOKUP(Tableau1315[[#This Row],[PARCS]],Tableau16[],37,FALSE)</f>
        <v>0</v>
      </c>
      <c r="V31" s="467">
        <f>SUM(Tableau1315[[#This Row],[CONTRAT O&amp;M FORFAIT GROUPE2]:[CHARGES exceptionnels (BONUS, sinistres)7]])</f>
        <v>-862474</v>
      </c>
      <c r="W31" s="354">
        <f>VLOOKUP(Tableau1315[[#This Row],[PARCS]],Tableau17[],10,FALSE)</f>
        <v>-20780.849999999999</v>
      </c>
      <c r="X31" s="350">
        <f>VLOOKUP(Tableau1315[[#This Row],[PARCS]],Tableau17[],18,FALSE)</f>
        <v>-41030</v>
      </c>
      <c r="Y31" s="350">
        <f>VLOOKUP(Tableau1315[[#This Row],[PARCS]],Tableau17[],19,FALSE)</f>
        <v>-794590.24999999988</v>
      </c>
      <c r="Z31" s="350">
        <f>VLOOKUP(Tableau1315[[#This Row],[PARCS]],Tableau17[],28,FALSE)</f>
        <v>-8600</v>
      </c>
      <c r="AA31" s="350">
        <f>VLOOKUP(Tableau1315[[#This Row],[PARCS]],Tableau17[],36,FALSE)</f>
        <v>-5047.0999999999995</v>
      </c>
      <c r="AB31" s="252">
        <f>VLOOKUP(Tableau1315[[#This Row],[PARCS]],Tableau17[],37,FALSE)</f>
        <v>0</v>
      </c>
      <c r="AC31" s="468">
        <f>SUM(Tableau1315[[#This Row],[CONTRAT O&amp;M FORFAIT GROUPE22]:[CHARGES exceptionnels (BONUS, sinistres)77]])</f>
        <v>-870048.19999999984</v>
      </c>
      <c r="AD31" s="252">
        <f>Tableau1315[[#This Row],[TOTAL LE3]]-Tableau1315[[#This Row],[TOTAL BN-1]]</f>
        <v>-136954.26462845341</v>
      </c>
      <c r="AE31" s="351">
        <f>IFERROR((Tableau1315[[#This Row],[TOTAL LE3]]-Tableau1315[[#This Row],[TOTAL BN-1]])/Tableau1315[[#This Row],[TOTAL BN-1]],"")</f>
        <v>0.18876711128790677</v>
      </c>
      <c r="AF31" s="252">
        <f>Tableau1315[[#This Row],[TOTAL BN+1]]-Tableau1315[[#This Row],[TOTAL LE3]]</f>
        <v>-7574.199999999837</v>
      </c>
      <c r="AG31" s="351">
        <f>IFERROR((Tableau1315[[#This Row],[TOTAL BN+1]]-Tableau1315[[#This Row],[TOTAL LE3]])/Tableau1315[[#This Row],[TOTAL LE3]],"")</f>
        <v>8.7819458905425991E-3</v>
      </c>
    </row>
    <row r="32" spans="1:34" hidden="1">
      <c r="A32" s="463" t="s">
        <v>485</v>
      </c>
      <c r="B32" s="464" t="str">
        <f>VLOOKUP(Tableau1315[[#This Row],[PARCS]],Tableau106[],3,FALSE)</f>
        <v>A534</v>
      </c>
      <c r="C32" s="464" t="str">
        <f>VLOOKUP(Tableau1315[[#This Row],[PARCS]],Tableau106[],2,FALSE)</f>
        <v>FR62E03E</v>
      </c>
      <c r="D32" s="465" t="str">
        <f>VLOOKUP(Tableau1315[[#This Row],[PARCS]],Tableau106[],8,FALSE)</f>
        <v>EOLIEN</v>
      </c>
      <c r="E32" s="465" t="str">
        <f>VLOOKUP(A32,Tableau106[[#Headers],[#Data]],6,FALSE)</f>
        <v>N</v>
      </c>
      <c r="F32" s="466" t="str">
        <f>VLOOKUP(Tableau1315[[#This Row],[PARCS]],Tableau106[],5,FALSE)</f>
        <v>CARN</v>
      </c>
      <c r="G32" s="464" t="str">
        <f>VLOOKUP(Tableau1315[[#This Row],[PARCS]],Tableau106[],7,FALSE)</f>
        <v>GROUPE</v>
      </c>
      <c r="H32" s="464" t="str">
        <f>VLOOKUP(Tableau1315[[#This Row],[PARCS]],Tableau106[],9,FALSE)</f>
        <v>NiL</v>
      </c>
      <c r="I32" s="350">
        <f>IFERROR(VLOOKUP(Tableau1315[[#This Row],[PARCS]],Tableau15[],10,FALSE),"")</f>
        <v>-456411.6933063934</v>
      </c>
      <c r="J32" s="20">
        <f>IFERROR(VLOOKUP(Tableau1315[[#This Row],[PARCS]],Tableau15[],18,FALSE),"")</f>
        <v>-26730</v>
      </c>
      <c r="K32" s="252">
        <f>IFERROR(VLOOKUP(Tableau1315[[#This Row],[PARCS]],Tableau15[],19,FALSE),"")</f>
        <v>0</v>
      </c>
      <c r="L32" s="20">
        <f>IFERROR(VLOOKUP(Tableau1315[[#This Row],[PARCS]],Tableau15[],28,FALSE),"")</f>
        <v>-12900</v>
      </c>
      <c r="M32" s="252">
        <f>IFERROR(VLOOKUP(Tableau1315[[#This Row],[PARCS]],Tableau15[],36,FALSE),"")</f>
        <v>-12000</v>
      </c>
      <c r="N32" s="252">
        <f>IFERROR(VLOOKUP(Tableau1315[[#This Row],[PARCS]],Tableau15[],37,FALSE),"")</f>
        <v>0</v>
      </c>
      <c r="O32" s="467">
        <f>SUM(Tableau1315[[#This Row],[CONTRAT O&amp;M FORFAIT GROUPE]:[CHARGES exceptionnels (BONUS, sinistres)]])</f>
        <v>-508041.6933063934</v>
      </c>
      <c r="P32" s="354">
        <f>VLOOKUP(Tableau1315[[#This Row],[PARCS]],Tableau16[],10,FALSE)</f>
        <v>-458981</v>
      </c>
      <c r="Q32" s="350">
        <f>VLOOKUP(Tableau1315[[#This Row],[PARCS]],Tableau16[],18,FALSE)</f>
        <v>-30982</v>
      </c>
      <c r="R32" s="350">
        <f>VLOOKUP(Tableau1315[[#This Row],[PARCS]],Tableau16[],19,FALSE)</f>
        <v>0</v>
      </c>
      <c r="S32" s="20">
        <f>VLOOKUP(Tableau1315[[#This Row],[PARCS]],Tableau16[],28,FALSE)</f>
        <v>-18150</v>
      </c>
      <c r="T32" s="20">
        <f>VLOOKUP(Tableau1315[[#This Row],[PARCS]],Tableau16[],36,FALSE)</f>
        <v>-12000</v>
      </c>
      <c r="U32" s="20">
        <f>VLOOKUP(Tableau1315[[#This Row],[PARCS]],Tableau16[],37,FALSE)</f>
        <v>0</v>
      </c>
      <c r="V32" s="467">
        <f>SUM(Tableau1315[[#This Row],[CONTRAT O&amp;M FORFAIT GROUPE2]:[CHARGES exceptionnels (BONUS, sinistres)7]])</f>
        <v>-520113</v>
      </c>
      <c r="W32" s="354">
        <f>VLOOKUP(Tableau1315[[#This Row],[PARCS]],Tableau17[],10,FALSE)</f>
        <v>-470455.52499999997</v>
      </c>
      <c r="X32" s="350">
        <f>VLOOKUP(Tableau1315[[#This Row],[PARCS]],Tableau17[],18,FALSE)</f>
        <v>-29640</v>
      </c>
      <c r="Y32" s="350">
        <f>VLOOKUP(Tableau1315[[#This Row],[PARCS]],Tableau17[],19,FALSE)</f>
        <v>0</v>
      </c>
      <c r="Z32" s="350">
        <f>VLOOKUP(Tableau1315[[#This Row],[PARCS]],Tableau17[],28,FALSE)</f>
        <v>-7950</v>
      </c>
      <c r="AA32" s="350">
        <f>VLOOKUP(Tableau1315[[#This Row],[PARCS]],Tableau17[],36,FALSE)</f>
        <v>0</v>
      </c>
      <c r="AB32" s="252">
        <f>VLOOKUP(Tableau1315[[#This Row],[PARCS]],Tableau17[],37,FALSE)</f>
        <v>0</v>
      </c>
      <c r="AC32" s="468">
        <f>SUM(Tableau1315[[#This Row],[CONTRAT O&amp;M FORFAIT GROUPE22]:[CHARGES exceptionnels (BONUS, sinistres)77]])</f>
        <v>-508045.52499999997</v>
      </c>
      <c r="AD32" s="252">
        <f>Tableau1315[[#This Row],[TOTAL LE3]]-Tableau1315[[#This Row],[TOTAL BN-1]]</f>
        <v>-12071.306693606602</v>
      </c>
      <c r="AE32" s="351">
        <f>IFERROR((Tableau1315[[#This Row],[TOTAL LE3]]-Tableau1315[[#This Row],[TOTAL BN-1]])/Tableau1315[[#This Row],[TOTAL BN-1]],"")</f>
        <v>2.3760464648177118E-2</v>
      </c>
      <c r="AF32" s="252">
        <f>Tableau1315[[#This Row],[TOTAL BN+1]]-Tableau1315[[#This Row],[TOTAL LE3]]</f>
        <v>12067.475000000035</v>
      </c>
      <c r="AG32" s="351">
        <f>IFERROR((Tableau1315[[#This Row],[TOTAL BN+1]]-Tableau1315[[#This Row],[TOTAL LE3]])/Tableau1315[[#This Row],[TOTAL LE3]],"")</f>
        <v>-2.3201640797288349E-2</v>
      </c>
    </row>
    <row r="33" spans="1:34">
      <c r="A33" s="463" t="s">
        <v>571</v>
      </c>
      <c r="B33" s="464" t="str">
        <f>VLOOKUP(Tableau1315[[#This Row],[PARCS]],Tableau106[],3,FALSE)</f>
        <v>A084</v>
      </c>
      <c r="C33" s="464" t="str">
        <f>VLOOKUP(Tableau1315[[#This Row],[PARCS]],Tableau106[],2,FALSE)</f>
        <v>FR34E93E</v>
      </c>
      <c r="D33" s="465" t="str">
        <f>VLOOKUP(Tableau1315[[#This Row],[PARCS]],Tableau106[],8,FALSE)</f>
        <v>EOLIEN</v>
      </c>
      <c r="E33" s="465" t="str">
        <f>VLOOKUP(A33,Tableau106[[#Headers],[#Data]],6,FALSE)</f>
        <v>S</v>
      </c>
      <c r="F33" s="466" t="str">
        <f>VLOOKUP(Tableau1315[[#This Row],[PARCS]],Tableau106[],5,FALSE)</f>
        <v>AUM3</v>
      </c>
      <c r="G33" s="464" t="str">
        <f>VLOOKUP(Tableau1315[[#This Row],[PARCS]],Tableau106[],7,FALSE)</f>
        <v>FUTUREN</v>
      </c>
      <c r="H33" s="464" t="str">
        <f>VLOOKUP(Tableau1315[[#This Row],[PARCS]],Tableau106[],9,FALSE)</f>
        <v>KéD</v>
      </c>
      <c r="I33" s="350">
        <f>IFERROR(VLOOKUP(Tableau1315[[#This Row],[PARCS]],Tableau15[],10,FALSE),"")</f>
        <v>-414768.43159356836</v>
      </c>
      <c r="J33" s="20">
        <f>IFERROR(VLOOKUP(Tableau1315[[#This Row],[PARCS]],Tableau15[],18,FALSE),"")</f>
        <v>-38450</v>
      </c>
      <c r="K33" s="252">
        <f>IFERROR(VLOOKUP(Tableau1315[[#This Row],[PARCS]],Tableau15[],19,FALSE),"")</f>
        <v>0</v>
      </c>
      <c r="L33" s="20">
        <f>IFERROR(VLOOKUP(Tableau1315[[#This Row],[PARCS]],Tableau15[],28,FALSE),"")</f>
        <v>-16250</v>
      </c>
      <c r="M33" s="252">
        <f>IFERROR(VLOOKUP(Tableau1315[[#This Row],[PARCS]],Tableau15[],36,FALSE),"")</f>
        <v>-115793.93</v>
      </c>
      <c r="N33" s="252">
        <f>IFERROR(VLOOKUP(Tableau1315[[#This Row],[PARCS]],Tableau15[],37,FALSE),"")</f>
        <v>-12000</v>
      </c>
      <c r="O33" s="467">
        <f>SUM(Tableau1315[[#This Row],[CONTRAT O&amp;M FORFAIT GROUPE]:[CHARGES exceptionnels (BONUS, sinistres)]])</f>
        <v>-597262.36159356835</v>
      </c>
      <c r="P33" s="354">
        <f>VLOOKUP(Tableau1315[[#This Row],[PARCS]],Tableau16[],10,FALSE)</f>
        <v>-417103</v>
      </c>
      <c r="Q33" s="252">
        <f>VLOOKUP(Tableau1315[[#This Row],[PARCS]],Tableau16[],18,FALSE)</f>
        <v>-170720</v>
      </c>
      <c r="R33" s="252">
        <f>VLOOKUP(Tableau1315[[#This Row],[PARCS]],Tableau16[],19,FALSE)</f>
        <v>0</v>
      </c>
      <c r="S33" s="252">
        <f>VLOOKUP(Tableau1315[[#This Row],[PARCS]],Tableau16[],28,FALSE)</f>
        <v>-29678</v>
      </c>
      <c r="T33" s="252">
        <f>VLOOKUP(Tableau1315[[#This Row],[PARCS]],Tableau16[],36,FALSE)</f>
        <v>-144293.5</v>
      </c>
      <c r="U33" s="252">
        <f>VLOOKUP(Tableau1315[[#This Row],[PARCS]],Tableau16[],37,FALSE)</f>
        <v>0</v>
      </c>
      <c r="V33" s="467">
        <f>SUM(Tableau1315[[#This Row],[CONTRAT O&amp;M FORFAIT GROUPE2]:[CHARGES exceptionnels (BONUS, sinistres)7]])</f>
        <v>-761794.5</v>
      </c>
      <c r="W33" s="354">
        <f>VLOOKUP(Tableau1315[[#This Row],[PARCS]],Tableau17[],10,FALSE)</f>
        <v>-427530.57499999995</v>
      </c>
      <c r="X33" s="252">
        <f>VLOOKUP(Tableau1315[[#This Row],[PARCS]],Tableau17[],18,FALSE)</f>
        <v>-46550</v>
      </c>
      <c r="Y33" s="252">
        <f>VLOOKUP(Tableau1315[[#This Row],[PARCS]],Tableau17[],19,FALSE)</f>
        <v>0</v>
      </c>
      <c r="Z33" s="252">
        <f>VLOOKUP(Tableau1315[[#This Row],[PARCS]],Tableau17[],28,FALSE)</f>
        <v>-25500</v>
      </c>
      <c r="AA33" s="252">
        <f>VLOOKUP(Tableau1315[[#This Row],[PARCS]],Tableau17[],36,FALSE)</f>
        <v>-145788</v>
      </c>
      <c r="AB33" s="252">
        <f>VLOOKUP(Tableau1315[[#This Row],[PARCS]],Tableau17[],37,FALSE)</f>
        <v>0</v>
      </c>
      <c r="AC33" s="468">
        <f>SUM(Tableau1315[[#This Row],[CONTRAT O&amp;M FORFAIT GROUPE22]:[CHARGES exceptionnels (BONUS, sinistres)77]])</f>
        <v>-645368.57499999995</v>
      </c>
      <c r="AD33" s="252">
        <f>Tableau1315[[#This Row],[TOTAL LE3]]-Tableau1315[[#This Row],[TOTAL BN-1]]</f>
        <v>-164532.13840643165</v>
      </c>
      <c r="AE33" s="351">
        <f>IFERROR((Tableau1315[[#This Row],[TOTAL LE3]]-Tableau1315[[#This Row],[TOTAL BN-1]])/Tableau1315[[#This Row],[TOTAL BN-1]],"")</f>
        <v>0.27547715876058215</v>
      </c>
      <c r="AF33" s="252">
        <f>Tableau1315[[#This Row],[TOTAL BN+1]]-Tableau1315[[#This Row],[TOTAL LE3]]</f>
        <v>116425.92500000005</v>
      </c>
      <c r="AG33" s="351">
        <f>IFERROR((Tableau1315[[#This Row],[TOTAL BN+1]]-Tableau1315[[#This Row],[TOTAL LE3]])/Tableau1315[[#This Row],[TOTAL LE3]],"")</f>
        <v>-0.1528311440946345</v>
      </c>
      <c r="AH33" s="6" t="s">
        <v>725</v>
      </c>
    </row>
    <row r="34" spans="1:34" hidden="1">
      <c r="A34" s="463" t="s">
        <v>605</v>
      </c>
      <c r="B34" s="464" t="str">
        <f>VLOOKUP(Tableau1315[[#This Row],[PARCS]],Tableau106[],3,FALSE)</f>
        <v>A257</v>
      </c>
      <c r="C34" s="464" t="str">
        <f>VLOOKUP(Tableau1315[[#This Row],[PARCS]],Tableau106[],2,FALSE)</f>
        <v>FR01S07E</v>
      </c>
      <c r="D34" s="465" t="str">
        <f>VLOOKUP(Tableau1315[[#This Row],[PARCS]],Tableau106[],8,FALSE)</f>
        <v>SOLAIRE</v>
      </c>
      <c r="E34" s="465" t="str">
        <f>VLOOKUP(A34,Tableau106[[#Headers],[#Data]],6,FALSE)</f>
        <v>S</v>
      </c>
      <c r="F34" s="466" t="str">
        <f>VLOOKUP(Tableau1315[[#This Row],[PARCS]],Tableau106[],5,FALSE)</f>
        <v>SJLV</v>
      </c>
      <c r="G34" s="464" t="str">
        <f>VLOOKUP(Tableau1315[[#This Row],[PARCS]],Tableau106[],7,FALSE)</f>
        <v>GROUPE</v>
      </c>
      <c r="H34" s="464" t="str">
        <f>VLOOKUP(Tableau1315[[#This Row],[PARCS]],Tableau106[],9,FALSE)</f>
        <v>ArB</v>
      </c>
      <c r="I34" s="350">
        <f>IFERROR(VLOOKUP(Tableau1315[[#This Row],[PARCS]],Tableau15[],10,FALSE),"")</f>
        <v>-13770</v>
      </c>
      <c r="J34" s="20">
        <f>IFERROR(VLOOKUP(Tableau1315[[#This Row],[PARCS]],Tableau15[],18,FALSE),"")</f>
        <v>-2700</v>
      </c>
      <c r="K34" s="252">
        <f>IFERROR(VLOOKUP(Tableau1315[[#This Row],[PARCS]],Tableau15[],19,FALSE),"")</f>
        <v>0</v>
      </c>
      <c r="L34" s="20">
        <f>IFERROR(VLOOKUP(Tableau1315[[#This Row],[PARCS]],Tableau15[],28,FALSE),"")</f>
        <v>-1350</v>
      </c>
      <c r="M34" s="252">
        <f>IFERROR(VLOOKUP(Tableau1315[[#This Row],[PARCS]],Tableau15[],36,FALSE),"")</f>
        <v>0</v>
      </c>
      <c r="N34" s="252">
        <f>IFERROR(VLOOKUP(Tableau1315[[#This Row],[PARCS]],Tableau15[],37,FALSE),"")</f>
        <v>0</v>
      </c>
      <c r="O34" s="467">
        <f>SUM(Tableau1315[[#This Row],[CONTRAT O&amp;M FORFAIT GROUPE]:[CHARGES exceptionnels (BONUS, sinistres)]])</f>
        <v>-17820</v>
      </c>
      <c r="P34" s="354">
        <f>VLOOKUP(Tableau1315[[#This Row],[PARCS]],Tableau16[],10,FALSE)</f>
        <v>0</v>
      </c>
      <c r="Q34" s="252">
        <f>VLOOKUP(Tableau1315[[#This Row],[PARCS]],Tableau16[],18,FALSE)</f>
        <v>-675</v>
      </c>
      <c r="R34" s="252">
        <f>VLOOKUP(Tableau1315[[#This Row],[PARCS]],Tableau16[],19,FALSE)</f>
        <v>-21480</v>
      </c>
      <c r="S34" s="252">
        <f>VLOOKUP(Tableau1315[[#This Row],[PARCS]],Tableau16[],28,FALSE)</f>
        <v>-6582</v>
      </c>
      <c r="T34" s="252">
        <f>VLOOKUP(Tableau1315[[#This Row],[PARCS]],Tableau16[],36,FALSE)</f>
        <v>0</v>
      </c>
      <c r="U34" s="252">
        <f>VLOOKUP(Tableau1315[[#This Row],[PARCS]],Tableau16[],37,FALSE)</f>
        <v>0</v>
      </c>
      <c r="V34" s="467">
        <f>SUM(Tableau1315[[#This Row],[CONTRAT O&amp;M FORFAIT GROUPE2]:[CHARGES exceptionnels (BONUS, sinistres)7]])</f>
        <v>-28737</v>
      </c>
      <c r="W34" s="354">
        <f>VLOOKUP(Tableau1315[[#This Row],[PARCS]],Tableau17[],10,FALSE)</f>
        <v>0</v>
      </c>
      <c r="X34" s="252">
        <f>VLOOKUP(Tableau1315[[#This Row],[PARCS]],Tableau17[],18,FALSE)</f>
        <v>-675</v>
      </c>
      <c r="Y34" s="252">
        <f>VLOOKUP(Tableau1315[[#This Row],[PARCS]],Tableau17[],19,FALSE)</f>
        <v>-22016.999999999996</v>
      </c>
      <c r="Z34" s="252">
        <f>VLOOKUP(Tableau1315[[#This Row],[PARCS]],Tableau17[],28,FALSE)</f>
        <v>-5782</v>
      </c>
      <c r="AA34" s="252">
        <f>VLOOKUP(Tableau1315[[#This Row],[PARCS]],Tableau17[],36,FALSE)</f>
        <v>0</v>
      </c>
      <c r="AB34" s="252">
        <f>VLOOKUP(Tableau1315[[#This Row],[PARCS]],Tableau17[],37,FALSE)</f>
        <v>0</v>
      </c>
      <c r="AC34" s="468">
        <f>SUM(Tableau1315[[#This Row],[CONTRAT O&amp;M FORFAIT GROUPE22]:[CHARGES exceptionnels (BONUS, sinistres)77]])</f>
        <v>-28473.999999999996</v>
      </c>
      <c r="AD34" s="252">
        <f>Tableau1315[[#This Row],[TOTAL LE3]]-Tableau1315[[#This Row],[TOTAL BN-1]]</f>
        <v>-10917</v>
      </c>
      <c r="AE34" s="351">
        <f>IFERROR((Tableau1315[[#This Row],[TOTAL LE3]]-Tableau1315[[#This Row],[TOTAL BN-1]])/Tableau1315[[#This Row],[TOTAL BN-1]],"")</f>
        <v>0.61262626262626263</v>
      </c>
      <c r="AF34" s="252">
        <f>Tableau1315[[#This Row],[TOTAL BN+1]]-Tableau1315[[#This Row],[TOTAL LE3]]</f>
        <v>263.00000000000364</v>
      </c>
      <c r="AG34" s="351">
        <f>IFERROR((Tableau1315[[#This Row],[TOTAL BN+1]]-Tableau1315[[#This Row],[TOTAL LE3]])/Tableau1315[[#This Row],[TOTAL LE3]],"")</f>
        <v>-9.1519643664962815E-3</v>
      </c>
      <c r="AH34" s="6" t="s">
        <v>726</v>
      </c>
    </row>
    <row r="35" spans="1:34" hidden="1">
      <c r="A35" s="463" t="s">
        <v>400</v>
      </c>
      <c r="B35" s="464" t="str">
        <f>VLOOKUP(Tableau1315[[#This Row],[PARCS]],Tableau106[],3,FALSE)</f>
        <v>A272</v>
      </c>
      <c r="C35" s="464" t="str">
        <f>VLOOKUP(Tableau1315[[#This Row],[PARCS]],Tableau106[],2,FALSE)</f>
        <v>FR21S02E</v>
      </c>
      <c r="D35" s="465" t="str">
        <f>VLOOKUP(Tableau1315[[#This Row],[PARCS]],Tableau106[],8,FALSE)</f>
        <v>SOLAIRE</v>
      </c>
      <c r="E35" s="465" t="str">
        <f>VLOOKUP(A35,Tableau106[[#Headers],[#Data]],6,FALSE)</f>
        <v>N</v>
      </c>
      <c r="F35" s="466" t="str">
        <f>VLOOKUP(Tableau1315[[#This Row],[PARCS]],Tableau106[],5,FALSE)</f>
        <v>LUX1</v>
      </c>
      <c r="G35" s="464" t="str">
        <f>VLOOKUP(Tableau1315[[#This Row],[PARCS]],Tableau106[],7,FALSE)</f>
        <v>GROUPE</v>
      </c>
      <c r="H35" s="464" t="str">
        <f>VLOOKUP(Tableau1315[[#This Row],[PARCS]],Tableau106[],9,FALSE)</f>
        <v>ZaA</v>
      </c>
      <c r="I35" s="350">
        <f>IFERROR(VLOOKUP(Tableau1315[[#This Row],[PARCS]],Tableau15[],10,FALSE),"")</f>
        <v>-39000</v>
      </c>
      <c r="J35" s="20">
        <f>IFERROR(VLOOKUP(Tableau1315[[#This Row],[PARCS]],Tableau15[],18,FALSE),"")</f>
        <v>-16800</v>
      </c>
      <c r="K35" s="252">
        <f>IFERROR(VLOOKUP(Tableau1315[[#This Row],[PARCS]],Tableau15[],19,FALSE),"")</f>
        <v>0</v>
      </c>
      <c r="L35" s="20">
        <f>IFERROR(VLOOKUP(Tableau1315[[#This Row],[PARCS]],Tableau15[],28,FALSE),"")</f>
        <v>-4200</v>
      </c>
      <c r="M35" s="252">
        <f>IFERROR(VLOOKUP(Tableau1315[[#This Row],[PARCS]],Tableau15[],36,FALSE),"")</f>
        <v>0</v>
      </c>
      <c r="N35" s="252">
        <f>IFERROR(VLOOKUP(Tableau1315[[#This Row],[PARCS]],Tableau15[],37,FALSE),"")</f>
        <v>0</v>
      </c>
      <c r="O35" s="467">
        <f>SUM(Tableau1315[[#This Row],[CONTRAT O&amp;M FORFAIT GROUPE]:[CHARGES exceptionnels (BONUS, sinistres)]])</f>
        <v>-60000</v>
      </c>
      <c r="P35" s="354">
        <f>VLOOKUP(Tableau1315[[#This Row],[PARCS]],Tableau16[],10,FALSE)</f>
        <v>-49903</v>
      </c>
      <c r="Q35" s="252">
        <f>VLOOKUP(Tableau1315[[#This Row],[PARCS]],Tableau16[],18,FALSE)</f>
        <v>-26150.000000000004</v>
      </c>
      <c r="R35" s="252">
        <f>VLOOKUP(Tableau1315[[#This Row],[PARCS]],Tableau16[],19,FALSE)</f>
        <v>0</v>
      </c>
      <c r="S35" s="252">
        <f>VLOOKUP(Tableau1315[[#This Row],[PARCS]],Tableau16[],28,FALSE)</f>
        <v>-17520</v>
      </c>
      <c r="T35" s="252">
        <f>VLOOKUP(Tableau1315[[#This Row],[PARCS]],Tableau16[],36,FALSE)</f>
        <v>0</v>
      </c>
      <c r="U35" s="252">
        <f>VLOOKUP(Tableau1315[[#This Row],[PARCS]],Tableau16[],37,FALSE)</f>
        <v>0</v>
      </c>
      <c r="V35" s="467">
        <f>SUM(Tableau1315[[#This Row],[CONTRAT O&amp;M FORFAIT GROUPE2]:[CHARGES exceptionnels (BONUS, sinistres)7]])</f>
        <v>-93573</v>
      </c>
      <c r="W35" s="354">
        <f>VLOOKUP(Tableau1315[[#This Row],[PARCS]],Tableau17[],10,FALSE)</f>
        <v>-51150.574999999997</v>
      </c>
      <c r="X35" s="252">
        <f>VLOOKUP(Tableau1315[[#This Row],[PARCS]],Tableau17[],18,FALSE)</f>
        <v>-12510</v>
      </c>
      <c r="Y35" s="252">
        <f>VLOOKUP(Tableau1315[[#This Row],[PARCS]],Tableau17[],19,FALSE)</f>
        <v>0</v>
      </c>
      <c r="Z35" s="252">
        <f>VLOOKUP(Tableau1315[[#This Row],[PARCS]],Tableau17[],28,FALSE)</f>
        <v>-2100</v>
      </c>
      <c r="AA35" s="252">
        <f>VLOOKUP(Tableau1315[[#This Row],[PARCS]],Tableau17[],36,FALSE)</f>
        <v>0</v>
      </c>
      <c r="AB35" s="252">
        <f>VLOOKUP(Tableau1315[[#This Row],[PARCS]],Tableau17[],37,FALSE)</f>
        <v>0</v>
      </c>
      <c r="AC35" s="468">
        <f>SUM(Tableau1315[[#This Row],[CONTRAT O&amp;M FORFAIT GROUPE22]:[CHARGES exceptionnels (BONUS, sinistres)77]])</f>
        <v>-65760.574999999997</v>
      </c>
      <c r="AD35" s="252">
        <f>Tableau1315[[#This Row],[TOTAL LE3]]-Tableau1315[[#This Row],[TOTAL BN-1]]</f>
        <v>-33573</v>
      </c>
      <c r="AE35" s="351">
        <f>IFERROR((Tableau1315[[#This Row],[TOTAL LE3]]-Tableau1315[[#This Row],[TOTAL BN-1]])/Tableau1315[[#This Row],[TOTAL BN-1]],"")</f>
        <v>0.55954999999999999</v>
      </c>
      <c r="AF35" s="252">
        <f>Tableau1315[[#This Row],[TOTAL BN+1]]-Tableau1315[[#This Row],[TOTAL LE3]]</f>
        <v>27812.425000000003</v>
      </c>
      <c r="AG35" s="351">
        <f>IFERROR((Tableau1315[[#This Row],[TOTAL BN+1]]-Tableau1315[[#This Row],[TOTAL LE3]])/Tableau1315[[#This Row],[TOTAL LE3]],"")</f>
        <v>-0.29722703130176442</v>
      </c>
    </row>
    <row r="36" spans="1:34" hidden="1">
      <c r="A36" s="463" t="s">
        <v>403</v>
      </c>
      <c r="B36" s="464" t="str">
        <f>VLOOKUP(Tableau1315[[#This Row],[PARCS]],Tableau106[],3,FALSE)</f>
        <v>A258</v>
      </c>
      <c r="C36" s="464" t="str">
        <f>VLOOKUP(Tableau1315[[#This Row],[PARCS]],Tableau106[],2,FALSE)</f>
        <v>FR01S04E</v>
      </c>
      <c r="D36" s="465" t="str">
        <f>VLOOKUP(Tableau1315[[#This Row],[PARCS]],Tableau106[],8,FALSE)</f>
        <v>SOLAIRE</v>
      </c>
      <c r="E36" s="465" t="str">
        <f>VLOOKUP(A36,Tableau106[[#Headers],[#Data]],6,FALSE)</f>
        <v>S</v>
      </c>
      <c r="F36" s="466" t="str">
        <f>VLOOKUP(Tableau1315[[#This Row],[PARCS]],Tableau106[],5,FALSE)</f>
        <v>NIEV</v>
      </c>
      <c r="G36" s="464" t="str">
        <f>VLOOKUP(Tableau1315[[#This Row],[PARCS]],Tableau106[],7,FALSE)</f>
        <v>GROUPE</v>
      </c>
      <c r="H36" s="464" t="str">
        <f>VLOOKUP(Tableau1315[[#This Row],[PARCS]],Tableau106[],9,FALSE)</f>
        <v>ZaA</v>
      </c>
      <c r="I36" s="350">
        <f>IFERROR(VLOOKUP(Tableau1315[[#This Row],[PARCS]],Tableau15[],10,FALSE),"")</f>
        <v>-47300</v>
      </c>
      <c r="J36" s="20">
        <f>IFERROR(VLOOKUP(Tableau1315[[#This Row],[PARCS]],Tableau15[],18,FALSE),"")</f>
        <v>-26700</v>
      </c>
      <c r="K36" s="252">
        <f>IFERROR(VLOOKUP(Tableau1315[[#This Row],[PARCS]],Tableau15[],19,FALSE),"")</f>
        <v>0</v>
      </c>
      <c r="L36" s="20">
        <f>IFERROR(VLOOKUP(Tableau1315[[#This Row],[PARCS]],Tableau15[],28,FALSE),"")</f>
        <v>-6700</v>
      </c>
      <c r="M36" s="252">
        <f>IFERROR(VLOOKUP(Tableau1315[[#This Row],[PARCS]],Tableau15[],36,FALSE),"")</f>
        <v>0</v>
      </c>
      <c r="N36" s="252">
        <f>IFERROR(VLOOKUP(Tableau1315[[#This Row],[PARCS]],Tableau15[],37,FALSE),"")</f>
        <v>0</v>
      </c>
      <c r="O36" s="467">
        <f>SUM(Tableau1315[[#This Row],[CONTRAT O&amp;M FORFAIT GROUPE]:[CHARGES exceptionnels (BONUS, sinistres)]])</f>
        <v>-80700</v>
      </c>
      <c r="P36" s="354">
        <f>VLOOKUP(Tableau1315[[#This Row],[PARCS]],Tableau16[],10,FALSE)</f>
        <v>-82368</v>
      </c>
      <c r="Q36" s="252">
        <f>VLOOKUP(Tableau1315[[#This Row],[PARCS]],Tableau16[],18,FALSE)</f>
        <v>-29531.800000000003</v>
      </c>
      <c r="R36" s="252">
        <f>VLOOKUP(Tableau1315[[#This Row],[PARCS]],Tableau16[],19,FALSE)</f>
        <v>0</v>
      </c>
      <c r="S36" s="252">
        <f>VLOOKUP(Tableau1315[[#This Row],[PARCS]],Tableau16[],28,FALSE)</f>
        <v>-4020</v>
      </c>
      <c r="T36" s="252">
        <f>VLOOKUP(Tableau1315[[#This Row],[PARCS]],Tableau16[],36,FALSE)</f>
        <v>-6192.5</v>
      </c>
      <c r="U36" s="252">
        <f>VLOOKUP(Tableau1315[[#This Row],[PARCS]],Tableau16[],37,FALSE)</f>
        <v>0</v>
      </c>
      <c r="V36" s="467">
        <f>SUM(Tableau1315[[#This Row],[CONTRAT O&amp;M FORFAIT GROUPE2]:[CHARGES exceptionnels (BONUS, sinistres)7]])</f>
        <v>-122112.3</v>
      </c>
      <c r="W36" s="354">
        <f>VLOOKUP(Tableau1315[[#This Row],[PARCS]],Tableau17[],10,FALSE)</f>
        <v>-84427.199999999997</v>
      </c>
      <c r="X36" s="252">
        <f>VLOOKUP(Tableau1315[[#This Row],[PARCS]],Tableau17[],18,FALSE)</f>
        <v>-9340</v>
      </c>
      <c r="Y36" s="252">
        <f>VLOOKUP(Tableau1315[[#This Row],[PARCS]],Tableau17[],19,FALSE)</f>
        <v>0</v>
      </c>
      <c r="Z36" s="252">
        <f>VLOOKUP(Tableau1315[[#This Row],[PARCS]],Tableau17[],28,FALSE)</f>
        <v>-3350</v>
      </c>
      <c r="AA36" s="252">
        <f>VLOOKUP(Tableau1315[[#This Row],[PARCS]],Tableau17[],36,FALSE)</f>
        <v>-13200</v>
      </c>
      <c r="AB36" s="252">
        <f>VLOOKUP(Tableau1315[[#This Row],[PARCS]],Tableau17[],37,FALSE)</f>
        <v>0</v>
      </c>
      <c r="AC36" s="468">
        <f>SUM(Tableau1315[[#This Row],[CONTRAT O&amp;M FORFAIT GROUPE22]:[CHARGES exceptionnels (BONUS, sinistres)77]])</f>
        <v>-110317.2</v>
      </c>
      <c r="AD36" s="252">
        <f>Tableau1315[[#This Row],[TOTAL LE3]]-Tableau1315[[#This Row],[TOTAL BN-1]]</f>
        <v>-41412.300000000003</v>
      </c>
      <c r="AE36" s="351">
        <f>IFERROR((Tableau1315[[#This Row],[TOTAL LE3]]-Tableau1315[[#This Row],[TOTAL BN-1]])/Tableau1315[[#This Row],[TOTAL BN-1]],"")</f>
        <v>0.51316356877323421</v>
      </c>
      <c r="AF36" s="252">
        <f>Tableau1315[[#This Row],[TOTAL BN+1]]-Tableau1315[[#This Row],[TOTAL LE3]]</f>
        <v>11795.100000000006</v>
      </c>
      <c r="AG36" s="351">
        <f>IFERROR((Tableau1315[[#This Row],[TOTAL BN+1]]-Tableau1315[[#This Row],[TOTAL LE3]])/Tableau1315[[#This Row],[TOTAL LE3]],"")</f>
        <v>-9.6592235180239877E-2</v>
      </c>
    </row>
    <row r="37" spans="1:34" hidden="1">
      <c r="A37" s="463" t="s">
        <v>538</v>
      </c>
      <c r="B37" s="464" t="str">
        <f>VLOOKUP(Tableau1315[[#This Row],[PARCS]],Tableau106[],3,FALSE)</f>
        <v>A992</v>
      </c>
      <c r="C37" s="464" t="str">
        <f>VLOOKUP(Tableau1315[[#This Row],[PARCS]],Tableau106[],2,FALSE)</f>
        <v>FR89E03E</v>
      </c>
      <c r="D37" s="465" t="str">
        <f>VLOOKUP(Tableau1315[[#This Row],[PARCS]],Tableau106[],8,FALSE)</f>
        <v>EOLIEN</v>
      </c>
      <c r="E37" s="465" t="str">
        <f>VLOOKUP(A37,Tableau106[[#Headers],[#Data]],6,FALSE)</f>
        <v>N</v>
      </c>
      <c r="F37" s="466" t="str">
        <f>VLOOKUP(Tableau1315[[#This Row],[PARCS]],Tableau106[],5,FALSE)</f>
        <v>GOUR</v>
      </c>
      <c r="G37" s="464" t="str">
        <f>VLOOKUP(Tableau1315[[#This Row],[PARCS]],Tableau106[],7,FALSE)</f>
        <v>GROUPE</v>
      </c>
      <c r="H37" s="464" t="str">
        <f>VLOOKUP(Tableau1315[[#This Row],[PARCS]],Tableau106[],9,FALSE)</f>
        <v>LoH</v>
      </c>
      <c r="I37" s="350">
        <f>IFERROR(VLOOKUP(Tableau1315[[#This Row],[PARCS]],Tableau15[],10,FALSE),"")</f>
        <v>-10708.233070866139</v>
      </c>
      <c r="J37" s="20">
        <f>IFERROR(VLOOKUP(Tableau1315[[#This Row],[PARCS]],Tableau15[],18,FALSE),"")</f>
        <v>-30780</v>
      </c>
      <c r="K37" s="252">
        <f>IFERROR(VLOOKUP(Tableau1315[[#This Row],[PARCS]],Tableau15[],19,FALSE),"")</f>
        <v>-315433.85060000001</v>
      </c>
      <c r="L37" s="20">
        <f>IFERROR(VLOOKUP(Tableau1315[[#This Row],[PARCS]],Tableau15[],28,FALSE),"")</f>
        <v>-15050</v>
      </c>
      <c r="M37" s="252">
        <f>IFERROR(VLOOKUP(Tableau1315[[#This Row],[PARCS]],Tableau15[],36,FALSE),"")</f>
        <v>-40580</v>
      </c>
      <c r="N37" s="252">
        <f>IFERROR(VLOOKUP(Tableau1315[[#This Row],[PARCS]],Tableau15[],37,FALSE),"")</f>
        <v>0</v>
      </c>
      <c r="O37" s="467">
        <f>SUM(Tableau1315[[#This Row],[CONTRAT O&amp;M FORFAIT GROUPE]:[CHARGES exceptionnels (BONUS, sinistres)]])</f>
        <v>-412552.08367086615</v>
      </c>
      <c r="P37" s="354">
        <f>VLOOKUP(Tableau1315[[#This Row],[PARCS]],Tableau16[],10,FALSE)</f>
        <v>-20775</v>
      </c>
      <c r="Q37" s="350">
        <f>VLOOKUP(Tableau1315[[#This Row],[PARCS]],Tableau16[],18,FALSE)</f>
        <v>-17023.000000000004</v>
      </c>
      <c r="R37" s="350">
        <f>VLOOKUP(Tableau1315[[#This Row],[PARCS]],Tableau16[],19,FALSE)</f>
        <v>-310000</v>
      </c>
      <c r="S37" s="20">
        <f>VLOOKUP(Tableau1315[[#This Row],[PARCS]],Tableau16[],28,FALSE)</f>
        <v>-35425</v>
      </c>
      <c r="T37" s="20">
        <f>VLOOKUP(Tableau1315[[#This Row],[PARCS]],Tableau16[],36,FALSE)</f>
        <v>-46832</v>
      </c>
      <c r="U37" s="20">
        <f>VLOOKUP(Tableau1315[[#This Row],[PARCS]],Tableau16[],37,FALSE)</f>
        <v>-1000</v>
      </c>
      <c r="V37" s="467">
        <f>SUM(Tableau1315[[#This Row],[CONTRAT O&amp;M FORFAIT GROUPE2]:[CHARGES exceptionnels (BONUS, sinistres)7]])</f>
        <v>-431055</v>
      </c>
      <c r="W37" s="354">
        <f>VLOOKUP(Tableau1315[[#This Row],[PARCS]],Tableau17[],10,FALSE)</f>
        <v>-21294.374999999996</v>
      </c>
      <c r="X37" s="350">
        <f>VLOOKUP(Tableau1315[[#This Row],[PARCS]],Tableau17[],18,FALSE)</f>
        <v>-17043.000000000004</v>
      </c>
      <c r="Y37" s="350">
        <f>VLOOKUP(Tableau1315[[#This Row],[PARCS]],Tableau17[],19,FALSE)</f>
        <v>-317750</v>
      </c>
      <c r="Z37" s="350">
        <f>VLOOKUP(Tableau1315[[#This Row],[PARCS]],Tableau17[],28,FALSE)</f>
        <v>-9075</v>
      </c>
      <c r="AA37" s="350">
        <f>VLOOKUP(Tableau1315[[#This Row],[PARCS]],Tableau17[],36,FALSE)</f>
        <v>-102547.1</v>
      </c>
      <c r="AB37" s="252">
        <f>VLOOKUP(Tableau1315[[#This Row],[PARCS]],Tableau17[],37,FALSE)</f>
        <v>0</v>
      </c>
      <c r="AC37" s="468">
        <f>SUM(Tableau1315[[#This Row],[CONTRAT O&amp;M FORFAIT GROUPE22]:[CHARGES exceptionnels (BONUS, sinistres)77]])</f>
        <v>-467709.47499999998</v>
      </c>
      <c r="AD37" s="252">
        <f>Tableau1315[[#This Row],[TOTAL LE3]]-Tableau1315[[#This Row],[TOTAL BN-1]]</f>
        <v>-18502.916329133848</v>
      </c>
      <c r="AE37" s="351">
        <f>IFERROR((Tableau1315[[#This Row],[TOTAL LE3]]-Tableau1315[[#This Row],[TOTAL BN-1]])/Tableau1315[[#This Row],[TOTAL BN-1]],"")</f>
        <v>4.4849891835464506E-2</v>
      </c>
      <c r="AF37" s="252">
        <f>Tableau1315[[#This Row],[TOTAL BN+1]]-Tableau1315[[#This Row],[TOTAL LE3]]</f>
        <v>-36654.474999999977</v>
      </c>
      <c r="AG37" s="351">
        <f>IFERROR((Tableau1315[[#This Row],[TOTAL BN+1]]-Tableau1315[[#This Row],[TOTAL LE3]])/Tableau1315[[#This Row],[TOTAL LE3]],"")</f>
        <v>8.5034334365684139E-2</v>
      </c>
    </row>
    <row r="38" spans="1:34" hidden="1">
      <c r="A38" s="463" t="s">
        <v>524</v>
      </c>
      <c r="B38" s="464" t="str">
        <f>VLOOKUP(Tableau1315[[#This Row],[PARCS]],Tableau106[],3,FALSE)</f>
        <v>A419</v>
      </c>
      <c r="C38" s="464" t="str">
        <f>VLOOKUP(Tableau1315[[#This Row],[PARCS]],Tableau106[],2,FALSE)</f>
        <v>FR02E02E</v>
      </c>
      <c r="D38" s="465" t="str">
        <f>VLOOKUP(Tableau1315[[#This Row],[PARCS]],Tableau106[],8,FALSE)</f>
        <v>EOLIEN</v>
      </c>
      <c r="E38" s="465" t="str">
        <f>VLOOKUP(A38,Tableau106[[#Headers],[#Data]],6,FALSE)</f>
        <v>N</v>
      </c>
      <c r="F38" s="466" t="str">
        <f>VLOOKUP(Tableau1315[[#This Row],[PARCS]],Tableau106[],5,FALSE)</f>
        <v>CHPI</v>
      </c>
      <c r="G38" s="464" t="str">
        <f>VLOOKUP(Tableau1315[[#This Row],[PARCS]],Tableau106[],7,FALSE)</f>
        <v>GROUPE</v>
      </c>
      <c r="H38" s="464" t="str">
        <f>VLOOKUP(Tableau1315[[#This Row],[PARCS]],Tableau106[],9,FALSE)</f>
        <v>MéS</v>
      </c>
      <c r="I38" s="350">
        <f>IFERROR(VLOOKUP(Tableau1315[[#This Row],[PARCS]],Tableau15[],10,FALSE),"")</f>
        <v>-1536011.4480049179</v>
      </c>
      <c r="J38" s="20">
        <f>IFERROR(VLOOKUP(Tableau1315[[#This Row],[PARCS]],Tableau15[],18,FALSE),"")</f>
        <v>-100200</v>
      </c>
      <c r="K38" s="252">
        <f>IFERROR(VLOOKUP(Tableau1315[[#This Row],[PARCS]],Tableau15[],19,FALSE),"")</f>
        <v>0</v>
      </c>
      <c r="L38" s="20">
        <f>IFERROR(VLOOKUP(Tableau1315[[#This Row],[PARCS]],Tableau15[],28,FALSE),"")</f>
        <v>-68900</v>
      </c>
      <c r="M38" s="252">
        <f>IFERROR(VLOOKUP(Tableau1315[[#This Row],[PARCS]],Tableau15[],36,FALSE),"")</f>
        <v>-10000</v>
      </c>
      <c r="N38" s="252">
        <f>IFERROR(VLOOKUP(Tableau1315[[#This Row],[PARCS]],Tableau15[],37,FALSE),"")</f>
        <v>0</v>
      </c>
      <c r="O38" s="467">
        <f>SUM(Tableau1315[[#This Row],[CONTRAT O&amp;M FORFAIT GROUPE]:[CHARGES exceptionnels (BONUS, sinistres)]])</f>
        <v>-1715111.4480049179</v>
      </c>
      <c r="P38" s="354">
        <f>VLOOKUP(Tableau1315[[#This Row],[PARCS]],Tableau16[],10,FALSE)</f>
        <v>-1544657</v>
      </c>
      <c r="Q38" s="350">
        <f>VLOOKUP(Tableau1315[[#This Row],[PARCS]],Tableau16[],18,FALSE)</f>
        <v>-189989.7</v>
      </c>
      <c r="R38" s="350">
        <f>VLOOKUP(Tableau1315[[#This Row],[PARCS]],Tableau16[],19,FALSE)</f>
        <v>0</v>
      </c>
      <c r="S38" s="20">
        <f>VLOOKUP(Tableau1315[[#This Row],[PARCS]],Tableau16[],28,FALSE)</f>
        <v>-48632</v>
      </c>
      <c r="T38" s="20">
        <f>VLOOKUP(Tableau1315[[#This Row],[PARCS]],Tableau16[],36,FALSE)</f>
        <v>-25500</v>
      </c>
      <c r="U38" s="20">
        <f>VLOOKUP(Tableau1315[[#This Row],[PARCS]],Tableau16[],37,FALSE)</f>
        <v>-203290</v>
      </c>
      <c r="V38" s="467">
        <f>SUM(Tableau1315[[#This Row],[CONTRAT O&amp;M FORFAIT GROUPE2]:[CHARGES exceptionnels (BONUS, sinistres)7]])</f>
        <v>-2012068.7</v>
      </c>
      <c r="W38" s="354">
        <f>VLOOKUP(Tableau1315[[#This Row],[PARCS]],Tableau17[],10,FALSE)</f>
        <v>-1583273.4249999998</v>
      </c>
      <c r="X38" s="350">
        <f>VLOOKUP(Tableau1315[[#This Row],[PARCS]],Tableau17[],18,FALSE)</f>
        <v>-101870</v>
      </c>
      <c r="Y38" s="350">
        <f>VLOOKUP(Tableau1315[[#This Row],[PARCS]],Tableau17[],19,FALSE)</f>
        <v>0</v>
      </c>
      <c r="Z38" s="350">
        <f>VLOOKUP(Tableau1315[[#This Row],[PARCS]],Tableau17[],28,FALSE)</f>
        <v>-68327</v>
      </c>
      <c r="AA38" s="350">
        <f>VLOOKUP(Tableau1315[[#This Row],[PARCS]],Tableau17[],36,FALSE)</f>
        <v>-5047.0999999999995</v>
      </c>
      <c r="AB38" s="252">
        <f>VLOOKUP(Tableau1315[[#This Row],[PARCS]],Tableau17[],37,FALSE)</f>
        <v>0</v>
      </c>
      <c r="AC38" s="468">
        <f>SUM(Tableau1315[[#This Row],[CONTRAT O&amp;M FORFAIT GROUPE22]:[CHARGES exceptionnels (BONUS, sinistres)77]])</f>
        <v>-1758517.5249999999</v>
      </c>
      <c r="AD38" s="252">
        <f>Tableau1315[[#This Row],[TOTAL LE3]]-Tableau1315[[#This Row],[TOTAL BN-1]]</f>
        <v>-296957.25199508201</v>
      </c>
      <c r="AE38" s="351">
        <f>IFERROR((Tableau1315[[#This Row],[TOTAL LE3]]-Tableau1315[[#This Row],[TOTAL BN-1]])/Tableau1315[[#This Row],[TOTAL BN-1]],"")</f>
        <v>0.17314166513232351</v>
      </c>
      <c r="AF38" s="252">
        <f>Tableau1315[[#This Row],[TOTAL BN+1]]-Tableau1315[[#This Row],[TOTAL LE3]]</f>
        <v>253551.17500000005</v>
      </c>
      <c r="AG38" s="351">
        <f>IFERROR((Tableau1315[[#This Row],[TOTAL BN+1]]-Tableau1315[[#This Row],[TOTAL LE3]])/Tableau1315[[#This Row],[TOTAL LE3]],"")</f>
        <v>-0.12601516787175313</v>
      </c>
      <c r="AH38" s="6" t="s">
        <v>727</v>
      </c>
    </row>
    <row r="39" spans="1:34">
      <c r="A39" s="463" t="s">
        <v>92</v>
      </c>
      <c r="B39" s="464" t="str">
        <f>VLOOKUP(Tableau1315[[#This Row],[PARCS]],Tableau106[],3,FALSE)</f>
        <v>F212</v>
      </c>
      <c r="C39" s="464" t="str">
        <f>VLOOKUP(Tableau1315[[#This Row],[PARCS]],Tableau106[],2,FALSE)</f>
        <v>FR10E01E</v>
      </c>
      <c r="D39" s="465" t="str">
        <f>VLOOKUP(Tableau1315[[#This Row],[PARCS]],Tableau106[],8,FALSE)</f>
        <v>EOLIEN</v>
      </c>
      <c r="E39" s="465" t="str">
        <f>VLOOKUP(A39,Tableau106[[#Headers],[#Data]],6,FALSE)</f>
        <v>N</v>
      </c>
      <c r="F39" s="466" t="str">
        <f>VLOOKUP(Tableau1315[[#This Row],[PARCS]],Tableau106[],5,FALSE)</f>
        <v>CPE1, CPE2</v>
      </c>
      <c r="G39" s="464" t="str">
        <f>VLOOKUP(Tableau1315[[#This Row],[PARCS]],Tableau106[],7,FALSE)</f>
        <v>FUTUREN</v>
      </c>
      <c r="H39" s="464" t="str">
        <f>VLOOKUP(Tableau1315[[#This Row],[PARCS]],Tableau106[],9,FALSE)</f>
        <v>AlY</v>
      </c>
      <c r="I39" s="350">
        <f>IFERROR(VLOOKUP(Tableau1315[[#This Row],[PARCS]],Tableau15[],10,FALSE),"")</f>
        <v>-18386.52</v>
      </c>
      <c r="J39" s="20">
        <f>IFERROR(VLOOKUP(Tableau1315[[#This Row],[PARCS]],Tableau15[],18,FALSE),"")</f>
        <v>-18000</v>
      </c>
      <c r="K39" s="252">
        <f>IFERROR(VLOOKUP(Tableau1315[[#This Row],[PARCS]],Tableau15[],19,FALSE),"")</f>
        <v>-469255.52529999998</v>
      </c>
      <c r="L39" s="20">
        <f>IFERROR(VLOOKUP(Tableau1315[[#This Row],[PARCS]],Tableau15[],28,FALSE),"")</f>
        <v>-16210</v>
      </c>
      <c r="M39" s="252">
        <f>IFERROR(VLOOKUP(Tableau1315[[#This Row],[PARCS]],Tableau15[],36,FALSE),"")</f>
        <v>-4039.2000000000003</v>
      </c>
      <c r="N39" s="252">
        <f>IFERROR(VLOOKUP(Tableau1315[[#This Row],[PARCS]],Tableau15[],37,FALSE),"")</f>
        <v>0</v>
      </c>
      <c r="O39" s="467">
        <f>SUM(Tableau1315[[#This Row],[CONTRAT O&amp;M FORFAIT GROUPE]:[CHARGES exceptionnels (BONUS, sinistres)]])</f>
        <v>-525891.24529999995</v>
      </c>
      <c r="P39" s="354">
        <f>VLOOKUP(Tableau1315[[#This Row],[PARCS]],Tableau16[],10,FALSE)</f>
        <v>-20988</v>
      </c>
      <c r="Q39" s="350">
        <f>VLOOKUP(Tableau1315[[#This Row],[PARCS]],Tableau16[],18,FALSE)</f>
        <v>-11160</v>
      </c>
      <c r="R39" s="350">
        <f>VLOOKUP(Tableau1315[[#This Row],[PARCS]],Tableau16[],19,FALSE)</f>
        <v>-551604</v>
      </c>
      <c r="S39" s="20">
        <f>VLOOKUP(Tableau1315[[#This Row],[PARCS]],Tableau16[],28,FALSE)</f>
        <v>-385521</v>
      </c>
      <c r="T39" s="20">
        <f>VLOOKUP(Tableau1315[[#This Row],[PARCS]],Tableau16[],36,FALSE)</f>
        <v>-46391.199999999997</v>
      </c>
      <c r="U39" s="20">
        <f>VLOOKUP(Tableau1315[[#This Row],[PARCS]],Tableau16[],37,FALSE)</f>
        <v>0</v>
      </c>
      <c r="V39" s="467">
        <f>SUM(Tableau1315[[#This Row],[CONTRAT O&amp;M FORFAIT GROUPE2]:[CHARGES exceptionnels (BONUS, sinistres)7]])</f>
        <v>-1015664.2</v>
      </c>
      <c r="W39" s="354">
        <f>VLOOKUP(Tableau1315[[#This Row],[PARCS]],Tableau17[],10,FALSE)</f>
        <v>-20988</v>
      </c>
      <c r="X39" s="350">
        <f>VLOOKUP(Tableau1315[[#This Row],[PARCS]],Tableau17[],18,FALSE)</f>
        <v>-15180</v>
      </c>
      <c r="Y39" s="350">
        <f>VLOOKUP(Tableau1315[[#This Row],[PARCS]],Tableau17[],19,FALSE)</f>
        <v>-565394.1</v>
      </c>
      <c r="Z39" s="350">
        <f>VLOOKUP(Tableau1315[[#This Row],[PARCS]],Tableau17[],28,FALSE)</f>
        <v>-11710</v>
      </c>
      <c r="AA39" s="350">
        <f>VLOOKUP(Tableau1315[[#This Row],[PARCS]],Tableau17[],36,FALSE)</f>
        <v>-15047.099999999999</v>
      </c>
      <c r="AB39" s="252">
        <f>VLOOKUP(Tableau1315[[#This Row],[PARCS]],Tableau17[],37,FALSE)</f>
        <v>0</v>
      </c>
      <c r="AC39" s="468">
        <f>SUM(Tableau1315[[#This Row],[CONTRAT O&amp;M FORFAIT GROUPE22]:[CHARGES exceptionnels (BONUS, sinistres)77]])</f>
        <v>-628319.19999999995</v>
      </c>
      <c r="AD39" s="252">
        <f>Tableau1315[[#This Row],[TOTAL LE3]]-Tableau1315[[#This Row],[TOTAL BN-1]]</f>
        <v>-489772.9547</v>
      </c>
      <c r="AE39" s="351">
        <f>IFERROR((Tableau1315[[#This Row],[TOTAL LE3]]-Tableau1315[[#This Row],[TOTAL BN-1]])/Tableau1315[[#This Row],[TOTAL BN-1]],"")</f>
        <v>0.93131984811917545</v>
      </c>
      <c r="AF39" s="252">
        <f>Tableau1315[[#This Row],[TOTAL BN+1]]-Tableau1315[[#This Row],[TOTAL LE3]]</f>
        <v>387345</v>
      </c>
      <c r="AG39" s="351">
        <f>IFERROR((Tableau1315[[#This Row],[TOTAL BN+1]]-Tableau1315[[#This Row],[TOTAL LE3]])/Tableau1315[[#This Row],[TOTAL LE3]],"")</f>
        <v>-0.3813711264018167</v>
      </c>
      <c r="AH39" s="6" t="s">
        <v>728</v>
      </c>
    </row>
    <row r="40" spans="1:34" hidden="1">
      <c r="A40" s="463" t="s">
        <v>603</v>
      </c>
      <c r="B40" s="464" t="str">
        <f>VLOOKUP(Tableau1315[[#This Row],[PARCS]],Tableau106[],3,FALSE)</f>
        <v>A295</v>
      </c>
      <c r="C40" s="464" t="str">
        <f>VLOOKUP(Tableau1315[[#This Row],[PARCS]],Tableau106[],2,FALSE)</f>
        <v>FR18S01E</v>
      </c>
      <c r="D40" s="465" t="str">
        <f>VLOOKUP(Tableau1315[[#This Row],[PARCS]],Tableau106[],8,FALSE)</f>
        <v>SOLAIRE</v>
      </c>
      <c r="E40" s="465" t="str">
        <f>VLOOKUP(A40,Tableau106[[#Headers],[#Data]],6,FALSE)</f>
        <v>N</v>
      </c>
      <c r="F40" s="466" t="str">
        <f>VLOOKUP(Tableau1315[[#This Row],[PARCS]],Tableau106[],5,FALSE)</f>
        <v>SAMM</v>
      </c>
      <c r="G40" s="464" t="str">
        <f>VLOOKUP(Tableau1315[[#This Row],[PARCS]],Tableau106[],7,FALSE)</f>
        <v>GROUPE</v>
      </c>
      <c r="H40" s="464" t="str">
        <f>VLOOKUP(Tableau1315[[#This Row],[PARCS]],Tableau106[],9,FALSE)</f>
        <v>ArB</v>
      </c>
      <c r="I40" s="350">
        <f>IFERROR(VLOOKUP(Tableau1315[[#This Row],[PARCS]],Tableau15[],10,FALSE),"")</f>
        <v>-25500</v>
      </c>
      <c r="J40" s="20">
        <f>IFERROR(VLOOKUP(Tableau1315[[#This Row],[PARCS]],Tableau15[],18,FALSE),"")</f>
        <v>-5000</v>
      </c>
      <c r="K40" s="252">
        <f>IFERROR(VLOOKUP(Tableau1315[[#This Row],[PARCS]],Tableau15[],19,FALSE),"")</f>
        <v>0</v>
      </c>
      <c r="L40" s="20">
        <f>IFERROR(VLOOKUP(Tableau1315[[#This Row],[PARCS]],Tableau15[],28,FALSE),"")</f>
        <v>-2500</v>
      </c>
      <c r="M40" s="252">
        <f>IFERROR(VLOOKUP(Tableau1315[[#This Row],[PARCS]],Tableau15[],36,FALSE),"")</f>
        <v>0</v>
      </c>
      <c r="N40" s="252">
        <f>IFERROR(VLOOKUP(Tableau1315[[#This Row],[PARCS]],Tableau15[],37,FALSE),"")</f>
        <v>0</v>
      </c>
      <c r="O40" s="467">
        <f>SUM(Tableau1315[[#This Row],[CONTRAT O&amp;M FORFAIT GROUPE]:[CHARGES exceptionnels (BONUS, sinistres)]])</f>
        <v>-33000</v>
      </c>
      <c r="P40" s="354">
        <f>VLOOKUP(Tableau1315[[#This Row],[PARCS]],Tableau16[],10,FALSE)</f>
        <v>0</v>
      </c>
      <c r="Q40" s="252">
        <f>VLOOKUP(Tableau1315[[#This Row],[PARCS]],Tableau16[],18,FALSE)</f>
        <v>-1250</v>
      </c>
      <c r="R40" s="252">
        <f>VLOOKUP(Tableau1315[[#This Row],[PARCS]],Tableau16[],19,FALSE)</f>
        <v>-39900</v>
      </c>
      <c r="S40" s="252">
        <f>VLOOKUP(Tableau1315[[#This Row],[PARCS]],Tableau16[],28,FALSE)</f>
        <v>-5350</v>
      </c>
      <c r="T40" s="252">
        <f>VLOOKUP(Tableau1315[[#This Row],[PARCS]],Tableau16[],36,FALSE)</f>
        <v>0</v>
      </c>
      <c r="U40" s="252">
        <f>VLOOKUP(Tableau1315[[#This Row],[PARCS]],Tableau16[],37,FALSE)</f>
        <v>0</v>
      </c>
      <c r="V40" s="467">
        <f>SUM(Tableau1315[[#This Row],[CONTRAT O&amp;M FORFAIT GROUPE2]:[CHARGES exceptionnels (BONUS, sinistres)7]])</f>
        <v>-46500</v>
      </c>
      <c r="W40" s="354">
        <f>VLOOKUP(Tableau1315[[#This Row],[PARCS]],Tableau17[],10,FALSE)</f>
        <v>0</v>
      </c>
      <c r="X40" s="252">
        <f>VLOOKUP(Tableau1315[[#This Row],[PARCS]],Tableau17[],18,FALSE)</f>
        <v>-900</v>
      </c>
      <c r="Y40" s="252">
        <f>VLOOKUP(Tableau1315[[#This Row],[PARCS]],Tableau17[],19,FALSE)</f>
        <v>-40897.5</v>
      </c>
      <c r="Z40" s="252">
        <f>VLOOKUP(Tableau1315[[#This Row],[PARCS]],Tableau17[],28,FALSE)</f>
        <v>-5356.57</v>
      </c>
      <c r="AA40" s="252">
        <f>VLOOKUP(Tableau1315[[#This Row],[PARCS]],Tableau17[],36,FALSE)</f>
        <v>0</v>
      </c>
      <c r="AB40" s="252">
        <f>VLOOKUP(Tableau1315[[#This Row],[PARCS]],Tableau17[],37,FALSE)</f>
        <v>0</v>
      </c>
      <c r="AC40" s="468">
        <f>SUM(Tableau1315[[#This Row],[CONTRAT O&amp;M FORFAIT GROUPE22]:[CHARGES exceptionnels (BONUS, sinistres)77]])</f>
        <v>-47154.07</v>
      </c>
      <c r="AD40" s="252">
        <f>Tableau1315[[#This Row],[TOTAL LE3]]-Tableau1315[[#This Row],[TOTAL BN-1]]</f>
        <v>-13500</v>
      </c>
      <c r="AE40" s="351">
        <f>IFERROR((Tableau1315[[#This Row],[TOTAL LE3]]-Tableau1315[[#This Row],[TOTAL BN-1]])/Tableau1315[[#This Row],[TOTAL BN-1]],"")</f>
        <v>0.40909090909090912</v>
      </c>
      <c r="AF40" s="252">
        <f>Tableau1315[[#This Row],[TOTAL BN+1]]-Tableau1315[[#This Row],[TOTAL LE3]]</f>
        <v>-654.06999999999971</v>
      </c>
      <c r="AG40" s="351">
        <f>IFERROR((Tableau1315[[#This Row],[TOTAL BN+1]]-Tableau1315[[#This Row],[TOTAL LE3]])/Tableau1315[[#This Row],[TOTAL LE3]],"")</f>
        <v>1.4066021505376338E-2</v>
      </c>
      <c r="AH40" s="6" t="s">
        <v>726</v>
      </c>
    </row>
    <row r="41" spans="1:34" hidden="1">
      <c r="A41" s="463" t="s">
        <v>570</v>
      </c>
      <c r="B41" s="464" t="str">
        <f>VLOOKUP(Tableau1315[[#This Row],[PARCS]],Tableau106[],3,FALSE)</f>
        <v>A532</v>
      </c>
      <c r="C41" s="464" t="str">
        <f>VLOOKUP(Tableau1315[[#This Row],[PARCS]],Tableau106[],2,FALSE)</f>
        <v>FR51E03E</v>
      </c>
      <c r="D41" s="465" t="str">
        <f>VLOOKUP(Tableau1315[[#This Row],[PARCS]],Tableau106[],8,FALSE)</f>
        <v>EOLIEN</v>
      </c>
      <c r="E41" s="465" t="str">
        <f>VLOOKUP(A41,Tableau106[[#Headers],[#Data]],6,FALSE)</f>
        <v>N</v>
      </c>
      <c r="F41" s="466" t="str">
        <f>VLOOKUP(Tableau1315[[#This Row],[PARCS]],Tableau106[],5,FALSE)</f>
        <v>CLAM</v>
      </c>
      <c r="G41" s="464" t="str">
        <f>VLOOKUP(Tableau1315[[#This Row],[PARCS]],Tableau106[],7,FALSE)</f>
        <v>GROUPE</v>
      </c>
      <c r="H41" s="464" t="str">
        <f>VLOOKUP(Tableau1315[[#This Row],[PARCS]],Tableau106[],9,FALSE)</f>
        <v>AyB</v>
      </c>
      <c r="I41" s="350">
        <f>IFERROR(VLOOKUP(Tableau1315[[#This Row],[PARCS]],Tableau15[],10,FALSE),"")</f>
        <v>-12626.246851385387</v>
      </c>
      <c r="J41" s="20">
        <f>IFERROR(VLOOKUP(Tableau1315[[#This Row],[PARCS]],Tableau15[],18,FALSE),"")</f>
        <v>-10020</v>
      </c>
      <c r="K41" s="252">
        <f>IFERROR(VLOOKUP(Tableau1315[[#This Row],[PARCS]],Tableau15[],19,FALSE),"")</f>
        <v>-338017.34480000002</v>
      </c>
      <c r="L41" s="20">
        <f>IFERROR(VLOOKUP(Tableau1315[[#This Row],[PARCS]],Tableau15[],28,FALSE),"")</f>
        <v>-5410</v>
      </c>
      <c r="M41" s="252">
        <f>IFERROR(VLOOKUP(Tableau1315[[#This Row],[PARCS]],Tableau15[],36,FALSE),"")</f>
        <v>-38000</v>
      </c>
      <c r="N41" s="252">
        <f>IFERROR(VLOOKUP(Tableau1315[[#This Row],[PARCS]],Tableau15[],37,FALSE),"")</f>
        <v>0</v>
      </c>
      <c r="O41" s="467">
        <f>SUM(Tableau1315[[#This Row],[CONTRAT O&amp;M FORFAIT GROUPE]:[CHARGES exceptionnels (BONUS, sinistres)]])</f>
        <v>-404073.59165138542</v>
      </c>
      <c r="P41" s="354">
        <f>VLOOKUP(Tableau1315[[#This Row],[PARCS]],Tableau16[],10,FALSE)</f>
        <v>-10720</v>
      </c>
      <c r="Q41" s="350">
        <f>VLOOKUP(Tableau1315[[#This Row],[PARCS]],Tableau16[],18,FALSE)</f>
        <v>-4709.3999999999996</v>
      </c>
      <c r="R41" s="350">
        <f>VLOOKUP(Tableau1315[[#This Row],[PARCS]],Tableau16[],19,FALSE)</f>
        <v>-379707</v>
      </c>
      <c r="S41" s="20">
        <f>VLOOKUP(Tableau1315[[#This Row],[PARCS]],Tableau16[],28,FALSE)</f>
        <v>-5410</v>
      </c>
      <c r="T41" s="20">
        <f>VLOOKUP(Tableau1315[[#This Row],[PARCS]],Tableau16[],36,FALSE)</f>
        <v>0</v>
      </c>
      <c r="U41" s="20">
        <f>VLOOKUP(Tableau1315[[#This Row],[PARCS]],Tableau16[],37,FALSE)</f>
        <v>0</v>
      </c>
      <c r="V41" s="467">
        <f>SUM(Tableau1315[[#This Row],[CONTRAT O&amp;M FORFAIT GROUPE2]:[CHARGES exceptionnels (BONUS, sinistres)7]])</f>
        <v>-400546.4</v>
      </c>
      <c r="W41" s="354">
        <f>VLOOKUP(Tableau1315[[#This Row],[PARCS]],Tableau17[],10,FALSE)</f>
        <v>-10987.999999999998</v>
      </c>
      <c r="X41" s="350">
        <f>VLOOKUP(Tableau1315[[#This Row],[PARCS]],Tableau17[],18,FALSE)</f>
        <v>-6913.8</v>
      </c>
      <c r="Y41" s="350">
        <f>VLOOKUP(Tableau1315[[#This Row],[PARCS]],Tableau17[],19,FALSE)</f>
        <v>-389199.67499999999</v>
      </c>
      <c r="Z41" s="350">
        <f>VLOOKUP(Tableau1315[[#This Row],[PARCS]],Tableau17[],28,FALSE)</f>
        <v>-2905</v>
      </c>
      <c r="AA41" s="350">
        <f>VLOOKUP(Tableau1315[[#This Row],[PARCS]],Tableau17[],36,FALSE)</f>
        <v>-25047.1</v>
      </c>
      <c r="AB41" s="252">
        <f>VLOOKUP(Tableau1315[[#This Row],[PARCS]],Tableau17[],37,FALSE)</f>
        <v>0</v>
      </c>
      <c r="AC41" s="468">
        <f>SUM(Tableau1315[[#This Row],[CONTRAT O&amp;M FORFAIT GROUPE22]:[CHARGES exceptionnels (BONUS, sinistres)77]])</f>
        <v>-435053.57499999995</v>
      </c>
      <c r="AD41" s="252">
        <f>Tableau1315[[#This Row],[TOTAL LE3]]-Tableau1315[[#This Row],[TOTAL BN-1]]</f>
        <v>3527.1916513853939</v>
      </c>
      <c r="AE41" s="351">
        <f>IFERROR((Tableau1315[[#This Row],[TOTAL LE3]]-Tableau1315[[#This Row],[TOTAL BN-1]])/Tableau1315[[#This Row],[TOTAL BN-1]],"")</f>
        <v>-8.729082336141579E-3</v>
      </c>
      <c r="AF41" s="252">
        <f>Tableau1315[[#This Row],[TOTAL BN+1]]-Tableau1315[[#This Row],[TOTAL LE3]]</f>
        <v>-34507.17499999993</v>
      </c>
      <c r="AG41" s="351">
        <f>IFERROR((Tableau1315[[#This Row],[TOTAL BN+1]]-Tableau1315[[#This Row],[TOTAL LE3]])/Tableau1315[[#This Row],[TOTAL LE3]],"")</f>
        <v>8.6150256249962379E-2</v>
      </c>
    </row>
    <row r="42" spans="1:34" hidden="1">
      <c r="A42" s="463" t="s">
        <v>567</v>
      </c>
      <c r="B42" s="464" t="str">
        <f>VLOOKUP(Tableau1315[[#This Row],[PARCS]],Tableau106[],3,FALSE)</f>
        <v>A532</v>
      </c>
      <c r="C42" s="464" t="str">
        <f>VLOOKUP(Tableau1315[[#This Row],[PARCS]],Tableau106[],2,FALSE)</f>
        <v>FR51E04E</v>
      </c>
      <c r="D42" s="465" t="str">
        <f>VLOOKUP(Tableau1315[[#This Row],[PARCS]],Tableau106[],8,FALSE)</f>
        <v>EOLIEN</v>
      </c>
      <c r="E42" s="465" t="str">
        <f>VLOOKUP(A42,Tableau106[[#Headers],[#Data]],6,FALSE)</f>
        <v>N</v>
      </c>
      <c r="F42" s="466" t="str">
        <f>VLOOKUP(Tableau1315[[#This Row],[PARCS]],Tableau106[],5,FALSE)</f>
        <v>CLA2</v>
      </c>
      <c r="G42" s="464" t="str">
        <f>VLOOKUP(Tableau1315[[#This Row],[PARCS]],Tableau106[],7,FALSE)</f>
        <v>GROUPE</v>
      </c>
      <c r="H42" s="464" t="str">
        <f>VLOOKUP(Tableau1315[[#This Row],[PARCS]],Tableau106[],9,FALSE)</f>
        <v>AyB</v>
      </c>
      <c r="I42" s="350">
        <f>IFERROR(VLOOKUP(Tableau1315[[#This Row],[PARCS]],Tableau15[],10,FALSE),"")</f>
        <v>-23605.591939546593</v>
      </c>
      <c r="J42" s="20">
        <f>IFERROR(VLOOKUP(Tableau1315[[#This Row],[PARCS]],Tableau15[],18,FALSE),"")</f>
        <v>-5400</v>
      </c>
      <c r="K42" s="252">
        <f>IFERROR(VLOOKUP(Tableau1315[[#This Row],[PARCS]],Tableau15[],19,FALSE),"")</f>
        <v>-105443.24256499999</v>
      </c>
      <c r="L42" s="20">
        <f>IFERROR(VLOOKUP(Tableau1315[[#This Row],[PARCS]],Tableau15[],28,FALSE),"")</f>
        <v>-3100</v>
      </c>
      <c r="M42" s="252">
        <f>IFERROR(VLOOKUP(Tableau1315[[#This Row],[PARCS]],Tableau15[],36,FALSE),"")</f>
        <v>-12000</v>
      </c>
      <c r="N42" s="252">
        <f>IFERROR(VLOOKUP(Tableau1315[[#This Row],[PARCS]],Tableau15[],37,FALSE),"")</f>
        <v>0</v>
      </c>
      <c r="O42" s="467">
        <f>SUM(Tableau1315[[#This Row],[CONTRAT O&amp;M FORFAIT GROUPE]:[CHARGES exceptionnels (BONUS, sinistres)]])</f>
        <v>-149548.8345045466</v>
      </c>
      <c r="P42" s="354">
        <f>VLOOKUP(Tableau1315[[#This Row],[PARCS]],Tableau16[],10,FALSE)</f>
        <v>-12897</v>
      </c>
      <c r="Q42" s="350">
        <f>VLOOKUP(Tableau1315[[#This Row],[PARCS]],Tableau16[],18,FALSE)</f>
        <v>-3890</v>
      </c>
      <c r="R42" s="350">
        <f>VLOOKUP(Tableau1315[[#This Row],[PARCS]],Tableau16[],19,FALSE)</f>
        <v>-109799</v>
      </c>
      <c r="S42" s="20">
        <f>VLOOKUP(Tableau1315[[#This Row],[PARCS]],Tableau16[],28,FALSE)</f>
        <v>-5100</v>
      </c>
      <c r="T42" s="20">
        <f>VLOOKUP(Tableau1315[[#This Row],[PARCS]],Tableau16[],36,FALSE)</f>
        <v>0</v>
      </c>
      <c r="U42" s="20">
        <f>VLOOKUP(Tableau1315[[#This Row],[PARCS]],Tableau16[],37,FALSE)</f>
        <v>-7500</v>
      </c>
      <c r="V42" s="467">
        <f>SUM(Tableau1315[[#This Row],[CONTRAT O&amp;M FORFAIT GROUPE2]:[CHARGES exceptionnels (BONUS, sinistres)7]])</f>
        <v>-139186</v>
      </c>
      <c r="W42" s="354">
        <f>VLOOKUP(Tableau1315[[#This Row],[PARCS]],Tableau17[],10,FALSE)</f>
        <v>-13219.424999999999</v>
      </c>
      <c r="X42" s="350">
        <f>VLOOKUP(Tableau1315[[#This Row],[PARCS]],Tableau17[],18,FALSE)</f>
        <v>-3910</v>
      </c>
      <c r="Y42" s="350">
        <f>VLOOKUP(Tableau1315[[#This Row],[PARCS]],Tableau17[],19,FALSE)</f>
        <v>-112543.97499999999</v>
      </c>
      <c r="Z42" s="350">
        <f>VLOOKUP(Tableau1315[[#This Row],[PARCS]],Tableau17[],28,FALSE)</f>
        <v>-2100</v>
      </c>
      <c r="AA42" s="350">
        <f>VLOOKUP(Tableau1315[[#This Row],[PARCS]],Tableau17[],36,FALSE)</f>
        <v>-25047.1</v>
      </c>
      <c r="AB42" s="252">
        <f>VLOOKUP(Tableau1315[[#This Row],[PARCS]],Tableau17[],37,FALSE)</f>
        <v>0</v>
      </c>
      <c r="AC42" s="468">
        <f>SUM(Tableau1315[[#This Row],[CONTRAT O&amp;M FORFAIT GROUPE22]:[CHARGES exceptionnels (BONUS, sinistres)77]])</f>
        <v>-156820.5</v>
      </c>
      <c r="AD42" s="252">
        <f>Tableau1315[[#This Row],[TOTAL LE3]]-Tableau1315[[#This Row],[TOTAL BN-1]]</f>
        <v>10362.834504546598</v>
      </c>
      <c r="AE42" s="351">
        <f>IFERROR((Tableau1315[[#This Row],[TOTAL LE3]]-Tableau1315[[#This Row],[TOTAL BN-1]])/Tableau1315[[#This Row],[TOTAL BN-1]],"")</f>
        <v>-6.9293983726978134E-2</v>
      </c>
      <c r="AF42" s="252">
        <f>Tableau1315[[#This Row],[TOTAL BN+1]]-Tableau1315[[#This Row],[TOTAL LE3]]</f>
        <v>-17634.5</v>
      </c>
      <c r="AG42" s="351">
        <f>IFERROR((Tableau1315[[#This Row],[TOTAL BN+1]]-Tableau1315[[#This Row],[TOTAL LE3]])/Tableau1315[[#This Row],[TOTAL LE3]],"")</f>
        <v>0.12669736898826031</v>
      </c>
    </row>
    <row r="43" spans="1:34">
      <c r="A43" s="463" t="s">
        <v>552</v>
      </c>
      <c r="B43" s="464" t="str">
        <f>VLOOKUP(Tableau1315[[#This Row],[PARCS]],Tableau106[],3,FALSE)</f>
        <v>A535</v>
      </c>
      <c r="C43" s="464" t="str">
        <f>VLOOKUP(Tableau1315[[#This Row],[PARCS]],Tableau106[],2,FALSE)</f>
        <v>FR02E10E</v>
      </c>
      <c r="D43" s="465" t="str">
        <f>VLOOKUP(Tableau1315[[#This Row],[PARCS]],Tableau106[],8,FALSE)</f>
        <v>EOLIEN</v>
      </c>
      <c r="E43" s="465" t="str">
        <f>VLOOKUP(A43,Tableau106[[#Headers],[#Data]],6,FALSE)</f>
        <v>N</v>
      </c>
      <c r="F43" s="466" t="str">
        <f>VLOOKUP(Tableau1315[[#This Row],[PARCS]],Tableau106[],5,FALSE)</f>
        <v>CLAN</v>
      </c>
      <c r="G43" s="464" t="str">
        <f>VLOOKUP(Tableau1315[[#This Row],[PARCS]],Tableau106[],7,FALSE)</f>
        <v>FUTUREN</v>
      </c>
      <c r="H43" s="464" t="str">
        <f>VLOOKUP(Tableau1315[[#This Row],[PARCS]],Tableau106[],9,FALSE)</f>
        <v>NiL</v>
      </c>
      <c r="I43" s="350">
        <f>IFERROR(VLOOKUP(Tableau1315[[#This Row],[PARCS]],Tableau15[],10,FALSE),"")</f>
        <v>-277478.79254408041</v>
      </c>
      <c r="J43" s="20">
        <f>IFERROR(VLOOKUP(Tableau1315[[#This Row],[PARCS]],Tableau15[],18,FALSE),"")</f>
        <v>-17820</v>
      </c>
      <c r="K43" s="252">
        <f>IFERROR(VLOOKUP(Tableau1315[[#This Row],[PARCS]],Tableau15[],19,FALSE),"")</f>
        <v>0</v>
      </c>
      <c r="L43" s="20">
        <f>IFERROR(VLOOKUP(Tableau1315[[#This Row],[PARCS]],Tableau15[],28,FALSE),"")</f>
        <v>-8600</v>
      </c>
      <c r="M43" s="252">
        <f>IFERROR(VLOOKUP(Tableau1315[[#This Row],[PARCS]],Tableau15[],36,FALSE),"")</f>
        <v>-12000</v>
      </c>
      <c r="N43" s="252">
        <f>IFERROR(VLOOKUP(Tableau1315[[#This Row],[PARCS]],Tableau15[],37,FALSE),"")</f>
        <v>0</v>
      </c>
      <c r="O43" s="467">
        <f>SUM(Tableau1315[[#This Row],[CONTRAT O&amp;M FORFAIT GROUPE]:[CHARGES exceptionnels (BONUS, sinistres)]])</f>
        <v>-315898.79254408041</v>
      </c>
      <c r="P43" s="354">
        <f>VLOOKUP(Tableau1315[[#This Row],[PARCS]],Tableau16[],10,FALSE)</f>
        <v>-279041</v>
      </c>
      <c r="Q43" s="350">
        <f>VLOOKUP(Tableau1315[[#This Row],[PARCS]],Tableau16[],18,FALSE)</f>
        <v>-10350</v>
      </c>
      <c r="R43" s="350">
        <f>VLOOKUP(Tableau1315[[#This Row],[PARCS]],Tableau16[],19,FALSE)</f>
        <v>0</v>
      </c>
      <c r="S43" s="20">
        <f>VLOOKUP(Tableau1315[[#This Row],[PARCS]],Tableau16[],28,FALSE)</f>
        <v>-5750</v>
      </c>
      <c r="T43" s="20">
        <f>VLOOKUP(Tableau1315[[#This Row],[PARCS]],Tableau16[],36,FALSE)</f>
        <v>0</v>
      </c>
      <c r="U43" s="20">
        <f>VLOOKUP(Tableau1315[[#This Row],[PARCS]],Tableau16[],37,FALSE)</f>
        <v>0</v>
      </c>
      <c r="V43" s="467">
        <f>SUM(Tableau1315[[#This Row],[CONTRAT O&amp;M FORFAIT GROUPE2]:[CHARGES exceptionnels (BONUS, sinistres)7]])</f>
        <v>-295141</v>
      </c>
      <c r="W43" s="354">
        <f>VLOOKUP(Tableau1315[[#This Row],[PARCS]],Tableau17[],10,FALSE)</f>
        <v>-286017.02499999997</v>
      </c>
      <c r="X43" s="350">
        <f>VLOOKUP(Tableau1315[[#This Row],[PARCS]],Tableau17[],18,FALSE)</f>
        <v>-8370</v>
      </c>
      <c r="Y43" s="350">
        <f>VLOOKUP(Tableau1315[[#This Row],[PARCS]],Tableau17[],19,FALSE)</f>
        <v>0</v>
      </c>
      <c r="Z43" s="350">
        <f>VLOOKUP(Tableau1315[[#This Row],[PARCS]],Tableau17[],28,FALSE)</f>
        <v>-5750</v>
      </c>
      <c r="AA43" s="350">
        <f>VLOOKUP(Tableau1315[[#This Row],[PARCS]],Tableau17[],36,FALSE)</f>
        <v>0</v>
      </c>
      <c r="AB43" s="252">
        <f>VLOOKUP(Tableau1315[[#This Row],[PARCS]],Tableau17[],37,FALSE)</f>
        <v>0</v>
      </c>
      <c r="AC43" s="468">
        <f>SUM(Tableau1315[[#This Row],[CONTRAT O&amp;M FORFAIT GROUPE22]:[CHARGES exceptionnels (BONUS, sinistres)77]])</f>
        <v>-300137.02499999997</v>
      </c>
      <c r="AD43" s="252">
        <f>Tableau1315[[#This Row],[TOTAL LE3]]-Tableau1315[[#This Row],[TOTAL BN-1]]</f>
        <v>20757.79254408041</v>
      </c>
      <c r="AE43" s="351">
        <f>IFERROR((Tableau1315[[#This Row],[TOTAL LE3]]-Tableau1315[[#This Row],[TOTAL BN-1]])/Tableau1315[[#This Row],[TOTAL BN-1]],"")</f>
        <v>-6.5710262381531187E-2</v>
      </c>
      <c r="AF43" s="252">
        <f>Tableau1315[[#This Row],[TOTAL BN+1]]-Tableau1315[[#This Row],[TOTAL LE3]]</f>
        <v>-4996.0249999999651</v>
      </c>
      <c r="AG43" s="351">
        <f>IFERROR((Tableau1315[[#This Row],[TOTAL BN+1]]-Tableau1315[[#This Row],[TOTAL LE3]])/Tableau1315[[#This Row],[TOTAL LE3]],"")</f>
        <v>1.6927587153258834E-2</v>
      </c>
    </row>
    <row r="44" spans="1:34" hidden="1">
      <c r="A44" s="463" t="s">
        <v>468</v>
      </c>
      <c r="B44" s="464" t="str">
        <f>VLOOKUP(Tableau1315[[#This Row],[PARCS]],Tableau106[],3,FALSE)</f>
        <v>A893</v>
      </c>
      <c r="C44" s="464" t="str">
        <f>VLOOKUP(Tableau1315[[#This Row],[PARCS]],Tableau106[],2,FALSE)</f>
        <v>FR50E99E</v>
      </c>
      <c r="D44" s="465" t="str">
        <f>VLOOKUP(Tableau1315[[#This Row],[PARCS]],Tableau106[],8,FALSE)</f>
        <v>EOLIEN</v>
      </c>
      <c r="E44" s="465" t="str">
        <f>VLOOKUP(A44,Tableau106[[#Headers],[#Data]],6,FALSE)</f>
        <v>N</v>
      </c>
      <c r="F44" s="466" t="str">
        <f>VLOOKUP(Tableau1315[[#This Row],[PARCS]],Tableau106[],5,FALSE)</f>
        <v>CLIT</v>
      </c>
      <c r="G44" s="464" t="str">
        <f>VLOOKUP(Tableau1315[[#This Row],[PARCS]],Tableau106[],7,FALSE)</f>
        <v>GROUPE</v>
      </c>
      <c r="H44" s="464" t="str">
        <f>VLOOKUP(Tableau1315[[#This Row],[PARCS]],Tableau106[],9,FALSE)</f>
        <v>AnN</v>
      </c>
      <c r="I44" s="350">
        <f>IFERROR(VLOOKUP(Tableau1315[[#This Row],[PARCS]],Tableau15[],10,FALSE),"")</f>
        <v>-57305.231999999996</v>
      </c>
      <c r="J44" s="20">
        <f>IFERROR(VLOOKUP(Tableau1315[[#This Row],[PARCS]],Tableau15[],18,FALSE),"")</f>
        <v>-58380</v>
      </c>
      <c r="K44" s="252">
        <f>IFERROR(VLOOKUP(Tableau1315[[#This Row],[PARCS]],Tableau15[],19,FALSE),"")</f>
        <v>0</v>
      </c>
      <c r="L44" s="20">
        <f>IFERROR(VLOOKUP(Tableau1315[[#This Row],[PARCS]],Tableau15[],28,FALSE),"")</f>
        <v>-2350</v>
      </c>
      <c r="M44" s="252">
        <f>IFERROR(VLOOKUP(Tableau1315[[#This Row],[PARCS]],Tableau15[],36,FALSE),"")</f>
        <v>0</v>
      </c>
      <c r="N44" s="252">
        <f>IFERROR(VLOOKUP(Tableau1315[[#This Row],[PARCS]],Tableau15[],37,FALSE),"")</f>
        <v>0</v>
      </c>
      <c r="O44" s="467">
        <f>SUM(Tableau1315[[#This Row],[CONTRAT O&amp;M FORFAIT GROUPE]:[CHARGES exceptionnels (BONUS, sinistres)]])</f>
        <v>-118035.23199999999</v>
      </c>
      <c r="P44" s="354">
        <f>VLOOKUP(Tableau1315[[#This Row],[PARCS]],Tableau16[],10,FALSE)</f>
        <v>-57628</v>
      </c>
      <c r="Q44" s="350">
        <f>VLOOKUP(Tableau1315[[#This Row],[PARCS]],Tableau16[],18,FALSE)</f>
        <v>-103375</v>
      </c>
      <c r="R44" s="350">
        <f>VLOOKUP(Tableau1315[[#This Row],[PARCS]],Tableau16[],19,FALSE)</f>
        <v>0</v>
      </c>
      <c r="S44" s="20">
        <f>VLOOKUP(Tableau1315[[#This Row],[PARCS]],Tableau16[],28,FALSE)</f>
        <v>-21918</v>
      </c>
      <c r="T44" s="20">
        <f>VLOOKUP(Tableau1315[[#This Row],[PARCS]],Tableau16[],36,FALSE)</f>
        <v>0</v>
      </c>
      <c r="U44" s="20">
        <f>VLOOKUP(Tableau1315[[#This Row],[PARCS]],Tableau16[],37,FALSE)</f>
        <v>0</v>
      </c>
      <c r="V44" s="467">
        <f>SUM(Tableau1315[[#This Row],[CONTRAT O&amp;M FORFAIT GROUPE2]:[CHARGES exceptionnels (BONUS, sinistres)7]])</f>
        <v>-182921</v>
      </c>
      <c r="W44" s="354">
        <f>VLOOKUP(Tableau1315[[#This Row],[PARCS]],Tableau17[],10,FALSE)</f>
        <v>-59068.7</v>
      </c>
      <c r="X44" s="350">
        <f>VLOOKUP(Tableau1315[[#This Row],[PARCS]],Tableau17[],18,FALSE)</f>
        <v>-123435</v>
      </c>
      <c r="Y44" s="350">
        <f>VLOOKUP(Tableau1315[[#This Row],[PARCS]],Tableau17[],19,FALSE)</f>
        <v>0</v>
      </c>
      <c r="Z44" s="350">
        <f>VLOOKUP(Tableau1315[[#This Row],[PARCS]],Tableau17[],28,FALSE)</f>
        <v>-2242</v>
      </c>
      <c r="AA44" s="350">
        <f>VLOOKUP(Tableau1315[[#This Row],[PARCS]],Tableau17[],36,FALSE)</f>
        <v>-50000</v>
      </c>
      <c r="AB44" s="252">
        <f>VLOOKUP(Tableau1315[[#This Row],[PARCS]],Tableau17[],37,FALSE)</f>
        <v>0</v>
      </c>
      <c r="AC44" s="468">
        <f>SUM(Tableau1315[[#This Row],[CONTRAT O&amp;M FORFAIT GROUPE22]:[CHARGES exceptionnels (BONUS, sinistres)77]])</f>
        <v>-234745.7</v>
      </c>
      <c r="AD44" s="252">
        <f>Tableau1315[[#This Row],[TOTAL LE3]]-Tableau1315[[#This Row],[TOTAL BN-1]]</f>
        <v>-64885.768000000011</v>
      </c>
      <c r="AE44" s="351">
        <f>IFERROR((Tableau1315[[#This Row],[TOTAL LE3]]-Tableau1315[[#This Row],[TOTAL BN-1]])/Tableau1315[[#This Row],[TOTAL BN-1]],"")</f>
        <v>0.54971525789859099</v>
      </c>
      <c r="AF44" s="252">
        <f>Tableau1315[[#This Row],[TOTAL BN+1]]-Tableau1315[[#This Row],[TOTAL LE3]]</f>
        <v>-51824.700000000012</v>
      </c>
      <c r="AG44" s="351">
        <f>IFERROR((Tableau1315[[#This Row],[TOTAL BN+1]]-Tableau1315[[#This Row],[TOTAL LE3]])/Tableau1315[[#This Row],[TOTAL LE3]],"")</f>
        <v>0.28331738838077647</v>
      </c>
    </row>
    <row r="45" spans="1:34" hidden="1">
      <c r="A45" s="463" t="s">
        <v>533</v>
      </c>
      <c r="B45" s="464" t="str">
        <f>VLOOKUP(Tableau1315[[#This Row],[PARCS]],Tableau106[],3,FALSE)</f>
        <v>A257</v>
      </c>
      <c r="C45" s="464" t="str">
        <f>VLOOKUP(Tableau1315[[#This Row],[PARCS]],Tableau106[],2,FALSE)</f>
        <v>FR01S02E</v>
      </c>
      <c r="D45" s="465" t="str">
        <f>VLOOKUP(Tableau1315[[#This Row],[PARCS]],Tableau106[],8,FALSE)</f>
        <v>SOLAIRE</v>
      </c>
      <c r="E45" s="465" t="str">
        <f>VLOOKUP(A45,Tableau106[[#Headers],[#Data]],6,FALSE)</f>
        <v>S</v>
      </c>
      <c r="F45" s="466" t="str">
        <f>VLOOKUP(Tableau1315[[#This Row],[PARCS]],Tableau106[],5,FALSE)</f>
        <v>LOYE</v>
      </c>
      <c r="G45" s="464" t="str">
        <f>VLOOKUP(Tableau1315[[#This Row],[PARCS]],Tableau106[],7,FALSE)</f>
        <v>GROUPE</v>
      </c>
      <c r="H45" s="464" t="str">
        <f>VLOOKUP(Tableau1315[[#This Row],[PARCS]],Tableau106[],9,FALSE)</f>
        <v>LoG</v>
      </c>
      <c r="I45" s="350">
        <f>IFERROR(VLOOKUP(Tableau1315[[#This Row],[PARCS]],Tableau15[],10,FALSE),"")</f>
        <v>-27792</v>
      </c>
      <c r="J45" s="20">
        <f>IFERROR(VLOOKUP(Tableau1315[[#This Row],[PARCS]],Tableau15[],18,FALSE),"")</f>
        <v>-9800</v>
      </c>
      <c r="K45" s="252">
        <f>IFERROR(VLOOKUP(Tableau1315[[#This Row],[PARCS]],Tableau15[],19,FALSE),"")</f>
        <v>0</v>
      </c>
      <c r="L45" s="20">
        <f>IFERROR(VLOOKUP(Tableau1315[[#This Row],[PARCS]],Tableau15[],28,FALSE),"")</f>
        <v>-8400</v>
      </c>
      <c r="M45" s="252">
        <f>IFERROR(VLOOKUP(Tableau1315[[#This Row],[PARCS]],Tableau15[],36,FALSE),"")</f>
        <v>-3300</v>
      </c>
      <c r="N45" s="252">
        <f>IFERROR(VLOOKUP(Tableau1315[[#This Row],[PARCS]],Tableau15[],37,FALSE),"")</f>
        <v>0</v>
      </c>
      <c r="O45" s="467">
        <f>SUM(Tableau1315[[#This Row],[CONTRAT O&amp;M FORFAIT GROUPE]:[CHARGES exceptionnels (BONUS, sinistres)]])</f>
        <v>-49292</v>
      </c>
      <c r="P45" s="354">
        <f>VLOOKUP(Tableau1315[[#This Row],[PARCS]],Tableau16[],10,FALSE)</f>
        <v>-27792</v>
      </c>
      <c r="Q45" s="252">
        <f>VLOOKUP(Tableau1315[[#This Row],[PARCS]],Tableau16[],18,FALSE)</f>
        <v>-25220.000000000004</v>
      </c>
      <c r="R45" s="252">
        <f>VLOOKUP(Tableau1315[[#This Row],[PARCS]],Tableau16[],19,FALSE)</f>
        <v>0</v>
      </c>
      <c r="S45" s="252">
        <f>VLOOKUP(Tableau1315[[#This Row],[PARCS]],Tableau16[],28,FALSE)</f>
        <v>-13170</v>
      </c>
      <c r="T45" s="252">
        <f>VLOOKUP(Tableau1315[[#This Row],[PARCS]],Tableau16[],36,FALSE)</f>
        <v>-2937.5</v>
      </c>
      <c r="U45" s="252">
        <f>VLOOKUP(Tableau1315[[#This Row],[PARCS]],Tableau16[],37,FALSE)</f>
        <v>0</v>
      </c>
      <c r="V45" s="467">
        <f>SUM(Tableau1315[[#This Row],[CONTRAT O&amp;M FORFAIT GROUPE2]:[CHARGES exceptionnels (BONUS, sinistres)7]])</f>
        <v>-69119.5</v>
      </c>
      <c r="W45" s="354">
        <f>VLOOKUP(Tableau1315[[#This Row],[PARCS]],Tableau17[],10,FALSE)</f>
        <v>-38863</v>
      </c>
      <c r="X45" s="252">
        <f>VLOOKUP(Tableau1315[[#This Row],[PARCS]],Tableau17[],18,FALSE)</f>
        <v>-7440</v>
      </c>
      <c r="Y45" s="252">
        <f>VLOOKUP(Tableau1315[[#This Row],[PARCS]],Tableau17[],19,FALSE)</f>
        <v>0</v>
      </c>
      <c r="Z45" s="252">
        <f>VLOOKUP(Tableau1315[[#This Row],[PARCS]],Tableau17[],28,FALSE)</f>
        <v>-7200</v>
      </c>
      <c r="AA45" s="252">
        <f>VLOOKUP(Tableau1315[[#This Row],[PARCS]],Tableau17[],36,FALSE)</f>
        <v>-4625</v>
      </c>
      <c r="AB45" s="252">
        <f>VLOOKUP(Tableau1315[[#This Row],[PARCS]],Tableau17[],37,FALSE)</f>
        <v>0</v>
      </c>
      <c r="AC45" s="468">
        <f>SUM(Tableau1315[[#This Row],[CONTRAT O&amp;M FORFAIT GROUPE22]:[CHARGES exceptionnels (BONUS, sinistres)77]])</f>
        <v>-58128</v>
      </c>
      <c r="AD45" s="252">
        <f>Tableau1315[[#This Row],[TOTAL LE3]]-Tableau1315[[#This Row],[TOTAL BN-1]]</f>
        <v>-19827.5</v>
      </c>
      <c r="AE45" s="351">
        <f>IFERROR((Tableau1315[[#This Row],[TOTAL LE3]]-Tableau1315[[#This Row],[TOTAL BN-1]])/Tableau1315[[#This Row],[TOTAL BN-1]],"")</f>
        <v>0.40224580053558384</v>
      </c>
      <c r="AF45" s="252">
        <f>Tableau1315[[#This Row],[TOTAL BN+1]]-Tableau1315[[#This Row],[TOTAL LE3]]</f>
        <v>10991.5</v>
      </c>
      <c r="AG45" s="351">
        <f>IFERROR((Tableau1315[[#This Row],[TOTAL BN+1]]-Tableau1315[[#This Row],[TOTAL LE3]])/Tableau1315[[#This Row],[TOTAL LE3]],"")</f>
        <v>-0.15902169431202481</v>
      </c>
      <c r="AH45" s="6" t="s">
        <v>729</v>
      </c>
    </row>
    <row r="46" spans="1:34">
      <c r="A46" s="463" t="s">
        <v>106</v>
      </c>
      <c r="B46" s="464" t="str">
        <f>VLOOKUP(Tableau1315[[#This Row],[PARCS]],Tableau106[],3,FALSE)</f>
        <v>F069</v>
      </c>
      <c r="C46" s="464" t="str">
        <f>VLOOKUP(Tableau1315[[#This Row],[PARCS]],Tableau106[],2,FALSE)</f>
        <v>FR20E01E</v>
      </c>
      <c r="D46" s="465" t="str">
        <f>VLOOKUP(Tableau1315[[#This Row],[PARCS]],Tableau106[],8,FALSE)</f>
        <v>EOLIEN</v>
      </c>
      <c r="E46" s="465" t="str">
        <f>VLOOKUP(A46,Tableau106[[#Headers],[#Data]],6,FALSE)</f>
        <v>S</v>
      </c>
      <c r="F46" s="466" t="str">
        <f>VLOOKUP(Tableau1315[[#This Row],[PARCS]],Tableau106[],5,FALSE)</f>
        <v>CORS</v>
      </c>
      <c r="G46" s="464" t="str">
        <f>VLOOKUP(Tableau1315[[#This Row],[PARCS]],Tableau106[],7,FALSE)</f>
        <v>FUTUREN</v>
      </c>
      <c r="H46" s="464" t="str">
        <f>VLOOKUP(Tableau1315[[#This Row],[PARCS]],Tableau106[],9,FALSE)</f>
        <v>SaH</v>
      </c>
      <c r="I46" s="350">
        <f>IFERROR(VLOOKUP(Tableau1315[[#This Row],[PARCS]],Tableau15[],10,FALSE),"")</f>
        <v>-3408.4386885245899</v>
      </c>
      <c r="J46" s="20">
        <f>IFERROR(VLOOKUP(Tableau1315[[#This Row],[PARCS]],Tableau15[],18,FALSE),"")</f>
        <v>-6000</v>
      </c>
      <c r="K46" s="252">
        <f>IFERROR(VLOOKUP(Tableau1315[[#This Row],[PARCS]],Tableau15[],19,FALSE),"")</f>
        <v>-286086.09999999998</v>
      </c>
      <c r="L46" s="20">
        <f>IFERROR(VLOOKUP(Tableau1315[[#This Row],[PARCS]],Tableau15[],28,FALSE),"")</f>
        <v>-24500</v>
      </c>
      <c r="M46" s="252">
        <f>IFERROR(VLOOKUP(Tableau1315[[#This Row],[PARCS]],Tableau15[],36,FALSE),"")</f>
        <v>0</v>
      </c>
      <c r="N46" s="252">
        <f>IFERROR(VLOOKUP(Tableau1315[[#This Row],[PARCS]],Tableau15[],37,FALSE),"")</f>
        <v>0</v>
      </c>
      <c r="O46" s="467">
        <f>SUM(Tableau1315[[#This Row],[CONTRAT O&amp;M FORFAIT GROUPE]:[CHARGES exceptionnels (BONUS, sinistres)]])</f>
        <v>-319994.53868852457</v>
      </c>
      <c r="P46" s="354">
        <f>VLOOKUP(Tableau1315[[#This Row],[PARCS]],Tableau16[],10,FALSE)</f>
        <v>0</v>
      </c>
      <c r="Q46" s="350">
        <f>VLOOKUP(Tableau1315[[#This Row],[PARCS]],Tableau16[],18,FALSE)</f>
        <v>-1500</v>
      </c>
      <c r="R46" s="350">
        <f>VLOOKUP(Tableau1315[[#This Row],[PARCS]],Tableau16[],19,FALSE)</f>
        <v>-360585</v>
      </c>
      <c r="S46" s="20">
        <f>VLOOKUP(Tableau1315[[#This Row],[PARCS]],Tableau16[],28,FALSE)</f>
        <v>-50600</v>
      </c>
      <c r="T46" s="20">
        <f>VLOOKUP(Tableau1315[[#This Row],[PARCS]],Tableau16[],36,FALSE)</f>
        <v>0</v>
      </c>
      <c r="U46" s="20">
        <f>VLOOKUP(Tableau1315[[#This Row],[PARCS]],Tableau16[],37,FALSE)</f>
        <v>0</v>
      </c>
      <c r="V46" s="467">
        <f>SUM(Tableau1315[[#This Row],[CONTRAT O&amp;M FORFAIT GROUPE2]:[CHARGES exceptionnels (BONUS, sinistres)7]])</f>
        <v>-412685</v>
      </c>
      <c r="W46" s="354">
        <f>VLOOKUP(Tableau1315[[#This Row],[PARCS]],Tableau17[],10,FALSE)</f>
        <v>0</v>
      </c>
      <c r="X46" s="350">
        <f>VLOOKUP(Tableau1315[[#This Row],[PARCS]],Tableau17[],18,FALSE)</f>
        <v>-1500</v>
      </c>
      <c r="Y46" s="350">
        <f>VLOOKUP(Tableau1315[[#This Row],[PARCS]],Tableau17[],19,FALSE)</f>
        <v>-200000</v>
      </c>
      <c r="Z46" s="350">
        <f>VLOOKUP(Tableau1315[[#This Row],[PARCS]],Tableau17[],28,FALSE)</f>
        <v>-221000</v>
      </c>
      <c r="AA46" s="350">
        <f>VLOOKUP(Tableau1315[[#This Row],[PARCS]],Tableau17[],36,FALSE)</f>
        <v>0</v>
      </c>
      <c r="AB46" s="252">
        <f>VLOOKUP(Tableau1315[[#This Row],[PARCS]],Tableau17[],37,FALSE)</f>
        <v>0</v>
      </c>
      <c r="AC46" s="468">
        <f>SUM(Tableau1315[[#This Row],[CONTRAT O&amp;M FORFAIT GROUPE22]:[CHARGES exceptionnels (BONUS, sinistres)77]])</f>
        <v>-422500</v>
      </c>
      <c r="AD46" s="252">
        <f>Tableau1315[[#This Row],[TOTAL LE3]]-Tableau1315[[#This Row],[TOTAL BN-1]]</f>
        <v>-92690.461311475432</v>
      </c>
      <c r="AE46" s="351">
        <f>IFERROR((Tableau1315[[#This Row],[TOTAL LE3]]-Tableau1315[[#This Row],[TOTAL BN-1]])/Tableau1315[[#This Row],[TOTAL BN-1]],"")</f>
        <v>0.28966263515421503</v>
      </c>
      <c r="AF46" s="252">
        <f>Tableau1315[[#This Row],[TOTAL BN+1]]-Tableau1315[[#This Row],[TOTAL LE3]]</f>
        <v>-9815</v>
      </c>
      <c r="AG46" s="351">
        <f>IFERROR((Tableau1315[[#This Row],[TOTAL BN+1]]-Tableau1315[[#This Row],[TOTAL LE3]])/Tableau1315[[#This Row],[TOTAL LE3]],"")</f>
        <v>2.3783272956371081E-2</v>
      </c>
      <c r="AH46" s="6" t="s">
        <v>730</v>
      </c>
    </row>
    <row r="47" spans="1:34" hidden="1">
      <c r="A47" s="463" t="s">
        <v>560</v>
      </c>
      <c r="B47" s="464" t="str">
        <f>VLOOKUP(Tableau1315[[#This Row],[PARCS]],Tableau106[],3,FALSE)</f>
        <v>A370</v>
      </c>
      <c r="C47" s="464" t="str">
        <f>VLOOKUP(Tableau1315[[#This Row],[PARCS]],Tableau106[],2,FALSE)</f>
        <v>FR11E94E</v>
      </c>
      <c r="D47" s="465" t="str">
        <f>VLOOKUP(Tableau1315[[#This Row],[PARCS]],Tableau106[],8,FALSE)</f>
        <v>EOLIEN</v>
      </c>
      <c r="E47" s="465" t="str">
        <f>VLOOKUP(A47,Tableau106[[#Headers],[#Data]],6,FALSE)</f>
        <v>S</v>
      </c>
      <c r="F47" s="466" t="str">
        <f>VLOOKUP(Tableau1315[[#This Row],[PARCS]],Tableau106[],5,FALSE)</f>
        <v>PLGR</v>
      </c>
      <c r="G47" s="464" t="str">
        <f>VLOOKUP(Tableau1315[[#This Row],[PARCS]],Tableau106[],7,FALSE)</f>
        <v>GROUPE</v>
      </c>
      <c r="H47" s="464" t="str">
        <f>VLOOKUP(Tableau1315[[#This Row],[PARCS]],Tableau106[],9,FALSE)</f>
        <v>ThC</v>
      </c>
      <c r="I47" s="350">
        <f>IFERROR(VLOOKUP(Tableau1315[[#This Row],[PARCS]],Tableau15[],10,FALSE),"")</f>
        <v>-12626.246851385387</v>
      </c>
      <c r="J47" s="20">
        <f>IFERROR(VLOOKUP(Tableau1315[[#This Row],[PARCS]],Tableau15[],18,FALSE),"")</f>
        <v>-12420</v>
      </c>
      <c r="K47" s="252">
        <f>IFERROR(VLOOKUP(Tableau1315[[#This Row],[PARCS]],Tableau15[],19,FALSE),"")</f>
        <v>-277372.95585600002</v>
      </c>
      <c r="L47" s="20">
        <f>IFERROR(VLOOKUP(Tableau1315[[#This Row],[PARCS]],Tableau15[],28,FALSE),"")</f>
        <v>-13600</v>
      </c>
      <c r="M47" s="252">
        <f>IFERROR(VLOOKUP(Tableau1315[[#This Row],[PARCS]],Tableau15[],36,FALSE),"")</f>
        <v>-16000</v>
      </c>
      <c r="N47" s="252">
        <f>IFERROR(VLOOKUP(Tableau1315[[#This Row],[PARCS]],Tableau15[],37,FALSE),"")</f>
        <v>0</v>
      </c>
      <c r="O47" s="467">
        <f>SUM(Tableau1315[[#This Row],[CONTRAT O&amp;M FORFAIT GROUPE]:[CHARGES exceptionnels (BONUS, sinistres)]])</f>
        <v>-332019.20270738541</v>
      </c>
      <c r="P47" s="354">
        <f>VLOOKUP(Tableau1315[[#This Row],[PARCS]],Tableau16[],10,FALSE)</f>
        <v>-9840</v>
      </c>
      <c r="Q47" s="252">
        <f>VLOOKUP(Tableau1315[[#This Row],[PARCS]],Tableau16[],18,FALSE)</f>
        <v>-15150</v>
      </c>
      <c r="R47" s="252">
        <f>VLOOKUP(Tableau1315[[#This Row],[PARCS]],Tableau16[],19,FALSE)</f>
        <v>-328476</v>
      </c>
      <c r="S47" s="252">
        <f>VLOOKUP(Tableau1315[[#This Row],[PARCS]],Tableau16[],28,FALSE)</f>
        <v>-22400</v>
      </c>
      <c r="T47" s="252">
        <f>VLOOKUP(Tableau1315[[#This Row],[PARCS]],Tableau16[],36,FALSE)</f>
        <v>-40197</v>
      </c>
      <c r="U47" s="252">
        <f>VLOOKUP(Tableau1315[[#This Row],[PARCS]],Tableau16[],37,FALSE)</f>
        <v>0</v>
      </c>
      <c r="V47" s="467">
        <f>SUM(Tableau1315[[#This Row],[CONTRAT O&amp;M FORFAIT GROUPE2]:[CHARGES exceptionnels (BONUS, sinistres)7]])</f>
        <v>-416063</v>
      </c>
      <c r="W47" s="354">
        <f>VLOOKUP(Tableau1315[[#This Row],[PARCS]],Tableau17[],10,FALSE)</f>
        <v>-10086</v>
      </c>
      <c r="X47" s="252">
        <f>VLOOKUP(Tableau1315[[#This Row],[PARCS]],Tableau17[],18,FALSE)</f>
        <v>-20750</v>
      </c>
      <c r="Y47" s="252">
        <f>VLOOKUP(Tableau1315[[#This Row],[PARCS]],Tableau17[],19,FALSE)</f>
        <v>-336687.89999999997</v>
      </c>
      <c r="Z47" s="252">
        <f>VLOOKUP(Tableau1315[[#This Row],[PARCS]],Tableau17[],28,FALSE)</f>
        <v>-22400</v>
      </c>
      <c r="AA47" s="252">
        <f>VLOOKUP(Tableau1315[[#This Row],[PARCS]],Tableau17[],36,FALSE)</f>
        <v>-21047.1</v>
      </c>
      <c r="AB47" s="252">
        <f>VLOOKUP(Tableau1315[[#This Row],[PARCS]],Tableau17[],37,FALSE)</f>
        <v>0</v>
      </c>
      <c r="AC47" s="468">
        <f>SUM(Tableau1315[[#This Row],[CONTRAT O&amp;M FORFAIT GROUPE22]:[CHARGES exceptionnels (BONUS, sinistres)77]])</f>
        <v>-410970.99999999994</v>
      </c>
      <c r="AD47" s="252">
        <f>Tableau1315[[#This Row],[TOTAL LE3]]-Tableau1315[[#This Row],[TOTAL BN-1]]</f>
        <v>-84043.797292614589</v>
      </c>
      <c r="AE47" s="351">
        <f>IFERROR((Tableau1315[[#This Row],[TOTAL LE3]]-Tableau1315[[#This Row],[TOTAL BN-1]])/Tableau1315[[#This Row],[TOTAL BN-1]],"")</f>
        <v>0.25312932688018025</v>
      </c>
      <c r="AF47" s="252">
        <f>Tableau1315[[#This Row],[TOTAL BN+1]]-Tableau1315[[#This Row],[TOTAL LE3]]</f>
        <v>5092.0000000000582</v>
      </c>
      <c r="AG47" s="351">
        <f>IFERROR((Tableau1315[[#This Row],[TOTAL BN+1]]-Tableau1315[[#This Row],[TOTAL LE3]])/Tableau1315[[#This Row],[TOTAL LE3]],"")</f>
        <v>-1.223853118397949E-2</v>
      </c>
      <c r="AH47" s="6" t="s">
        <v>731</v>
      </c>
    </row>
    <row r="48" spans="1:34" hidden="1">
      <c r="A48" s="463" t="s">
        <v>563</v>
      </c>
      <c r="B48" s="464" t="str">
        <f>VLOOKUP(Tableau1315[[#This Row],[PARCS]],Tableau106[],3,FALSE)</f>
        <v>A114</v>
      </c>
      <c r="C48" s="464" t="str">
        <f>VLOOKUP(Tableau1315[[#This Row],[PARCS]],Tableau106[],2,FALSE)</f>
        <v>FR11E95E</v>
      </c>
      <c r="D48" s="465" t="str">
        <f>VLOOKUP(Tableau1315[[#This Row],[PARCS]],Tableau106[],8,FALSE)</f>
        <v>EOLIEN</v>
      </c>
      <c r="E48" s="465" t="str">
        <f>VLOOKUP(A48,Tableau106[[#Headers],[#Data]],6,FALSE)</f>
        <v>S</v>
      </c>
      <c r="F48" s="466" t="str">
        <f>VLOOKUP(Tableau1315[[#This Row],[PARCS]],Tableau106[],5,FALSE)</f>
        <v>CAMB</v>
      </c>
      <c r="G48" s="464" t="str">
        <f>VLOOKUP(Tableau1315[[#This Row],[PARCS]],Tableau106[],7,FALSE)</f>
        <v>GROUPE</v>
      </c>
      <c r="H48" s="464" t="str">
        <f>VLOOKUP(Tableau1315[[#This Row],[PARCS]],Tableau106[],9,FALSE)</f>
        <v>ThC</v>
      </c>
      <c r="I48" s="350">
        <f>IFERROR(VLOOKUP(Tableau1315[[#This Row],[PARCS]],Tableau15[],10,FALSE),"")</f>
        <v>-12626.246851385387</v>
      </c>
      <c r="J48" s="20">
        <f>IFERROR(VLOOKUP(Tableau1315[[#This Row],[PARCS]],Tableau15[],18,FALSE),"")</f>
        <v>-15525</v>
      </c>
      <c r="K48" s="252">
        <f>IFERROR(VLOOKUP(Tableau1315[[#This Row],[PARCS]],Tableau15[],19,FALSE),"")</f>
        <v>-346716.19482000003</v>
      </c>
      <c r="L48" s="20">
        <f>IFERROR(VLOOKUP(Tableau1315[[#This Row],[PARCS]],Tableau15[],28,FALSE),"")</f>
        <v>-17750</v>
      </c>
      <c r="M48" s="252">
        <f>IFERROR(VLOOKUP(Tableau1315[[#This Row],[PARCS]],Tableau15[],36,FALSE),"")</f>
        <v>-18000</v>
      </c>
      <c r="N48" s="252">
        <f>IFERROR(VLOOKUP(Tableau1315[[#This Row],[PARCS]],Tableau15[],37,FALSE),"")</f>
        <v>0</v>
      </c>
      <c r="O48" s="467">
        <f>SUM(Tableau1315[[#This Row],[CONTRAT O&amp;M FORFAIT GROUPE]:[CHARGES exceptionnels (BONUS, sinistres)]])</f>
        <v>-410617.44167138543</v>
      </c>
      <c r="P48" s="354">
        <f>VLOOKUP(Tableau1315[[#This Row],[PARCS]],Tableau16[],10,FALSE)</f>
        <v>-9840</v>
      </c>
      <c r="Q48" s="350">
        <f>VLOOKUP(Tableau1315[[#This Row],[PARCS]],Tableau16[],18,FALSE)</f>
        <v>-20455</v>
      </c>
      <c r="R48" s="350">
        <f>VLOOKUP(Tableau1315[[#This Row],[PARCS]],Tableau16[],19,FALSE)</f>
        <v>-410595</v>
      </c>
      <c r="S48" s="20">
        <f>VLOOKUP(Tableau1315[[#This Row],[PARCS]],Tableau16[],28,FALSE)</f>
        <v>-26675</v>
      </c>
      <c r="T48" s="20">
        <f>VLOOKUP(Tableau1315[[#This Row],[PARCS]],Tableau16[],36,FALSE)</f>
        <v>-45297</v>
      </c>
      <c r="U48" s="20">
        <f>VLOOKUP(Tableau1315[[#This Row],[PARCS]],Tableau16[],37,FALSE)</f>
        <v>0</v>
      </c>
      <c r="V48" s="467">
        <f>SUM(Tableau1315[[#This Row],[CONTRAT O&amp;M FORFAIT GROUPE2]:[CHARGES exceptionnels (BONUS, sinistres)7]])</f>
        <v>-512862</v>
      </c>
      <c r="W48" s="354">
        <f>VLOOKUP(Tableau1315[[#This Row],[PARCS]],Tableau17[],10,FALSE)</f>
        <v>-10086</v>
      </c>
      <c r="X48" s="350">
        <f>VLOOKUP(Tableau1315[[#This Row],[PARCS]],Tableau17[],18,FALSE)</f>
        <v>-25685</v>
      </c>
      <c r="Y48" s="350">
        <f>VLOOKUP(Tableau1315[[#This Row],[PARCS]],Tableau17[],19,FALSE)</f>
        <v>-420859.87499999994</v>
      </c>
      <c r="Z48" s="350">
        <f>VLOOKUP(Tableau1315[[#This Row],[PARCS]],Tableau17[],28,FALSE)</f>
        <v>-26675</v>
      </c>
      <c r="AA48" s="350">
        <f>VLOOKUP(Tableau1315[[#This Row],[PARCS]],Tableau17[],36,FALSE)</f>
        <v>-23047.1</v>
      </c>
      <c r="AB48" s="252">
        <f>VLOOKUP(Tableau1315[[#This Row],[PARCS]],Tableau17[],37,FALSE)</f>
        <v>0</v>
      </c>
      <c r="AC48" s="468">
        <f>SUM(Tableau1315[[#This Row],[CONTRAT O&amp;M FORFAIT GROUPE22]:[CHARGES exceptionnels (BONUS, sinistres)77]])</f>
        <v>-506352.97499999992</v>
      </c>
      <c r="AD48" s="252">
        <f>Tableau1315[[#This Row],[TOTAL LE3]]-Tableau1315[[#This Row],[TOTAL BN-1]]</f>
        <v>-102244.55832861457</v>
      </c>
      <c r="AE48" s="351">
        <f>IFERROR((Tableau1315[[#This Row],[TOTAL LE3]]-Tableau1315[[#This Row],[TOTAL BN-1]])/Tableau1315[[#This Row],[TOTAL BN-1]],"")</f>
        <v>0.24900198567415033</v>
      </c>
      <c r="AF48" s="252">
        <f>Tableau1315[[#This Row],[TOTAL BN+1]]-Tableau1315[[#This Row],[TOTAL LE3]]</f>
        <v>6509.0250000000815</v>
      </c>
      <c r="AG48" s="351">
        <f>IFERROR((Tableau1315[[#This Row],[TOTAL BN+1]]-Tableau1315[[#This Row],[TOTAL LE3]])/Tableau1315[[#This Row],[TOTAL LE3]],"")</f>
        <v>-1.2691572001825212E-2</v>
      </c>
      <c r="AH48" s="6" t="s">
        <v>731</v>
      </c>
    </row>
    <row r="49" spans="1:34" hidden="1">
      <c r="A49" s="463" t="s">
        <v>443</v>
      </c>
      <c r="B49" s="464" t="str">
        <f>VLOOKUP(Tableau1315[[#This Row],[PARCS]],Tableau106[],3,FALSE)</f>
        <v>A051</v>
      </c>
      <c r="C49" s="464" t="str">
        <f>VLOOKUP(Tableau1315[[#This Row],[PARCS]],Tableau106[],2,FALSE)</f>
        <v>FR85E99E</v>
      </c>
      <c r="D49" s="465" t="str">
        <f>VLOOKUP(Tableau1315[[#This Row],[PARCS]],Tableau106[],8,FALSE)</f>
        <v>EOLIEN</v>
      </c>
      <c r="E49" s="465" t="str">
        <f>VLOOKUP(A49,Tableau106[[#Headers],[#Data]],6,FALSE)</f>
        <v>N</v>
      </c>
      <c r="F49" s="466" t="str">
        <f>VLOOKUP(Tableau1315[[#This Row],[PARCS]],Tableau106[],5,FALSE)</f>
        <v>JADE</v>
      </c>
      <c r="G49" s="464" t="str">
        <f>VLOOKUP(Tableau1315[[#This Row],[PARCS]],Tableau106[],7,FALSE)</f>
        <v>GROUPE</v>
      </c>
      <c r="H49" s="464" t="str">
        <f>VLOOKUP(Tableau1315[[#This Row],[PARCS]],Tableau106[],9,FALSE)</f>
        <v>AyB</v>
      </c>
      <c r="I49" s="350">
        <f>IFERROR(VLOOKUP(Tableau1315[[#This Row],[PARCS]],Tableau15[],10,FALSE),"")</f>
        <v>0</v>
      </c>
      <c r="J49" s="20">
        <f>IFERROR(VLOOKUP(Tableau1315[[#This Row],[PARCS]],Tableau15[],18,FALSE),"")</f>
        <v>-16200</v>
      </c>
      <c r="K49" s="252">
        <f>IFERROR(VLOOKUP(Tableau1315[[#This Row],[PARCS]],Tableau15[],19,FALSE),"")</f>
        <v>-213721.26240799998</v>
      </c>
      <c r="L49" s="20">
        <f>IFERROR(VLOOKUP(Tableau1315[[#This Row],[PARCS]],Tableau15[],28,FALSE),"")</f>
        <v>-16000</v>
      </c>
      <c r="M49" s="252">
        <f>IFERROR(VLOOKUP(Tableau1315[[#This Row],[PARCS]],Tableau15[],36,FALSE),"")</f>
        <v>-50000</v>
      </c>
      <c r="N49" s="252">
        <f>IFERROR(VLOOKUP(Tableau1315[[#This Row],[PARCS]],Tableau15[],37,FALSE),"")</f>
        <v>0</v>
      </c>
      <c r="O49" s="467">
        <f>SUM(Tableau1315[[#This Row],[CONTRAT O&amp;M FORFAIT GROUPE]:[CHARGES exceptionnels (BONUS, sinistres)]])</f>
        <v>-295921.26240799995</v>
      </c>
      <c r="P49" s="354">
        <f>VLOOKUP(Tableau1315[[#This Row],[PARCS]],Tableau16[],10,FALSE)</f>
        <v>0</v>
      </c>
      <c r="Q49" s="350">
        <f>VLOOKUP(Tableau1315[[#This Row],[PARCS]],Tableau16[],18,FALSE)</f>
        <v>-8280</v>
      </c>
      <c r="R49" s="350">
        <f>VLOOKUP(Tableau1315[[#This Row],[PARCS]],Tableau16[],19,FALSE)</f>
        <v>-122529.00000000001</v>
      </c>
      <c r="S49" s="20">
        <f>VLOOKUP(Tableau1315[[#This Row],[PARCS]],Tableau16[],28,FALSE)</f>
        <v>-429000</v>
      </c>
      <c r="T49" s="20">
        <f>VLOOKUP(Tableau1315[[#This Row],[PARCS]],Tableau16[],36,FALSE)</f>
        <v>-33156</v>
      </c>
      <c r="U49" s="20">
        <f>VLOOKUP(Tableau1315[[#This Row],[PARCS]],Tableau16[],37,FALSE)</f>
        <v>0</v>
      </c>
      <c r="V49" s="467">
        <f>SUM(Tableau1315[[#This Row],[CONTRAT O&amp;M FORFAIT GROUPE2]:[CHARGES exceptionnels (BONUS, sinistres)7]])</f>
        <v>-592965</v>
      </c>
      <c r="W49" s="354">
        <f>VLOOKUP(Tableau1315[[#This Row],[PARCS]],Tableau17[],10,FALSE)</f>
        <v>0</v>
      </c>
      <c r="X49" s="350">
        <f>VLOOKUP(Tableau1315[[#This Row],[PARCS]],Tableau17[],18,FALSE)</f>
        <v>-8280</v>
      </c>
      <c r="Y49" s="350">
        <f>VLOOKUP(Tableau1315[[#This Row],[PARCS]],Tableau17[],19,FALSE)</f>
        <v>-125592.22500000001</v>
      </c>
      <c r="Z49" s="350">
        <f>VLOOKUP(Tableau1315[[#This Row],[PARCS]],Tableau17[],28,FALSE)</f>
        <v>-13000</v>
      </c>
      <c r="AA49" s="350">
        <f>VLOOKUP(Tableau1315[[#This Row],[PARCS]],Tableau17[],36,FALSE)</f>
        <v>-15047.099999999999</v>
      </c>
      <c r="AB49" s="252">
        <f>VLOOKUP(Tableau1315[[#This Row],[PARCS]],Tableau17[],37,FALSE)</f>
        <v>0</v>
      </c>
      <c r="AC49" s="468">
        <f>SUM(Tableau1315[[#This Row],[CONTRAT O&amp;M FORFAIT GROUPE22]:[CHARGES exceptionnels (BONUS, sinistres)77]])</f>
        <v>-161919.32500000001</v>
      </c>
      <c r="AD49" s="252">
        <f>Tableau1315[[#This Row],[TOTAL LE3]]-Tableau1315[[#This Row],[TOTAL BN-1]]</f>
        <v>-297043.73759200005</v>
      </c>
      <c r="AE49" s="351">
        <f>IFERROR((Tableau1315[[#This Row],[TOTAL LE3]]-Tableau1315[[#This Row],[TOTAL BN-1]])/Tableau1315[[#This Row],[TOTAL BN-1]],"")</f>
        <v>1.0037931548914945</v>
      </c>
      <c r="AF49" s="252">
        <f>Tableau1315[[#This Row],[TOTAL BN+1]]-Tableau1315[[#This Row],[TOTAL LE3]]</f>
        <v>431045.67499999999</v>
      </c>
      <c r="AG49" s="351">
        <f>IFERROR((Tableau1315[[#This Row],[TOTAL BN+1]]-Tableau1315[[#This Row],[TOTAL LE3]])/Tableau1315[[#This Row],[TOTAL LE3]],"")</f>
        <v>-0.72693274476571124</v>
      </c>
    </row>
    <row r="50" spans="1:34" hidden="1">
      <c r="A50" s="463" t="s">
        <v>620</v>
      </c>
      <c r="B50" s="464" t="str">
        <f>VLOOKUP(Tableau1315[[#This Row],[PARCS]],Tableau106[],3,FALSE)</f>
        <v>A541</v>
      </c>
      <c r="C50" s="464" t="str">
        <f>VLOOKUP(Tableau1315[[#This Row],[PARCS]],Tableau106[],2,FALSE)</f>
        <v>FR55E02E</v>
      </c>
      <c r="D50" s="465" t="str">
        <f>VLOOKUP(Tableau1315[[#This Row],[PARCS]],Tableau106[],8,FALSE)</f>
        <v>EOLIEN</v>
      </c>
      <c r="E50" s="465" t="str">
        <f>VLOOKUP(A50,Tableau106[[#Headers],[#Data]],6,FALSE)</f>
        <v>N</v>
      </c>
      <c r="F50" s="466" t="str">
        <f>VLOOKUP(Tableau1315[[#This Row],[PARCS]],Tableau106[],5,FALSE)</f>
        <v>COUR</v>
      </c>
      <c r="G50" s="464" t="str">
        <f>VLOOKUP(Tableau1315[[#This Row],[PARCS]],Tableau106[],7,FALSE)</f>
        <v>EGM</v>
      </c>
      <c r="H50" s="464" t="str">
        <f>VLOOKUP(Tableau1315[[#This Row],[PARCS]],Tableau106[],9,FALSE)</f>
        <v>BaB</v>
      </c>
      <c r="I50" s="350">
        <f>IFERROR(VLOOKUP(Tableau1315[[#This Row],[PARCS]],Tableau15[],10,FALSE),"")</f>
        <v>-307815.93714434805</v>
      </c>
      <c r="J50" s="20">
        <f>IFERROR(VLOOKUP(Tableau1315[[#This Row],[PARCS]],Tableau15[],18,FALSE),"")</f>
        <v>-55882.539682539682</v>
      </c>
      <c r="K50" s="252">
        <f>IFERROR(VLOOKUP(Tableau1315[[#This Row],[PARCS]],Tableau15[],19,FALSE),"")</f>
        <v>0</v>
      </c>
      <c r="L50" s="20">
        <f>IFERROR(VLOOKUP(Tableau1315[[#This Row],[PARCS]],Tableau15[],28,FALSE),"")</f>
        <v>-7800</v>
      </c>
      <c r="M50" s="252">
        <f>IFERROR(VLOOKUP(Tableau1315[[#This Row],[PARCS]],Tableau15[],36,FALSE),"")</f>
        <v>0</v>
      </c>
      <c r="N50" s="252">
        <f>IFERROR(VLOOKUP(Tableau1315[[#This Row],[PARCS]],Tableau15[],37,FALSE),"")</f>
        <v>0</v>
      </c>
      <c r="O50" s="467">
        <f>SUM(Tableau1315[[#This Row],[CONTRAT O&amp;M FORFAIT GROUPE]:[CHARGES exceptionnels (BONUS, sinistres)]])</f>
        <v>-371498.47682688775</v>
      </c>
      <c r="P50" s="354">
        <f>VLOOKUP(Tableau1315[[#This Row],[PARCS]],Tableau16[],10,FALSE)</f>
        <v>-309548</v>
      </c>
      <c r="Q50" s="350">
        <f>VLOOKUP(Tableau1315[[#This Row],[PARCS]],Tableau16[],18,FALSE)</f>
        <v>-161881</v>
      </c>
      <c r="R50" s="350">
        <f>VLOOKUP(Tableau1315[[#This Row],[PARCS]],Tableau16[],19,FALSE)</f>
        <v>0</v>
      </c>
      <c r="S50" s="20">
        <f>VLOOKUP(Tableau1315[[#This Row],[PARCS]],Tableau16[],28,FALSE)</f>
        <v>-196529</v>
      </c>
      <c r="T50" s="20">
        <f>VLOOKUP(Tableau1315[[#This Row],[PARCS]],Tableau16[],36,FALSE)</f>
        <v>0</v>
      </c>
      <c r="U50" s="20">
        <f>VLOOKUP(Tableau1315[[#This Row],[PARCS]],Tableau16[],37,FALSE)</f>
        <v>0</v>
      </c>
      <c r="V50" s="467">
        <f>SUM(Tableau1315[[#This Row],[CONTRAT O&amp;M FORFAIT GROUPE2]:[CHARGES exceptionnels (BONUS, sinistres)7]])</f>
        <v>-667958</v>
      </c>
      <c r="W50" s="354">
        <f>VLOOKUP(Tableau1315[[#This Row],[PARCS]],Tableau17[],10,FALSE)</f>
        <v>-317286.69999999995</v>
      </c>
      <c r="X50" s="350">
        <f>VLOOKUP(Tableau1315[[#This Row],[PARCS]],Tableau17[],18,FALSE)</f>
        <v>-162550</v>
      </c>
      <c r="Y50" s="350">
        <f>VLOOKUP(Tableau1315[[#This Row],[PARCS]],Tableau17[],19,FALSE)</f>
        <v>0</v>
      </c>
      <c r="Z50" s="350">
        <f>VLOOKUP(Tableau1315[[#This Row],[PARCS]],Tableau17[],28,FALSE)</f>
        <v>-4800</v>
      </c>
      <c r="AA50" s="350">
        <f>VLOOKUP(Tableau1315[[#This Row],[PARCS]],Tableau17[],36,FALSE)</f>
        <v>0</v>
      </c>
      <c r="AB50" s="252">
        <f>VLOOKUP(Tableau1315[[#This Row],[PARCS]],Tableau17[],37,FALSE)</f>
        <v>0</v>
      </c>
      <c r="AC50" s="468">
        <f>SUM(Tableau1315[[#This Row],[CONTRAT O&amp;M FORFAIT GROUPE22]:[CHARGES exceptionnels (BONUS, sinistres)77]])</f>
        <v>-484636.69999999995</v>
      </c>
      <c r="AD50" s="252">
        <f>Tableau1315[[#This Row],[TOTAL LE3]]-Tableau1315[[#This Row],[TOTAL BN-1]]</f>
        <v>-296459.52317311225</v>
      </c>
      <c r="AE50" s="351">
        <f>IFERROR((Tableau1315[[#This Row],[TOTAL LE3]]-Tableau1315[[#This Row],[TOTAL BN-1]])/Tableau1315[[#This Row],[TOTAL BN-1]],"")</f>
        <v>0.79801006374316186</v>
      </c>
      <c r="AF50" s="252">
        <f>Tableau1315[[#This Row],[TOTAL BN+1]]-Tableau1315[[#This Row],[TOTAL LE3]]</f>
        <v>183321.30000000005</v>
      </c>
      <c r="AG50" s="351">
        <f>IFERROR((Tableau1315[[#This Row],[TOTAL BN+1]]-Tableau1315[[#This Row],[TOTAL LE3]])/Tableau1315[[#This Row],[TOTAL LE3]],"")</f>
        <v>-0.27445033969201665</v>
      </c>
    </row>
    <row r="51" spans="1:34" hidden="1">
      <c r="A51" s="463" t="s">
        <v>608</v>
      </c>
      <c r="B51" s="464" t="str">
        <f>VLOOKUP(Tableau1315[[#This Row],[PARCS]],Tableau106[],3,FALSE)</f>
        <v>A257</v>
      </c>
      <c r="C51" s="464" t="str">
        <f>VLOOKUP(Tableau1315[[#This Row],[PARCS]],Tableau106[],2,FALSE)</f>
        <v>FR69S05E</v>
      </c>
      <c r="D51" s="465" t="str">
        <f>VLOOKUP(Tableau1315[[#This Row],[PARCS]],Tableau106[],8,FALSE)</f>
        <v>SOLAIRE</v>
      </c>
      <c r="E51" s="465" t="str">
        <f>VLOOKUP(A51,Tableau106[[#Headers],[#Data]],6,FALSE)</f>
        <v>S</v>
      </c>
      <c r="F51" s="466" t="str">
        <f>VLOOKUP(Tableau1315[[#This Row],[PARCS]],Tableau106[],5,FALSE)</f>
        <v>SREG</v>
      </c>
      <c r="G51" s="464" t="str">
        <f>VLOOKUP(Tableau1315[[#This Row],[PARCS]],Tableau106[],7,FALSE)</f>
        <v>GROUPE</v>
      </c>
      <c r="H51" s="464" t="str">
        <f>VLOOKUP(Tableau1315[[#This Row],[PARCS]],Tableau106[],9,FALSE)</f>
        <v>ArB</v>
      </c>
      <c r="I51" s="350">
        <f>IFERROR(VLOOKUP(Tableau1315[[#This Row],[PARCS]],Tableau15[],10,FALSE),"")</f>
        <v>-25500</v>
      </c>
      <c r="J51" s="20">
        <f>IFERROR(VLOOKUP(Tableau1315[[#This Row],[PARCS]],Tableau15[],18,FALSE),"")</f>
        <v>-5000</v>
      </c>
      <c r="K51" s="252">
        <f>IFERROR(VLOOKUP(Tableau1315[[#This Row],[PARCS]],Tableau15[],19,FALSE),"")</f>
        <v>0</v>
      </c>
      <c r="L51" s="20">
        <f>IFERROR(VLOOKUP(Tableau1315[[#This Row],[PARCS]],Tableau15[],28,FALSE),"")</f>
        <v>-2500</v>
      </c>
      <c r="M51" s="252">
        <f>IFERROR(VLOOKUP(Tableau1315[[#This Row],[PARCS]],Tableau15[],36,FALSE),"")</f>
        <v>0</v>
      </c>
      <c r="N51" s="252">
        <f>IFERROR(VLOOKUP(Tableau1315[[#This Row],[PARCS]],Tableau15[],37,FALSE),"")</f>
        <v>0</v>
      </c>
      <c r="O51" s="467">
        <f>SUM(Tableau1315[[#This Row],[CONTRAT O&amp;M FORFAIT GROUPE]:[CHARGES exceptionnels (BONUS, sinistres)]])</f>
        <v>-33000</v>
      </c>
      <c r="P51" s="354">
        <f>VLOOKUP(Tableau1315[[#This Row],[PARCS]],Tableau16[],10,FALSE)</f>
        <v>0</v>
      </c>
      <c r="Q51" s="252">
        <f>VLOOKUP(Tableau1315[[#This Row],[PARCS]],Tableau16[],18,FALSE)</f>
        <v>-1250</v>
      </c>
      <c r="R51" s="252">
        <f>VLOOKUP(Tableau1315[[#This Row],[PARCS]],Tableau16[],19,FALSE)</f>
        <v>-40000</v>
      </c>
      <c r="S51" s="252">
        <f>VLOOKUP(Tableau1315[[#This Row],[PARCS]],Tableau16[],28,FALSE)</f>
        <v>-4850</v>
      </c>
      <c r="T51" s="252">
        <f>VLOOKUP(Tableau1315[[#This Row],[PARCS]],Tableau16[],36,FALSE)</f>
        <v>0</v>
      </c>
      <c r="U51" s="252">
        <f>VLOOKUP(Tableau1315[[#This Row],[PARCS]],Tableau16[],37,FALSE)</f>
        <v>0</v>
      </c>
      <c r="V51" s="467">
        <f>SUM(Tableau1315[[#This Row],[CONTRAT O&amp;M FORFAIT GROUPE2]:[CHARGES exceptionnels (BONUS, sinistres)7]])</f>
        <v>-46100</v>
      </c>
      <c r="W51" s="354">
        <f>VLOOKUP(Tableau1315[[#This Row],[PARCS]],Tableau17[],10,FALSE)</f>
        <v>0</v>
      </c>
      <c r="X51" s="252">
        <f>VLOOKUP(Tableau1315[[#This Row],[PARCS]],Tableau17[],18,FALSE)</f>
        <v>-2666</v>
      </c>
      <c r="Y51" s="252">
        <f>VLOOKUP(Tableau1315[[#This Row],[PARCS]],Tableau17[],19,FALSE)</f>
        <v>-41000</v>
      </c>
      <c r="Z51" s="252">
        <f>VLOOKUP(Tableau1315[[#This Row],[PARCS]],Tableau17[],28,FALSE)</f>
        <v>-3350</v>
      </c>
      <c r="AA51" s="252">
        <f>VLOOKUP(Tableau1315[[#This Row],[PARCS]],Tableau17[],36,FALSE)</f>
        <v>0</v>
      </c>
      <c r="AB51" s="252">
        <f>VLOOKUP(Tableau1315[[#This Row],[PARCS]],Tableau17[],37,FALSE)</f>
        <v>0</v>
      </c>
      <c r="AC51" s="468">
        <f>SUM(Tableau1315[[#This Row],[CONTRAT O&amp;M FORFAIT GROUPE22]:[CHARGES exceptionnels (BONUS, sinistres)77]])</f>
        <v>-47016</v>
      </c>
      <c r="AD51" s="252">
        <f>Tableau1315[[#This Row],[TOTAL LE3]]-Tableau1315[[#This Row],[TOTAL BN-1]]</f>
        <v>-13100</v>
      </c>
      <c r="AE51" s="351">
        <f>IFERROR((Tableau1315[[#This Row],[TOTAL LE3]]-Tableau1315[[#This Row],[TOTAL BN-1]])/Tableau1315[[#This Row],[TOTAL BN-1]],"")</f>
        <v>0.39696969696969697</v>
      </c>
      <c r="AF51" s="252">
        <f>Tableau1315[[#This Row],[TOTAL BN+1]]-Tableau1315[[#This Row],[TOTAL LE3]]</f>
        <v>-916</v>
      </c>
      <c r="AG51" s="351">
        <f>IFERROR((Tableau1315[[#This Row],[TOTAL BN+1]]-Tableau1315[[#This Row],[TOTAL LE3]])/Tableau1315[[#This Row],[TOTAL LE3]],"")</f>
        <v>1.9869848156182212E-2</v>
      </c>
      <c r="AH51" s="6" t="s">
        <v>726</v>
      </c>
    </row>
    <row r="52" spans="1:34" hidden="1">
      <c r="A52" s="463" t="s">
        <v>454</v>
      </c>
      <c r="B52" s="464" t="str">
        <f>VLOOKUP(Tableau1315[[#This Row],[PARCS]],Tableau106[],3,FALSE)</f>
        <v>A295</v>
      </c>
      <c r="C52" s="464" t="str">
        <f>VLOOKUP(Tableau1315[[#This Row],[PARCS]],Tableau106[],2,FALSE)</f>
        <v>FR85S02E</v>
      </c>
      <c r="D52" s="465" t="str">
        <f>VLOOKUP(Tableau1315[[#This Row],[PARCS]],Tableau106[],8,FALSE)</f>
        <v>SOLAIRE</v>
      </c>
      <c r="E52" s="465" t="str">
        <f>VLOOKUP(A52,Tableau106[[#Headers],[#Data]],6,FALSE)</f>
        <v>N</v>
      </c>
      <c r="F52" s="466" t="str">
        <f>VLOOKUP(Tableau1315[[#This Row],[PARCS]],Tableau106[],5,FALSE)</f>
        <v>BEAU</v>
      </c>
      <c r="G52" s="464" t="str">
        <f>VLOOKUP(Tableau1315[[#This Row],[PARCS]],Tableau106[],7,FALSE)</f>
        <v>GROUPE</v>
      </c>
      <c r="H52" s="464" t="str">
        <f>VLOOKUP(Tableau1315[[#This Row],[PARCS]],Tableau106[],9,FALSE)</f>
        <v>ZaA</v>
      </c>
      <c r="I52" s="350">
        <f>IFERROR(VLOOKUP(Tableau1315[[#This Row],[PARCS]],Tableau15[],10,FALSE),"")</f>
        <v>-65025</v>
      </c>
      <c r="J52" s="20">
        <f>IFERROR(VLOOKUP(Tableau1315[[#This Row],[PARCS]],Tableau15[],18,FALSE),"")</f>
        <v>-12750</v>
      </c>
      <c r="K52" s="252">
        <f>IFERROR(VLOOKUP(Tableau1315[[#This Row],[PARCS]],Tableau15[],19,FALSE),"")</f>
        <v>0</v>
      </c>
      <c r="L52" s="20">
        <f>IFERROR(VLOOKUP(Tableau1315[[#This Row],[PARCS]],Tableau15[],28,FALSE),"")</f>
        <v>-6375</v>
      </c>
      <c r="M52" s="252">
        <f>IFERROR(VLOOKUP(Tableau1315[[#This Row],[PARCS]],Tableau15[],36,FALSE),"")</f>
        <v>-5000</v>
      </c>
      <c r="N52" s="252">
        <f>IFERROR(VLOOKUP(Tableau1315[[#This Row],[PARCS]],Tableau15[],37,FALSE),"")</f>
        <v>0</v>
      </c>
      <c r="O52" s="467">
        <f>SUM(Tableau1315[[#This Row],[CONTRAT O&amp;M FORFAIT GROUPE]:[CHARGES exceptionnels (BONUS, sinistres)]])</f>
        <v>-89150</v>
      </c>
      <c r="P52" s="354">
        <f>VLOOKUP(Tableau1315[[#This Row],[PARCS]],Tableau16[],10,FALSE)</f>
        <v>-98000</v>
      </c>
      <c r="Q52" s="350">
        <f>VLOOKUP(Tableau1315[[#This Row],[PARCS]],Tableau16[],18,FALSE)</f>
        <v>-14700</v>
      </c>
      <c r="R52" s="350">
        <f>VLOOKUP(Tableau1315[[#This Row],[PARCS]],Tableau16[],19,FALSE)</f>
        <v>0</v>
      </c>
      <c r="S52" s="20">
        <f>VLOOKUP(Tableau1315[[#This Row],[PARCS]],Tableau16[],28,FALSE)</f>
        <v>-3840</v>
      </c>
      <c r="T52" s="20">
        <f>VLOOKUP(Tableau1315[[#This Row],[PARCS]],Tableau16[],36,FALSE)</f>
        <v>-7187.5</v>
      </c>
      <c r="U52" s="20">
        <f>VLOOKUP(Tableau1315[[#This Row],[PARCS]],Tableau16[],37,FALSE)</f>
        <v>0</v>
      </c>
      <c r="V52" s="467">
        <f>SUM(Tableau1315[[#This Row],[CONTRAT O&amp;M FORFAIT GROUPE2]:[CHARGES exceptionnels (BONUS, sinistres)7]])</f>
        <v>-123727.5</v>
      </c>
      <c r="W52" s="354">
        <f>VLOOKUP(Tableau1315[[#This Row],[PARCS]],Tableau17[],10,FALSE)</f>
        <v>-100449.99999999999</v>
      </c>
      <c r="X52" s="350">
        <f>VLOOKUP(Tableau1315[[#This Row],[PARCS]],Tableau17[],18,FALSE)</f>
        <v>-3200</v>
      </c>
      <c r="Y52" s="350">
        <f>VLOOKUP(Tableau1315[[#This Row],[PARCS]],Tableau17[],19,FALSE)</f>
        <v>0</v>
      </c>
      <c r="Z52" s="350">
        <f>VLOOKUP(Tableau1315[[#This Row],[PARCS]],Tableau17[],28,FALSE)</f>
        <v>-3200</v>
      </c>
      <c r="AA52" s="350">
        <f>VLOOKUP(Tableau1315[[#This Row],[PARCS]],Tableau17[],36,FALSE)</f>
        <v>-5580</v>
      </c>
      <c r="AB52" s="252">
        <f>VLOOKUP(Tableau1315[[#This Row],[PARCS]],Tableau17[],37,FALSE)</f>
        <v>0</v>
      </c>
      <c r="AC52" s="468">
        <f>SUM(Tableau1315[[#This Row],[CONTRAT O&amp;M FORFAIT GROUPE22]:[CHARGES exceptionnels (BONUS, sinistres)77]])</f>
        <v>-112429.99999999999</v>
      </c>
      <c r="AD52" s="252">
        <f>Tableau1315[[#This Row],[TOTAL LE3]]-Tableau1315[[#This Row],[TOTAL BN-1]]</f>
        <v>-34577.5</v>
      </c>
      <c r="AE52" s="351">
        <f>IFERROR((Tableau1315[[#This Row],[TOTAL LE3]]-Tableau1315[[#This Row],[TOTAL BN-1]])/Tableau1315[[#This Row],[TOTAL BN-1]],"")</f>
        <v>0.38785754346606843</v>
      </c>
      <c r="AF52" s="252">
        <f>Tableau1315[[#This Row],[TOTAL BN+1]]-Tableau1315[[#This Row],[TOTAL LE3]]</f>
        <v>11297.500000000015</v>
      </c>
      <c r="AG52" s="351">
        <f>IFERROR((Tableau1315[[#This Row],[TOTAL BN+1]]-Tableau1315[[#This Row],[TOTAL LE3]])/Tableau1315[[#This Row],[TOTAL LE3]],"")</f>
        <v>-9.1309531025843202E-2</v>
      </c>
    </row>
    <row r="53" spans="1:34">
      <c r="A53" s="463" t="s">
        <v>118</v>
      </c>
      <c r="B53" s="464" t="str">
        <f>VLOOKUP(Tableau1315[[#This Row],[PARCS]],Tableau106[],3,FALSE)</f>
        <v>F142</v>
      </c>
      <c r="C53" s="464" t="str">
        <f>VLOOKUP(Tableau1315[[#This Row],[PARCS]],Tableau106[],2,FALSE)</f>
        <v>FR55E14E</v>
      </c>
      <c r="D53" s="465" t="str">
        <f>VLOOKUP(Tableau1315[[#This Row],[PARCS]],Tableau106[],8,FALSE)</f>
        <v>EOLIEN</v>
      </c>
      <c r="E53" s="465" t="str">
        <f>VLOOKUP(A53,Tableau106[[#Headers],[#Data]],6,FALSE)</f>
        <v>N</v>
      </c>
      <c r="F53" s="466" t="str">
        <f>VLOOKUP(Tableau1315[[#This Row],[PARCS]],Tableau106[],5,FALSE)</f>
        <v>DEM1, DEM2</v>
      </c>
      <c r="G53" s="464" t="str">
        <f>VLOOKUP(Tableau1315[[#This Row],[PARCS]],Tableau106[],7,FALSE)</f>
        <v>FUTUREN</v>
      </c>
      <c r="H53" s="464" t="str">
        <f>VLOOKUP(Tableau1315[[#This Row],[PARCS]],Tableau106[],9,FALSE)</f>
        <v>NiL</v>
      </c>
      <c r="I53" s="350">
        <f>IFERROR(VLOOKUP(Tableau1315[[#This Row],[PARCS]],Tableau15[],10,FALSE),"")</f>
        <v>-12462.36</v>
      </c>
      <c r="J53" s="20">
        <f>IFERROR(VLOOKUP(Tableau1315[[#This Row],[PARCS]],Tableau15[],18,FALSE),"")</f>
        <v>-19800</v>
      </c>
      <c r="K53" s="252">
        <f>IFERROR(VLOOKUP(Tableau1315[[#This Row],[PARCS]],Tableau15[],19,FALSE),"")</f>
        <v>-333067.34259999997</v>
      </c>
      <c r="L53" s="20">
        <f>IFERROR(VLOOKUP(Tableau1315[[#This Row],[PARCS]],Tableau15[],28,FALSE),"")</f>
        <v>-13500</v>
      </c>
      <c r="M53" s="252">
        <f>IFERROR(VLOOKUP(Tableau1315[[#This Row],[PARCS]],Tableau15[],36,FALSE),"")</f>
        <v>-20000</v>
      </c>
      <c r="N53" s="252">
        <f>IFERROR(VLOOKUP(Tableau1315[[#This Row],[PARCS]],Tableau15[],37,FALSE),"")</f>
        <v>0</v>
      </c>
      <c r="O53" s="467">
        <f>SUM(Tableau1315[[#This Row],[CONTRAT O&amp;M FORFAIT GROUPE]:[CHARGES exceptionnels (BONUS, sinistres)]])</f>
        <v>-398829.70259999996</v>
      </c>
      <c r="P53" s="354">
        <f>VLOOKUP(Tableau1315[[#This Row],[PARCS]],Tableau16[],10,FALSE)</f>
        <v>-12533</v>
      </c>
      <c r="Q53" s="350">
        <f>VLOOKUP(Tableau1315[[#This Row],[PARCS]],Tableau16[],18,FALSE)</f>
        <v>-13626</v>
      </c>
      <c r="R53" s="350">
        <f>VLOOKUP(Tableau1315[[#This Row],[PARCS]],Tableau16[],19,FALSE)</f>
        <v>-331854</v>
      </c>
      <c r="S53" s="20">
        <f>VLOOKUP(Tableau1315[[#This Row],[PARCS]],Tableau16[],28,FALSE)</f>
        <v>-16356</v>
      </c>
      <c r="T53" s="20">
        <f>VLOOKUP(Tableau1315[[#This Row],[PARCS]],Tableau16[],36,FALSE)</f>
        <v>0</v>
      </c>
      <c r="U53" s="20">
        <f>VLOOKUP(Tableau1315[[#This Row],[PARCS]],Tableau16[],37,FALSE)</f>
        <v>0</v>
      </c>
      <c r="V53" s="467">
        <f>SUM(Tableau1315[[#This Row],[CONTRAT O&amp;M FORFAIT GROUPE2]:[CHARGES exceptionnels (BONUS, sinistres)7]])</f>
        <v>-374369</v>
      </c>
      <c r="W53" s="354">
        <f>VLOOKUP(Tableau1315[[#This Row],[PARCS]],Tableau17[],10,FALSE)</f>
        <v>-12846.324999999999</v>
      </c>
      <c r="X53" s="350">
        <f>VLOOKUP(Tableau1315[[#This Row],[PARCS]],Tableau17[],18,FALSE)</f>
        <v>-14000</v>
      </c>
      <c r="Y53" s="350">
        <f>VLOOKUP(Tableau1315[[#This Row],[PARCS]],Tableau17[],19,FALSE)</f>
        <v>-340150.35</v>
      </c>
      <c r="Z53" s="350">
        <f>VLOOKUP(Tableau1315[[#This Row],[PARCS]],Tableau17[],28,FALSE)</f>
        <v>-11600</v>
      </c>
      <c r="AA53" s="350">
        <f>VLOOKUP(Tableau1315[[#This Row],[PARCS]],Tableau17[],36,FALSE)</f>
        <v>0</v>
      </c>
      <c r="AB53" s="252">
        <f>VLOOKUP(Tableau1315[[#This Row],[PARCS]],Tableau17[],37,FALSE)</f>
        <v>0</v>
      </c>
      <c r="AC53" s="468">
        <f>SUM(Tableau1315[[#This Row],[CONTRAT O&amp;M FORFAIT GROUPE22]:[CHARGES exceptionnels (BONUS, sinistres)77]])</f>
        <v>-378596.67499999999</v>
      </c>
      <c r="AD53" s="252">
        <f>Tableau1315[[#This Row],[TOTAL LE3]]-Tableau1315[[#This Row],[TOTAL BN-1]]</f>
        <v>24460.702599999961</v>
      </c>
      <c r="AE53" s="351">
        <f>IFERROR((Tableau1315[[#This Row],[TOTAL LE3]]-Tableau1315[[#This Row],[TOTAL BN-1]])/Tableau1315[[#This Row],[TOTAL BN-1]],"")</f>
        <v>-6.1331195847598247E-2</v>
      </c>
      <c r="AF53" s="252">
        <f>Tableau1315[[#This Row],[TOTAL BN+1]]-Tableau1315[[#This Row],[TOTAL LE3]]</f>
        <v>-4227.6749999999884</v>
      </c>
      <c r="AG53" s="351">
        <f>IFERROR((Tableau1315[[#This Row],[TOTAL BN+1]]-Tableau1315[[#This Row],[TOTAL LE3]])/Tableau1315[[#This Row],[TOTAL LE3]],"")</f>
        <v>1.1292802021534872E-2</v>
      </c>
    </row>
    <row r="54" spans="1:34" hidden="1">
      <c r="A54" s="463" t="s">
        <v>482</v>
      </c>
      <c r="B54" s="464" t="str">
        <f>VLOOKUP(Tableau1315[[#This Row],[PARCS]],Tableau106[],3,FALSE)</f>
        <v>A418</v>
      </c>
      <c r="C54" s="464" t="str">
        <f>VLOOKUP(Tableau1315[[#This Row],[PARCS]],Tableau106[],2,FALSE)</f>
        <v>FR87E03E</v>
      </c>
      <c r="D54" s="465" t="str">
        <f>VLOOKUP(Tableau1315[[#This Row],[PARCS]],Tableau106[],8,FALSE)</f>
        <v>EOLIEN</v>
      </c>
      <c r="E54" s="465" t="str">
        <f>VLOOKUP(A54,Tableau106[[#Headers],[#Data]],6,FALSE)</f>
        <v>S</v>
      </c>
      <c r="F54" s="466" t="str">
        <f>VLOOKUP(Tableau1315[[#This Row],[PARCS]],Tableau106[],5,FALSE)</f>
        <v>ROUS</v>
      </c>
      <c r="G54" s="464" t="str">
        <f>VLOOKUP(Tableau1315[[#This Row],[PARCS]],Tableau106[],7,FALSE)</f>
        <v>GROUPE</v>
      </c>
      <c r="H54" s="464" t="str">
        <f>VLOOKUP(Tableau1315[[#This Row],[PARCS]],Tableau106[],9,FALSE)</f>
        <v>KéC</v>
      </c>
      <c r="I54" s="350">
        <f>IFERROR(VLOOKUP(Tableau1315[[#This Row],[PARCS]],Tableau15[],10,FALSE),"")</f>
        <v>0</v>
      </c>
      <c r="J54" s="20">
        <f>IFERROR(VLOOKUP(Tableau1315[[#This Row],[PARCS]],Tableau15[],18,FALSE),"")</f>
        <v>-20250</v>
      </c>
      <c r="K54" s="252">
        <f>IFERROR(VLOOKUP(Tableau1315[[#This Row],[PARCS]],Tableau15[],19,FALSE),"")</f>
        <v>-186569.8793</v>
      </c>
      <c r="L54" s="20">
        <f>IFERROR(VLOOKUP(Tableau1315[[#This Row],[PARCS]],Tableau15[],28,FALSE),"")</f>
        <v>-8500</v>
      </c>
      <c r="M54" s="252">
        <f>IFERROR(VLOOKUP(Tableau1315[[#This Row],[PARCS]],Tableau15[],36,FALSE),"")</f>
        <v>-46442</v>
      </c>
      <c r="N54" s="252">
        <f>IFERROR(VLOOKUP(Tableau1315[[#This Row],[PARCS]],Tableau15[],37,FALSE),"")</f>
        <v>0</v>
      </c>
      <c r="O54" s="467">
        <f>SUM(Tableau1315[[#This Row],[CONTRAT O&amp;M FORFAIT GROUPE]:[CHARGES exceptionnels (BONUS, sinistres)]])</f>
        <v>-261761.8793</v>
      </c>
      <c r="P54" s="354">
        <f>VLOOKUP(Tableau1315[[#This Row],[PARCS]],Tableau16[],10,FALSE)</f>
        <v>0</v>
      </c>
      <c r="Q54" s="252">
        <f>VLOOKUP(Tableau1315[[#This Row],[PARCS]],Tableau16[],18,FALSE)</f>
        <v>-10822</v>
      </c>
      <c r="R54" s="252">
        <f>VLOOKUP(Tableau1315[[#This Row],[PARCS]],Tableau16[],19,FALSE)</f>
        <v>-222303</v>
      </c>
      <c r="S54" s="252">
        <f>VLOOKUP(Tableau1315[[#This Row],[PARCS]],Tableau16[],28,FALSE)</f>
        <v>-19957.254133308001</v>
      </c>
      <c r="T54" s="252">
        <f>VLOOKUP(Tableau1315[[#This Row],[PARCS]],Tableau16[],36,FALSE)</f>
        <v>-68459.03</v>
      </c>
      <c r="U54" s="252">
        <f>VLOOKUP(Tableau1315[[#This Row],[PARCS]],Tableau16[],37,FALSE)</f>
        <v>-5000</v>
      </c>
      <c r="V54" s="467">
        <f>SUM(Tableau1315[[#This Row],[CONTRAT O&amp;M FORFAIT GROUPE2]:[CHARGES exceptionnels (BONUS, sinistres)7]])</f>
        <v>-326541.28413330799</v>
      </c>
      <c r="W54" s="354">
        <f>VLOOKUP(Tableau1315[[#This Row],[PARCS]],Tableau17[],10,FALSE)</f>
        <v>0</v>
      </c>
      <c r="X54" s="252">
        <f>VLOOKUP(Tableau1315[[#This Row],[PARCS]],Tableau17[],18,FALSE)</f>
        <v>-10350</v>
      </c>
      <c r="Y54" s="252">
        <f>VLOOKUP(Tableau1315[[#This Row],[PARCS]],Tableau17[],19,FALSE)</f>
        <v>-227860.57499999998</v>
      </c>
      <c r="Z54" s="252">
        <f>VLOOKUP(Tableau1315[[#This Row],[PARCS]],Tableau17[],28,FALSE)</f>
        <v>-21803.732894000001</v>
      </c>
      <c r="AA54" s="252">
        <f>VLOOKUP(Tableau1315[[#This Row],[PARCS]],Tableau17[],36,FALSE)</f>
        <v>-52017.03</v>
      </c>
      <c r="AB54" s="252">
        <f>VLOOKUP(Tableau1315[[#This Row],[PARCS]],Tableau17[],37,FALSE)</f>
        <v>0</v>
      </c>
      <c r="AC54" s="468">
        <f>SUM(Tableau1315[[#This Row],[CONTRAT O&amp;M FORFAIT GROUPE22]:[CHARGES exceptionnels (BONUS, sinistres)77]])</f>
        <v>-312031.337894</v>
      </c>
      <c r="AD54" s="252">
        <f>Tableau1315[[#This Row],[TOTAL LE3]]-Tableau1315[[#This Row],[TOTAL BN-1]]</f>
        <v>-64779.404833307985</v>
      </c>
      <c r="AE54" s="351">
        <f>IFERROR((Tableau1315[[#This Row],[TOTAL LE3]]-Tableau1315[[#This Row],[TOTAL BN-1]])/Tableau1315[[#This Row],[TOTAL BN-1]],"")</f>
        <v>0.24747455590760645</v>
      </c>
      <c r="AF54" s="252">
        <f>Tableau1315[[#This Row],[TOTAL BN+1]]-Tableau1315[[#This Row],[TOTAL LE3]]</f>
        <v>14509.946239307988</v>
      </c>
      <c r="AG54" s="351">
        <f>IFERROR((Tableau1315[[#This Row],[TOTAL BN+1]]-Tableau1315[[#This Row],[TOTAL LE3]])/Tableau1315[[#This Row],[TOTAL LE3]],"")</f>
        <v>-4.4435258095525877E-2</v>
      </c>
      <c r="AH54" s="469" t="s">
        <v>732</v>
      </c>
    </row>
    <row r="55" spans="1:34" hidden="1">
      <c r="A55" s="463" t="s">
        <v>131</v>
      </c>
      <c r="B55" s="464" t="str">
        <f>VLOOKUP(Tableau1315[[#This Row],[PARCS]],Tableau106[],3,FALSE)</f>
        <v>A257</v>
      </c>
      <c r="C55" s="464" t="str">
        <f>VLOOKUP(Tableau1315[[#This Row],[PARCS]],Tableau106[],2,FALSE)</f>
        <v>FR11S07E</v>
      </c>
      <c r="D55" s="465" t="str">
        <f>VLOOKUP(Tableau1315[[#This Row],[PARCS]],Tableau106[],8,FALSE)</f>
        <v>SOLAIRE</v>
      </c>
      <c r="E55" s="465" t="str">
        <f>VLOOKUP(A55,Tableau106[[#Headers],[#Data]],6,FALSE)</f>
        <v>S</v>
      </c>
      <c r="F55" s="466" t="str">
        <f>VLOOKUP(Tableau1315[[#This Row],[PARCS]],Tableau106[],5,FALSE)</f>
        <v>FEND</v>
      </c>
      <c r="G55" s="464" t="str">
        <f>VLOOKUP(Tableau1315[[#This Row],[PARCS]],Tableau106[],7,FALSE)</f>
        <v>GROUPE</v>
      </c>
      <c r="H55" s="464" t="str">
        <f>VLOOKUP(Tableau1315[[#This Row],[PARCS]],Tableau106[],9,FALSE)</f>
        <v>BaA</v>
      </c>
      <c r="I55" s="350">
        <f>IFERROR(VLOOKUP(Tableau1315[[#This Row],[PARCS]],Tableau15[],10,FALSE),"")</f>
        <v>-24925.74</v>
      </c>
      <c r="J55" s="20">
        <f>IFERROR(VLOOKUP(Tableau1315[[#This Row],[PARCS]],Tableau15[],18,FALSE),"")</f>
        <v>-9200</v>
      </c>
      <c r="K55" s="252">
        <f>IFERROR(VLOOKUP(Tableau1315[[#This Row],[PARCS]],Tableau15[],19,FALSE),"")</f>
        <v>0</v>
      </c>
      <c r="L55" s="20">
        <f>IFERROR(VLOOKUP(Tableau1315[[#This Row],[PARCS]],Tableau15[],28,FALSE),"")</f>
        <v>-2300</v>
      </c>
      <c r="M55" s="252">
        <f>IFERROR(VLOOKUP(Tableau1315[[#This Row],[PARCS]],Tableau15[],36,FALSE),"")</f>
        <v>-2160</v>
      </c>
      <c r="N55" s="252">
        <f>IFERROR(VLOOKUP(Tableau1315[[#This Row],[PARCS]],Tableau15[],37,FALSE),"")</f>
        <v>0</v>
      </c>
      <c r="O55" s="467">
        <f>SUM(Tableau1315[[#This Row],[CONTRAT O&amp;M FORFAIT GROUPE]:[CHARGES exceptionnels (BONUS, sinistres)]])</f>
        <v>-38585.740000000005</v>
      </c>
      <c r="P55" s="354">
        <f>VLOOKUP(Tableau1315[[#This Row],[PARCS]],Tableau16[],10,FALSE)</f>
        <v>-25303</v>
      </c>
      <c r="Q55" s="252">
        <f>VLOOKUP(Tableau1315[[#This Row],[PARCS]],Tableau16[],18,FALSE)</f>
        <v>-5880</v>
      </c>
      <c r="R55" s="252">
        <f>VLOOKUP(Tableau1315[[#This Row],[PARCS]],Tableau16[],19,FALSE)</f>
        <v>0</v>
      </c>
      <c r="S55" s="252">
        <f>VLOOKUP(Tableau1315[[#This Row],[PARCS]],Tableau16[],28,FALSE)</f>
        <v>-19050</v>
      </c>
      <c r="T55" s="252">
        <f>VLOOKUP(Tableau1315[[#This Row],[PARCS]],Tableau16[],36,FALSE)</f>
        <v>-2160</v>
      </c>
      <c r="U55" s="252">
        <f>VLOOKUP(Tableau1315[[#This Row],[PARCS]],Tableau16[],37,FALSE)</f>
        <v>0</v>
      </c>
      <c r="V55" s="467">
        <f>SUM(Tableau1315[[#This Row],[CONTRAT O&amp;M FORFAIT GROUPE2]:[CHARGES exceptionnels (BONUS, sinistres)7]])</f>
        <v>-52393</v>
      </c>
      <c r="W55" s="354">
        <f>VLOOKUP(Tableau1315[[#This Row],[PARCS]],Tableau17[],10,FALSE)</f>
        <v>-25935.574999999997</v>
      </c>
      <c r="X55" s="252">
        <f>VLOOKUP(Tableau1315[[#This Row],[PARCS]],Tableau17[],18,FALSE)</f>
        <v>-3950</v>
      </c>
      <c r="Y55" s="252">
        <f>VLOOKUP(Tableau1315[[#This Row],[PARCS]],Tableau17[],19,FALSE)</f>
        <v>0</v>
      </c>
      <c r="Z55" s="252">
        <f>VLOOKUP(Tableau1315[[#This Row],[PARCS]],Tableau17[],28,FALSE)</f>
        <v>-2550</v>
      </c>
      <c r="AA55" s="252">
        <f>VLOOKUP(Tableau1315[[#This Row],[PARCS]],Tableau17[],36,FALSE)</f>
        <v>-2160</v>
      </c>
      <c r="AB55" s="252">
        <f>VLOOKUP(Tableau1315[[#This Row],[PARCS]],Tableau17[],37,FALSE)</f>
        <v>0</v>
      </c>
      <c r="AC55" s="468">
        <f>SUM(Tableau1315[[#This Row],[CONTRAT O&amp;M FORFAIT GROUPE22]:[CHARGES exceptionnels (BONUS, sinistres)77]])</f>
        <v>-34595.574999999997</v>
      </c>
      <c r="AD55" s="252">
        <f>Tableau1315[[#This Row],[TOTAL LE3]]-Tableau1315[[#This Row],[TOTAL BN-1]]</f>
        <v>-13807.259999999995</v>
      </c>
      <c r="AE55" s="351">
        <f>IFERROR((Tableau1315[[#This Row],[TOTAL LE3]]-Tableau1315[[#This Row],[TOTAL BN-1]])/Tableau1315[[#This Row],[TOTAL BN-1]],"")</f>
        <v>0.35783323061835781</v>
      </c>
      <c r="AF55" s="252">
        <f>Tableau1315[[#This Row],[TOTAL BN+1]]-Tableau1315[[#This Row],[TOTAL LE3]]</f>
        <v>17797.425000000003</v>
      </c>
      <c r="AG55" s="351">
        <f>IFERROR((Tableau1315[[#This Row],[TOTAL BN+1]]-Tableau1315[[#This Row],[TOTAL LE3]])/Tableau1315[[#This Row],[TOTAL LE3]],"")</f>
        <v>-0.33969089382169382</v>
      </c>
      <c r="AH55" s="6" t="s">
        <v>733</v>
      </c>
    </row>
    <row r="56" spans="1:34" hidden="1">
      <c r="A56" s="463" t="s">
        <v>506</v>
      </c>
      <c r="B56" s="464" t="str">
        <f>VLOOKUP(Tableau1315[[#This Row],[PARCS]],Tableau106[],3,FALSE)</f>
        <v>A541</v>
      </c>
      <c r="C56" s="464" t="str">
        <f>VLOOKUP(Tableau1315[[#This Row],[PARCS]],Tableau106[],2,FALSE)</f>
        <v>FR55E03E</v>
      </c>
      <c r="D56" s="465" t="str">
        <f>VLOOKUP(Tableau1315[[#This Row],[PARCS]],Tableau106[],8,FALSE)</f>
        <v>EOLIEN</v>
      </c>
      <c r="E56" s="465" t="str">
        <f>VLOOKUP(A56,Tableau106[[#Headers],[#Data]],6,FALSE)</f>
        <v>N</v>
      </c>
      <c r="F56" s="466" t="str">
        <f>VLOOKUP(Tableau1315[[#This Row],[PARCS]],Tableau106[],5,FALSE)</f>
        <v>ERIZ</v>
      </c>
      <c r="G56" s="464" t="str">
        <f>VLOOKUP(Tableau1315[[#This Row],[PARCS]],Tableau106[],7,FALSE)</f>
        <v>EGM</v>
      </c>
      <c r="H56" s="464" t="str">
        <f>VLOOKUP(Tableau1315[[#This Row],[PARCS]],Tableau106[],9,FALSE)</f>
        <v>MaA</v>
      </c>
      <c r="I56" s="350">
        <f>IFERROR(VLOOKUP(Tableau1315[[#This Row],[PARCS]],Tableau15[],10,FALSE),"")</f>
        <v>-307815.93714434805</v>
      </c>
      <c r="J56" s="20">
        <f>IFERROR(VLOOKUP(Tableau1315[[#This Row],[PARCS]],Tableau15[],18,FALSE),"")</f>
        <v>-53554.100529100528</v>
      </c>
      <c r="K56" s="252">
        <f>IFERROR(VLOOKUP(Tableau1315[[#This Row],[PARCS]],Tableau15[],19,FALSE),"")</f>
        <v>0</v>
      </c>
      <c r="L56" s="20">
        <f>IFERROR(VLOOKUP(Tableau1315[[#This Row],[PARCS]],Tableau15[],28,FALSE),"")</f>
        <v>-7750</v>
      </c>
      <c r="M56" s="252">
        <f>IFERROR(VLOOKUP(Tableau1315[[#This Row],[PARCS]],Tableau15[],36,FALSE),"")</f>
        <v>0</v>
      </c>
      <c r="N56" s="252">
        <f>IFERROR(VLOOKUP(Tableau1315[[#This Row],[PARCS]],Tableau15[],37,FALSE),"")</f>
        <v>0</v>
      </c>
      <c r="O56" s="467">
        <f>SUM(Tableau1315[[#This Row],[CONTRAT O&amp;M FORFAIT GROUPE]:[CHARGES exceptionnels (BONUS, sinistres)]])</f>
        <v>-369120.03767344856</v>
      </c>
      <c r="P56" s="354">
        <f>VLOOKUP(Tableau1315[[#This Row],[PARCS]],Tableau16[],10,FALSE)</f>
        <v>-309548</v>
      </c>
      <c r="Q56" s="350">
        <f>VLOOKUP(Tableau1315[[#This Row],[PARCS]],Tableau16[],18,FALSE)</f>
        <v>-171900</v>
      </c>
      <c r="R56" s="350">
        <f>VLOOKUP(Tableau1315[[#This Row],[PARCS]],Tableau16[],19,FALSE)</f>
        <v>0</v>
      </c>
      <c r="S56" s="20">
        <f>VLOOKUP(Tableau1315[[#This Row],[PARCS]],Tableau16[],28,FALSE)</f>
        <v>-6065</v>
      </c>
      <c r="T56" s="20">
        <f>VLOOKUP(Tableau1315[[#This Row],[PARCS]],Tableau16[],36,FALSE)</f>
        <v>0</v>
      </c>
      <c r="U56" s="20">
        <f>VLOOKUP(Tableau1315[[#This Row],[PARCS]],Tableau16[],37,FALSE)</f>
        <v>-13580</v>
      </c>
      <c r="V56" s="467">
        <f>SUM(Tableau1315[[#This Row],[CONTRAT O&amp;M FORFAIT GROUPE2]:[CHARGES exceptionnels (BONUS, sinistres)7]])</f>
        <v>-501093</v>
      </c>
      <c r="W56" s="354">
        <f>VLOOKUP(Tableau1315[[#This Row],[PARCS]],Tableau17[],10,FALSE)</f>
        <v>-317286.69999999995</v>
      </c>
      <c r="X56" s="350">
        <f>VLOOKUP(Tableau1315[[#This Row],[PARCS]],Tableau17[],18,FALSE)</f>
        <v>-92690</v>
      </c>
      <c r="Y56" s="350">
        <f>VLOOKUP(Tableau1315[[#This Row],[PARCS]],Tableau17[],19,FALSE)</f>
        <v>0</v>
      </c>
      <c r="Z56" s="350">
        <f>VLOOKUP(Tableau1315[[#This Row],[PARCS]],Tableau17[],28,FALSE)</f>
        <v>-4875</v>
      </c>
      <c r="AA56" s="350">
        <f>VLOOKUP(Tableau1315[[#This Row],[PARCS]],Tableau17[],36,FALSE)</f>
        <v>0</v>
      </c>
      <c r="AB56" s="252">
        <f>VLOOKUP(Tableau1315[[#This Row],[PARCS]],Tableau17[],37,FALSE)</f>
        <v>0</v>
      </c>
      <c r="AC56" s="468">
        <f>SUM(Tableau1315[[#This Row],[CONTRAT O&amp;M FORFAIT GROUPE22]:[CHARGES exceptionnels (BONUS, sinistres)77]])</f>
        <v>-414851.69999999995</v>
      </c>
      <c r="AD56" s="252">
        <f>Tableau1315[[#This Row],[TOTAL LE3]]-Tableau1315[[#This Row],[TOTAL BN-1]]</f>
        <v>-131972.96232655144</v>
      </c>
      <c r="AE56" s="351">
        <f>IFERROR((Tableau1315[[#This Row],[TOTAL LE3]]-Tableau1315[[#This Row],[TOTAL BN-1]])/Tableau1315[[#This Row],[TOTAL BN-1]],"")</f>
        <v>0.35753399668674901</v>
      </c>
      <c r="AF56" s="252">
        <f>Tableau1315[[#This Row],[TOTAL BN+1]]-Tableau1315[[#This Row],[TOTAL LE3]]</f>
        <v>86241.300000000047</v>
      </c>
      <c r="AG56" s="351">
        <f>IFERROR((Tableau1315[[#This Row],[TOTAL BN+1]]-Tableau1315[[#This Row],[TOTAL LE3]])/Tableau1315[[#This Row],[TOTAL LE3]],"")</f>
        <v>-0.17210637546323745</v>
      </c>
    </row>
    <row r="57" spans="1:34">
      <c r="A57" s="463" t="s">
        <v>526</v>
      </c>
      <c r="B57" s="464" t="str">
        <f>VLOOKUP(Tableau1315[[#This Row],[PARCS]],Tableau106[],3,FALSE)</f>
        <v>A967</v>
      </c>
      <c r="C57" s="464" t="str">
        <f>VLOOKUP(Tableau1315[[#This Row],[PARCS]],Tableau106[],2,FALSE)</f>
        <v>FR28E97E</v>
      </c>
      <c r="D57" s="465" t="str">
        <f>VLOOKUP(Tableau1315[[#This Row],[PARCS]],Tableau106[],8,FALSE)</f>
        <v>EOLIEN</v>
      </c>
      <c r="E57" s="465" t="str">
        <f>VLOOKUP(A57,Tableau106[[#Headers],[#Data]],6,FALSE)</f>
        <v>N</v>
      </c>
      <c r="F57" s="466" t="str">
        <f>VLOOKUP(Tableau1315[[#This Row],[PARCS]],Tableau106[],5,FALSE)</f>
        <v>ESPS</v>
      </c>
      <c r="G57" s="464" t="str">
        <f>VLOOKUP(Tableau1315[[#This Row],[PARCS]],Tableau106[],7,FALSE)</f>
        <v>FUTUREN</v>
      </c>
      <c r="H57" s="464" t="str">
        <f>VLOOKUP(Tableau1315[[#This Row],[PARCS]],Tableau106[],9,FALSE)</f>
        <v>AlY</v>
      </c>
      <c r="I57" s="350">
        <f>IFERROR(VLOOKUP(Tableau1315[[#This Row],[PARCS]],Tableau15[],10,FALSE),"")</f>
        <v>-23605.591939546593</v>
      </c>
      <c r="J57" s="20">
        <f>IFERROR(VLOOKUP(Tableau1315[[#This Row],[PARCS]],Tableau15[],18,FALSE),"")</f>
        <v>-24300</v>
      </c>
      <c r="K57" s="252">
        <f>IFERROR(VLOOKUP(Tableau1315[[#This Row],[PARCS]],Tableau15[],19,FALSE),"")</f>
        <v>-255827.96437999999</v>
      </c>
      <c r="L57" s="20">
        <f>IFERROR(VLOOKUP(Tableau1315[[#This Row],[PARCS]],Tableau15[],28,FALSE),"")</f>
        <v>-10000</v>
      </c>
      <c r="M57" s="252">
        <f>IFERROR(VLOOKUP(Tableau1315[[#This Row],[PARCS]],Tableau15[],36,FALSE),"")</f>
        <v>-19200</v>
      </c>
      <c r="N57" s="252">
        <f>IFERROR(VLOOKUP(Tableau1315[[#This Row],[PARCS]],Tableau15[],37,FALSE),"")</f>
        <v>0</v>
      </c>
      <c r="O57" s="467">
        <f>SUM(Tableau1315[[#This Row],[CONTRAT O&amp;M FORFAIT GROUPE]:[CHARGES exceptionnels (BONUS, sinistres)]])</f>
        <v>-332933.55631954659</v>
      </c>
      <c r="P57" s="354">
        <f>VLOOKUP(Tableau1315[[#This Row],[PARCS]],Tableau16[],10,FALSE)</f>
        <v>-23738</v>
      </c>
      <c r="Q57" s="350">
        <f>VLOOKUP(Tableau1315[[#This Row],[PARCS]],Tableau16[],18,FALSE)</f>
        <v>-15750</v>
      </c>
      <c r="R57" s="350">
        <f>VLOOKUP(Tableau1315[[#This Row],[PARCS]],Tableau16[],19,FALSE)</f>
        <v>-281447</v>
      </c>
      <c r="S57" s="20">
        <f>VLOOKUP(Tableau1315[[#This Row],[PARCS]],Tableau16[],28,FALSE)</f>
        <v>-11000</v>
      </c>
      <c r="T57" s="20">
        <f>VLOOKUP(Tableau1315[[#This Row],[PARCS]],Tableau16[],36,FALSE)</f>
        <v>-7543.2</v>
      </c>
      <c r="U57" s="20">
        <f>VLOOKUP(Tableau1315[[#This Row],[PARCS]],Tableau16[],37,FALSE)</f>
        <v>-30329</v>
      </c>
      <c r="V57" s="467">
        <f>SUM(Tableau1315[[#This Row],[CONTRAT O&amp;M FORFAIT GROUPE2]:[CHARGES exceptionnels (BONUS, sinistres)7]])</f>
        <v>-369807.2</v>
      </c>
      <c r="W57" s="354">
        <f>VLOOKUP(Tableau1315[[#This Row],[PARCS]],Tableau17[],10,FALSE)</f>
        <v>-24331.449999999997</v>
      </c>
      <c r="X57" s="350">
        <f>VLOOKUP(Tableau1315[[#This Row],[PARCS]],Tableau17[],18,FALSE)</f>
        <v>-12960</v>
      </c>
      <c r="Y57" s="350">
        <f>VLOOKUP(Tableau1315[[#This Row],[PARCS]],Tableau17[],19,FALSE)</f>
        <v>-288483.17499999999</v>
      </c>
      <c r="Z57" s="350">
        <f>VLOOKUP(Tableau1315[[#This Row],[PARCS]],Tableau17[],28,FALSE)</f>
        <v>-9630</v>
      </c>
      <c r="AA57" s="350">
        <f>VLOOKUP(Tableau1315[[#This Row],[PARCS]],Tableau17[],36,FALSE)</f>
        <v>-9247.0999999999985</v>
      </c>
      <c r="AB57" s="252">
        <f>VLOOKUP(Tableau1315[[#This Row],[PARCS]],Tableau17[],37,FALSE)</f>
        <v>0</v>
      </c>
      <c r="AC57" s="468">
        <f>SUM(Tableau1315[[#This Row],[CONTRAT O&amp;M FORFAIT GROUPE22]:[CHARGES exceptionnels (BONUS, sinistres)77]])</f>
        <v>-344651.72499999998</v>
      </c>
      <c r="AD57" s="252">
        <f>Tableau1315[[#This Row],[TOTAL LE3]]-Tableau1315[[#This Row],[TOTAL BN-1]]</f>
        <v>-36873.643680453417</v>
      </c>
      <c r="AE57" s="351">
        <f>IFERROR((Tableau1315[[#This Row],[TOTAL LE3]]-Tableau1315[[#This Row],[TOTAL BN-1]])/Tableau1315[[#This Row],[TOTAL BN-1]],"")</f>
        <v>0.11075376146543316</v>
      </c>
      <c r="AF57" s="252">
        <f>Tableau1315[[#This Row],[TOTAL BN+1]]-Tableau1315[[#This Row],[TOTAL LE3]]</f>
        <v>25155.475000000035</v>
      </c>
      <c r="AG57" s="351">
        <f>IFERROR((Tableau1315[[#This Row],[TOTAL BN+1]]-Tableau1315[[#This Row],[TOTAL LE3]])/Tableau1315[[#This Row],[TOTAL LE3]],"")</f>
        <v>-6.8023215881140325E-2</v>
      </c>
      <c r="AH57" s="6" t="s">
        <v>734</v>
      </c>
    </row>
    <row r="58" spans="1:34" hidden="1">
      <c r="A58" s="463" t="s">
        <v>593</v>
      </c>
      <c r="B58" s="464" t="str">
        <f>VLOOKUP(Tableau1315[[#This Row],[PARCS]],Tableau106[],3,FALSE)</f>
        <v>A258</v>
      </c>
      <c r="C58" s="464" t="str">
        <f>VLOOKUP(Tableau1315[[#This Row],[PARCS]],Tableau106[],2,FALSE)</f>
        <v>FR49S01E</v>
      </c>
      <c r="D58" s="465" t="str">
        <f>VLOOKUP(Tableau1315[[#This Row],[PARCS]],Tableau106[],8,FALSE)</f>
        <v>SOLAIRE</v>
      </c>
      <c r="E58" s="465" t="str">
        <f>VLOOKUP(A58,Tableau106[[#Headers],[#Data]],6,FALSE)</f>
        <v>N</v>
      </c>
      <c r="F58" s="466" t="str">
        <f>VLOOKUP(Tableau1315[[#This Row],[PARCS]],Tableau106[],5,FALSE)</f>
        <v>SAUM</v>
      </c>
      <c r="G58" s="464" t="str">
        <f>VLOOKUP(Tableau1315[[#This Row],[PARCS]],Tableau106[],7,FALSE)</f>
        <v>GROUPE</v>
      </c>
      <c r="H58" s="464" t="str">
        <f>VLOOKUP(Tableau1315[[#This Row],[PARCS]],Tableau106[],9,FALSE)</f>
        <v>ZaA</v>
      </c>
      <c r="I58" s="350">
        <f>IFERROR(VLOOKUP(Tableau1315[[#This Row],[PARCS]],Tableau15[],10,FALSE),"")</f>
        <v>-52479</v>
      </c>
      <c r="J58" s="20">
        <f>IFERROR(VLOOKUP(Tableau1315[[#This Row],[PARCS]],Tableau15[],18,FALSE),"")</f>
        <v>-10290</v>
      </c>
      <c r="K58" s="252">
        <f>IFERROR(VLOOKUP(Tableau1315[[#This Row],[PARCS]],Tableau15[],19,FALSE),"")</f>
        <v>0</v>
      </c>
      <c r="L58" s="20">
        <f>IFERROR(VLOOKUP(Tableau1315[[#This Row],[PARCS]],Tableau15[],28,FALSE),"")</f>
        <v>-5145</v>
      </c>
      <c r="M58" s="252">
        <f>IFERROR(VLOOKUP(Tableau1315[[#This Row],[PARCS]],Tableau15[],36,FALSE),"")</f>
        <v>-5000</v>
      </c>
      <c r="N58" s="252">
        <f>IFERROR(VLOOKUP(Tableau1315[[#This Row],[PARCS]],Tableau15[],37,FALSE),"")</f>
        <v>0</v>
      </c>
      <c r="O58" s="467">
        <f>SUM(Tableau1315[[#This Row],[CONTRAT O&amp;M FORFAIT GROUPE]:[CHARGES exceptionnels (BONUS, sinistres)]])</f>
        <v>-72914</v>
      </c>
      <c r="P58" s="354">
        <f>VLOOKUP(Tableau1315[[#This Row],[PARCS]],Tableau16[],10,FALSE)</f>
        <v>-79100</v>
      </c>
      <c r="Q58" s="252">
        <f>VLOOKUP(Tableau1315[[#This Row],[PARCS]],Tableau16[],18,FALSE)</f>
        <v>-11865</v>
      </c>
      <c r="R58" s="252">
        <f>VLOOKUP(Tableau1315[[#This Row],[PARCS]],Tableau16[],19,FALSE)</f>
        <v>0</v>
      </c>
      <c r="S58" s="252">
        <f>VLOOKUP(Tableau1315[[#This Row],[PARCS]],Tableau16[],28,FALSE)</f>
        <v>-3090</v>
      </c>
      <c r="T58" s="252">
        <f>VLOOKUP(Tableau1315[[#This Row],[PARCS]],Tableau16[],36,FALSE)</f>
        <v>-4450</v>
      </c>
      <c r="U58" s="252">
        <f>VLOOKUP(Tableau1315[[#This Row],[PARCS]],Tableau16[],37,FALSE)</f>
        <v>0</v>
      </c>
      <c r="V58" s="467">
        <f>SUM(Tableau1315[[#This Row],[CONTRAT O&amp;M FORFAIT GROUPE2]:[CHARGES exceptionnels (BONUS, sinistres)7]])</f>
        <v>-98505</v>
      </c>
      <c r="W58" s="354">
        <f>VLOOKUP(Tableau1315[[#This Row],[PARCS]],Tableau17[],10,FALSE)</f>
        <v>-81077.5</v>
      </c>
      <c r="X58" s="252">
        <f>VLOOKUP(Tableau1315[[#This Row],[PARCS]],Tableau17[],18,FALSE)</f>
        <v>-11865</v>
      </c>
      <c r="Y58" s="252">
        <f>VLOOKUP(Tableau1315[[#This Row],[PARCS]],Tableau17[],19,FALSE)</f>
        <v>0</v>
      </c>
      <c r="Z58" s="252">
        <f>VLOOKUP(Tableau1315[[#This Row],[PARCS]],Tableau17[],28,FALSE)</f>
        <v>-2575</v>
      </c>
      <c r="AA58" s="252">
        <f>VLOOKUP(Tableau1315[[#This Row],[PARCS]],Tableau17[],36,FALSE)</f>
        <v>0</v>
      </c>
      <c r="AB58" s="252">
        <f>VLOOKUP(Tableau1315[[#This Row],[PARCS]],Tableau17[],37,FALSE)</f>
        <v>0</v>
      </c>
      <c r="AC58" s="468">
        <f>SUM(Tableau1315[[#This Row],[CONTRAT O&amp;M FORFAIT GROUPE22]:[CHARGES exceptionnels (BONUS, sinistres)77]])</f>
        <v>-95517.5</v>
      </c>
      <c r="AD58" s="252">
        <f>Tableau1315[[#This Row],[TOTAL LE3]]-Tableau1315[[#This Row],[TOTAL BN-1]]</f>
        <v>-25591</v>
      </c>
      <c r="AE58" s="351">
        <f>IFERROR((Tableau1315[[#This Row],[TOTAL LE3]]-Tableau1315[[#This Row],[TOTAL BN-1]])/Tableau1315[[#This Row],[TOTAL BN-1]],"")</f>
        <v>0.35097512137586745</v>
      </c>
      <c r="AF58" s="252">
        <f>Tableau1315[[#This Row],[TOTAL BN+1]]-Tableau1315[[#This Row],[TOTAL LE3]]</f>
        <v>2987.5</v>
      </c>
      <c r="AG58" s="351">
        <f>IFERROR((Tableau1315[[#This Row],[TOTAL BN+1]]-Tableau1315[[#This Row],[TOTAL LE3]])/Tableau1315[[#This Row],[TOTAL LE3]],"")</f>
        <v>-3.0328409725394651E-2</v>
      </c>
    </row>
    <row r="59" spans="1:34" hidden="1">
      <c r="A59" s="463" t="s">
        <v>616</v>
      </c>
      <c r="B59" s="464" t="str">
        <f>VLOOKUP(Tableau1315[[#This Row],[PARCS]],Tableau106[],3,FALSE)</f>
        <v>A895</v>
      </c>
      <c r="C59" s="464" t="str">
        <f>VLOOKUP(Tableau1315[[#This Row],[PARCS]],Tableau106[],2,FALSE)</f>
        <v>FR76E99E</v>
      </c>
      <c r="D59" s="465" t="str">
        <f>VLOOKUP(Tableau1315[[#This Row],[PARCS]],Tableau106[],8,FALSE)</f>
        <v>EOLIEN</v>
      </c>
      <c r="E59" s="465" t="str">
        <f>VLOOKUP(A59,Tableau106[[#Headers],[#Data]],6,FALSE)</f>
        <v>N</v>
      </c>
      <c r="F59" s="466" t="str">
        <f>VLOOKUP(Tableau1315[[#This Row],[PARCS]],Tableau106[],5,FALSE)</f>
        <v>FECA</v>
      </c>
      <c r="G59" s="464" t="str">
        <f>VLOOKUP(Tableau1315[[#This Row],[PARCS]],Tableau106[],7,FALSE)</f>
        <v>GROUPE</v>
      </c>
      <c r="H59" s="464" t="str">
        <f>VLOOKUP(Tableau1315[[#This Row],[PARCS]],Tableau106[],9,FALSE)</f>
        <v>AnN</v>
      </c>
      <c r="I59" s="350">
        <f>IFERROR(VLOOKUP(Tableau1315[[#This Row],[PARCS]],Tableau15[],10,FALSE),"")</f>
        <v>-78030</v>
      </c>
      <c r="J59" s="20">
        <f>IFERROR(VLOOKUP(Tableau1315[[#This Row],[PARCS]],Tableau15[],18,FALSE),"")</f>
        <v>-206460</v>
      </c>
      <c r="K59" s="252">
        <f>IFERROR(VLOOKUP(Tableau1315[[#This Row],[PARCS]],Tableau15[],19,FALSE),"")</f>
        <v>0</v>
      </c>
      <c r="L59" s="20">
        <f>IFERROR(VLOOKUP(Tableau1315[[#This Row],[PARCS]],Tableau15[],28,FALSE),"")</f>
        <v>-3250</v>
      </c>
      <c r="M59" s="252">
        <f>IFERROR(VLOOKUP(Tableau1315[[#This Row],[PARCS]],Tableau15[],36,FALSE),"")</f>
        <v>0</v>
      </c>
      <c r="N59" s="252">
        <f>IFERROR(VLOOKUP(Tableau1315[[#This Row],[PARCS]],Tableau15[],37,FALSE),"")</f>
        <v>0</v>
      </c>
      <c r="O59" s="467">
        <f>SUM(Tableau1315[[#This Row],[CONTRAT O&amp;M FORFAIT GROUPE]:[CHARGES exceptionnels (BONUS, sinistres)]])</f>
        <v>-287740</v>
      </c>
      <c r="P59" s="354">
        <f>VLOOKUP(Tableau1315[[#This Row],[PARCS]],Tableau16[],10,FALSE)</f>
        <v>-78469</v>
      </c>
      <c r="Q59" s="350">
        <f>VLOOKUP(Tableau1315[[#This Row],[PARCS]],Tableau16[],18,FALSE)</f>
        <v>-196435</v>
      </c>
      <c r="R59" s="350">
        <f>VLOOKUP(Tableau1315[[#This Row],[PARCS]],Tableau16[],19,FALSE)</f>
        <v>0</v>
      </c>
      <c r="S59" s="20">
        <f>VLOOKUP(Tableau1315[[#This Row],[PARCS]],Tableau16[],28,FALSE)</f>
        <v>-15875</v>
      </c>
      <c r="T59" s="20">
        <f>VLOOKUP(Tableau1315[[#This Row],[PARCS]],Tableau16[],36,FALSE)</f>
        <v>0</v>
      </c>
      <c r="U59" s="20">
        <f>VLOOKUP(Tableau1315[[#This Row],[PARCS]],Tableau16[],37,FALSE)</f>
        <v>0</v>
      </c>
      <c r="V59" s="467">
        <f>SUM(Tableau1315[[#This Row],[CONTRAT O&amp;M FORFAIT GROUPE2]:[CHARGES exceptionnels (BONUS, sinistres)7]])</f>
        <v>-290779</v>
      </c>
      <c r="W59" s="354">
        <f>VLOOKUP(Tableau1315[[#This Row],[PARCS]],Tableau17[],10,FALSE)</f>
        <v>-80430.724999999991</v>
      </c>
      <c r="X59" s="350">
        <f>VLOOKUP(Tableau1315[[#This Row],[PARCS]],Tableau17[],18,FALSE)</f>
        <v>-201455</v>
      </c>
      <c r="Y59" s="350">
        <f>VLOOKUP(Tableau1315[[#This Row],[PARCS]],Tableau17[],19,FALSE)</f>
        <v>0</v>
      </c>
      <c r="Z59" s="350">
        <f>VLOOKUP(Tableau1315[[#This Row],[PARCS]],Tableau17[],28,FALSE)</f>
        <v>-2125</v>
      </c>
      <c r="AA59" s="350">
        <f>VLOOKUP(Tableau1315[[#This Row],[PARCS]],Tableau17[],36,FALSE)</f>
        <v>0</v>
      </c>
      <c r="AB59" s="252">
        <f>VLOOKUP(Tableau1315[[#This Row],[PARCS]],Tableau17[],37,FALSE)</f>
        <v>0</v>
      </c>
      <c r="AC59" s="468">
        <f>SUM(Tableau1315[[#This Row],[CONTRAT O&amp;M FORFAIT GROUPE22]:[CHARGES exceptionnels (BONUS, sinistres)77]])</f>
        <v>-284010.72499999998</v>
      </c>
      <c r="AD59" s="252">
        <f>Tableau1315[[#This Row],[TOTAL LE3]]-Tableau1315[[#This Row],[TOTAL BN-1]]</f>
        <v>-3039</v>
      </c>
      <c r="AE59" s="351">
        <f>IFERROR((Tableau1315[[#This Row],[TOTAL LE3]]-Tableau1315[[#This Row],[TOTAL BN-1]])/Tableau1315[[#This Row],[TOTAL BN-1]],"")</f>
        <v>1.0561618127476195E-2</v>
      </c>
      <c r="AF59" s="252">
        <f>Tableau1315[[#This Row],[TOTAL BN+1]]-Tableau1315[[#This Row],[TOTAL LE3]]</f>
        <v>6768.2750000000233</v>
      </c>
      <c r="AG59" s="351">
        <f>IFERROR((Tableau1315[[#This Row],[TOTAL BN+1]]-Tableau1315[[#This Row],[TOTAL LE3]])/Tableau1315[[#This Row],[TOTAL LE3]],"")</f>
        <v>-2.327635420714709E-2</v>
      </c>
    </row>
    <row r="60" spans="1:34" hidden="1">
      <c r="A60" s="463" t="s">
        <v>481</v>
      </c>
      <c r="B60" s="464" t="str">
        <f>VLOOKUP(Tableau1315[[#This Row],[PARCS]],Tableau106[],3,FALSE)</f>
        <v>A313</v>
      </c>
      <c r="C60" s="464" t="str">
        <f>VLOOKUP(Tableau1315[[#This Row],[PARCS]],Tableau106[],2,FALSE)</f>
        <v>FR21S03E</v>
      </c>
      <c r="D60" s="465" t="str">
        <f>VLOOKUP(Tableau1315[[#This Row],[PARCS]],Tableau106[],8,FALSE)</f>
        <v>SOLAIRE</v>
      </c>
      <c r="E60" s="465" t="str">
        <f>VLOOKUP(A60,Tableau106[[#Headers],[#Data]],6,FALSE)</f>
        <v>N</v>
      </c>
      <c r="F60" s="466" t="str">
        <f>VLOOKUP(Tableau1315[[#This Row],[PARCS]],Tableau106[],5,FALSE)</f>
        <v>COLB</v>
      </c>
      <c r="G60" s="464" t="str">
        <f>VLOOKUP(Tableau1315[[#This Row],[PARCS]],Tableau106[],7,FALSE)</f>
        <v>GROUPE</v>
      </c>
      <c r="H60" s="464" t="str">
        <f>VLOOKUP(Tableau1315[[#This Row],[PARCS]],Tableau106[],9,FALSE)</f>
        <v>LoG</v>
      </c>
      <c r="I60" s="350">
        <f>IFERROR(VLOOKUP(Tableau1315[[#This Row],[PARCS]],Tableau15[],10,FALSE),"")</f>
        <v>-25000</v>
      </c>
      <c r="J60" s="20">
        <f>IFERROR(VLOOKUP(Tableau1315[[#This Row],[PARCS]],Tableau15[],18,FALSE),"")</f>
        <v>-5000</v>
      </c>
      <c r="K60" s="252">
        <f>IFERROR(VLOOKUP(Tableau1315[[#This Row],[PARCS]],Tableau15[],19,FALSE),"")</f>
        <v>0</v>
      </c>
      <c r="L60" s="20">
        <f>IFERROR(VLOOKUP(Tableau1315[[#This Row],[PARCS]],Tableau15[],28,FALSE),"")</f>
        <v>-2500</v>
      </c>
      <c r="M60" s="252">
        <f>IFERROR(VLOOKUP(Tableau1315[[#This Row],[PARCS]],Tableau15[],36,FALSE),"")</f>
        <v>-14000</v>
      </c>
      <c r="N60" s="252">
        <f>IFERROR(VLOOKUP(Tableau1315[[#This Row],[PARCS]],Tableau15[],37,FALSE),"")</f>
        <v>0</v>
      </c>
      <c r="O60" s="467">
        <f>SUM(Tableau1315[[#This Row],[CONTRAT O&amp;M FORFAIT GROUPE]:[CHARGES exceptionnels (BONUS, sinistres)]])</f>
        <v>-46500</v>
      </c>
      <c r="P60" s="354">
        <f>VLOOKUP(Tableau1315[[#This Row],[PARCS]],Tableau16[],10,FALSE)</f>
        <v>-29100</v>
      </c>
      <c r="Q60" s="350">
        <f>VLOOKUP(Tableau1315[[#This Row],[PARCS]],Tableau16[],18,FALSE)</f>
        <v>-26250</v>
      </c>
      <c r="R60" s="350">
        <f>VLOOKUP(Tableau1315[[#This Row],[PARCS]],Tableau16[],19,FALSE)</f>
        <v>0</v>
      </c>
      <c r="S60" s="20">
        <f>VLOOKUP(Tableau1315[[#This Row],[PARCS]],Tableau16[],28,FALSE)</f>
        <v>0</v>
      </c>
      <c r="T60" s="20">
        <f>VLOOKUP(Tableau1315[[#This Row],[PARCS]],Tableau16[],36,FALSE)</f>
        <v>-5998</v>
      </c>
      <c r="U60" s="20">
        <f>VLOOKUP(Tableau1315[[#This Row],[PARCS]],Tableau16[],37,FALSE)</f>
        <v>0</v>
      </c>
      <c r="V60" s="467">
        <f>SUM(Tableau1315[[#This Row],[CONTRAT O&amp;M FORFAIT GROUPE2]:[CHARGES exceptionnels (BONUS, sinistres)7]])</f>
        <v>-61348</v>
      </c>
      <c r="W60" s="354">
        <f>VLOOKUP(Tableau1315[[#This Row],[PARCS]],Tableau17[],10,FALSE)</f>
        <v>-45638</v>
      </c>
      <c r="X60" s="350">
        <f>VLOOKUP(Tableau1315[[#This Row],[PARCS]],Tableau17[],18,FALSE)</f>
        <v>-1250</v>
      </c>
      <c r="Y60" s="350">
        <f>VLOOKUP(Tableau1315[[#This Row],[PARCS]],Tableau17[],19,FALSE)</f>
        <v>0</v>
      </c>
      <c r="Z60" s="350">
        <f>VLOOKUP(Tableau1315[[#This Row],[PARCS]],Tableau17[],28,FALSE)</f>
        <v>-1250</v>
      </c>
      <c r="AA60" s="350">
        <f>VLOOKUP(Tableau1315[[#This Row],[PARCS]],Tableau17[],36,FALSE)</f>
        <v>-6200</v>
      </c>
      <c r="AB60" s="252">
        <f>VLOOKUP(Tableau1315[[#This Row],[PARCS]],Tableau17[],37,FALSE)</f>
        <v>0</v>
      </c>
      <c r="AC60" s="468">
        <f>SUM(Tableau1315[[#This Row],[CONTRAT O&amp;M FORFAIT GROUPE22]:[CHARGES exceptionnels (BONUS, sinistres)77]])</f>
        <v>-54338</v>
      </c>
      <c r="AD60" s="252">
        <f>Tableau1315[[#This Row],[TOTAL LE3]]-Tableau1315[[#This Row],[TOTAL BN-1]]</f>
        <v>-14848</v>
      </c>
      <c r="AE60" s="351">
        <f>IFERROR((Tableau1315[[#This Row],[TOTAL LE3]]-Tableau1315[[#This Row],[TOTAL BN-1]])/Tableau1315[[#This Row],[TOTAL BN-1]],"")</f>
        <v>0.31931182795698926</v>
      </c>
      <c r="AF60" s="252">
        <f>Tableau1315[[#This Row],[TOTAL BN+1]]-Tableau1315[[#This Row],[TOTAL LE3]]</f>
        <v>7010</v>
      </c>
      <c r="AG60" s="351">
        <f>IFERROR((Tableau1315[[#This Row],[TOTAL BN+1]]-Tableau1315[[#This Row],[TOTAL LE3]])/Tableau1315[[#This Row],[TOTAL LE3]],"")</f>
        <v>-0.11426615374584338</v>
      </c>
      <c r="AH60" s="6" t="s">
        <v>735</v>
      </c>
    </row>
    <row r="61" spans="1:34" hidden="1">
      <c r="A61" s="463" t="s">
        <v>586</v>
      </c>
      <c r="B61" s="464" t="str">
        <f>VLOOKUP(Tableau1315[[#This Row],[PARCS]],Tableau106[],3,FALSE)</f>
        <v>A053</v>
      </c>
      <c r="C61" s="464" t="str">
        <f>VLOOKUP(Tableau1315[[#This Row],[PARCS]],Tableau106[],2,FALSE)</f>
        <v>FR62E99E</v>
      </c>
      <c r="D61" s="465" t="str">
        <f>VLOOKUP(Tableau1315[[#This Row],[PARCS]],Tableau106[],8,FALSE)</f>
        <v>EOLIEN</v>
      </c>
      <c r="E61" s="465" t="str">
        <f>VLOOKUP(A61,Tableau106[[#Headers],[#Data]],6,FALSE)</f>
        <v>N</v>
      </c>
      <c r="F61" s="466" t="str">
        <f>VLOOKUP(Tableau1315[[#This Row],[PARCS]],Tableau106[],5,FALSE)</f>
        <v>FIEN</v>
      </c>
      <c r="G61" s="464" t="str">
        <f>VLOOKUP(Tableau1315[[#This Row],[PARCS]],Tableau106[],7,FALSE)</f>
        <v>GROUPE</v>
      </c>
      <c r="H61" s="464" t="str">
        <f>VLOOKUP(Tableau1315[[#This Row],[PARCS]],Tableau106[],9,FALSE)</f>
        <v>MéS</v>
      </c>
      <c r="I61" s="350">
        <f>IFERROR(VLOOKUP(Tableau1315[[#This Row],[PARCS]],Tableau15[],10,FALSE),"")</f>
        <v>-12626.246851385387</v>
      </c>
      <c r="J61" s="20">
        <f>IFERROR(VLOOKUP(Tableau1315[[#This Row],[PARCS]],Tableau15[],18,FALSE),"")</f>
        <v>-16825</v>
      </c>
      <c r="K61" s="252">
        <f>IFERROR(VLOOKUP(Tableau1315[[#This Row],[PARCS]],Tableau15[],19,FALSE),"")</f>
        <v>-371867.54084000003</v>
      </c>
      <c r="L61" s="20">
        <f>IFERROR(VLOOKUP(Tableau1315[[#This Row],[PARCS]],Tableau15[],28,FALSE),"")</f>
        <v>-6150</v>
      </c>
      <c r="M61" s="252">
        <f>IFERROR(VLOOKUP(Tableau1315[[#This Row],[PARCS]],Tableau15[],36,FALSE),"")</f>
        <v>-50000</v>
      </c>
      <c r="N61" s="252">
        <f>IFERROR(VLOOKUP(Tableau1315[[#This Row],[PARCS]],Tableau15[],37,FALSE),"")</f>
        <v>0</v>
      </c>
      <c r="O61" s="467">
        <f>SUM(Tableau1315[[#This Row],[CONTRAT O&amp;M FORFAIT GROUPE]:[CHARGES exceptionnels (BONUS, sinistres)]])</f>
        <v>-457468.78769138543</v>
      </c>
      <c r="P61" s="354">
        <f>VLOOKUP(Tableau1315[[#This Row],[PARCS]],Tableau16[],10,FALSE)</f>
        <v>-6676</v>
      </c>
      <c r="Q61" s="350">
        <f>VLOOKUP(Tableau1315[[#This Row],[PARCS]],Tableau16[],18,FALSE)</f>
        <v>-15232.2</v>
      </c>
      <c r="R61" s="350">
        <f>VLOOKUP(Tableau1315[[#This Row],[PARCS]],Tableau16[],19,FALSE)</f>
        <v>-352374</v>
      </c>
      <c r="S61" s="20">
        <f>VLOOKUP(Tableau1315[[#This Row],[PARCS]],Tableau16[],28,FALSE)</f>
        <v>-4434.1399999999994</v>
      </c>
      <c r="T61" s="20">
        <f>VLOOKUP(Tableau1315[[#This Row],[PARCS]],Tableau16[],36,FALSE)</f>
        <v>-50000</v>
      </c>
      <c r="U61" s="20">
        <f>VLOOKUP(Tableau1315[[#This Row],[PARCS]],Tableau16[],37,FALSE)</f>
        <v>0</v>
      </c>
      <c r="V61" s="467">
        <f>SUM(Tableau1315[[#This Row],[CONTRAT O&amp;M FORFAIT GROUPE2]:[CHARGES exceptionnels (BONUS, sinistres)7]])</f>
        <v>-428716.34</v>
      </c>
      <c r="W61" s="354">
        <f>VLOOKUP(Tableau1315[[#This Row],[PARCS]],Tableau17[],10,FALSE)</f>
        <v>-6842.9</v>
      </c>
      <c r="X61" s="350">
        <f>VLOOKUP(Tableau1315[[#This Row],[PARCS]],Tableau17[],18,FALSE)</f>
        <v>-15362</v>
      </c>
      <c r="Y61" s="350">
        <f>VLOOKUP(Tableau1315[[#This Row],[PARCS]],Tableau17[],19,FALSE)</f>
        <v>-361183.35</v>
      </c>
      <c r="Z61" s="350">
        <f>VLOOKUP(Tableau1315[[#This Row],[PARCS]],Tableau17[],28,FALSE)</f>
        <v>-4434</v>
      </c>
      <c r="AA61" s="350">
        <f>VLOOKUP(Tableau1315[[#This Row],[PARCS]],Tableau17[],36,FALSE)</f>
        <v>-55047.1</v>
      </c>
      <c r="AB61" s="252">
        <f>VLOOKUP(Tableau1315[[#This Row],[PARCS]],Tableau17[],37,FALSE)</f>
        <v>0</v>
      </c>
      <c r="AC61" s="468">
        <f>SUM(Tableau1315[[#This Row],[CONTRAT O&amp;M FORFAIT GROUPE22]:[CHARGES exceptionnels (BONUS, sinistres)77]])</f>
        <v>-442869.35</v>
      </c>
      <c r="AD61" s="252">
        <f>Tableau1315[[#This Row],[TOTAL LE3]]-Tableau1315[[#This Row],[TOTAL BN-1]]</f>
        <v>28752.447691385401</v>
      </c>
      <c r="AE61" s="351">
        <f>IFERROR((Tableau1315[[#This Row],[TOTAL LE3]]-Tableau1315[[#This Row],[TOTAL BN-1]])/Tableau1315[[#This Row],[TOTAL BN-1]],"")</f>
        <v>-6.2851168134299445E-2</v>
      </c>
      <c r="AF61" s="252">
        <f>Tableau1315[[#This Row],[TOTAL BN+1]]-Tableau1315[[#This Row],[TOTAL LE3]]</f>
        <v>-14153.009999999951</v>
      </c>
      <c r="AG61" s="351">
        <f>IFERROR((Tableau1315[[#This Row],[TOTAL BN+1]]-Tableau1315[[#This Row],[TOTAL LE3]])/Tableau1315[[#This Row],[TOTAL LE3]],"")</f>
        <v>3.3012527584089638E-2</v>
      </c>
    </row>
    <row r="62" spans="1:34">
      <c r="A62" s="463" t="s">
        <v>626</v>
      </c>
      <c r="B62" s="464" t="str">
        <f>VLOOKUP(Tableau1315[[#This Row],[PARCS]],Tableau106[],3,FALSE)</f>
        <v>A937</v>
      </c>
      <c r="C62" s="464" t="str">
        <f>VLOOKUP(Tableau1315[[#This Row],[PARCS]],Tableau106[],2,FALSE)</f>
        <v>FR34E82E</v>
      </c>
      <c r="D62" s="465" t="str">
        <f>VLOOKUP(Tableau1315[[#This Row],[PARCS]],Tableau106[],8,FALSE)</f>
        <v>EOLIEN</v>
      </c>
      <c r="E62" s="465" t="str">
        <f>VLOOKUP(A62,Tableau106[[#Headers],[#Data]],6,FALSE)</f>
        <v>S</v>
      </c>
      <c r="F62" s="466" t="str">
        <f>VLOOKUP(Tableau1315[[#This Row],[PARCS]],Tableau106[],5,FALSE)</f>
        <v>NIPL</v>
      </c>
      <c r="G62" s="464" t="str">
        <f>VLOOKUP(Tableau1315[[#This Row],[PARCS]],Tableau106[],7,FALSE)</f>
        <v>FUTUREN</v>
      </c>
      <c r="H62" s="464" t="str">
        <f>VLOOKUP(Tableau1315[[#This Row],[PARCS]],Tableau106[],9,FALSE)</f>
        <v>KéD</v>
      </c>
      <c r="I62" s="350">
        <f>IFERROR(VLOOKUP(Tableau1315[[#This Row],[PARCS]],Tableau15[],10,FALSE),"")</f>
        <v>-191460.12</v>
      </c>
      <c r="J62" s="20">
        <f>IFERROR(VLOOKUP(Tableau1315[[#This Row],[PARCS]],Tableau15[],18,FALSE),"")</f>
        <v>-13400</v>
      </c>
      <c r="K62" s="252">
        <f>IFERROR(VLOOKUP(Tableau1315[[#This Row],[PARCS]],Tableau15[],19,FALSE),"")</f>
        <v>0</v>
      </c>
      <c r="L62" s="20">
        <f>IFERROR(VLOOKUP(Tableau1315[[#This Row],[PARCS]],Tableau15[],28,FALSE),"")</f>
        <v>-14800</v>
      </c>
      <c r="M62" s="252">
        <f>IFERROR(VLOOKUP(Tableau1315[[#This Row],[PARCS]],Tableau15[],36,FALSE),"")</f>
        <v>-29277.97</v>
      </c>
      <c r="N62" s="252">
        <f>IFERROR(VLOOKUP(Tableau1315[[#This Row],[PARCS]],Tableau15[],37,FALSE),"")</f>
        <v>0</v>
      </c>
      <c r="O62" s="467">
        <f>SUM(Tableau1315[[#This Row],[CONTRAT O&amp;M FORFAIT GROUPE]:[CHARGES exceptionnels (BONUS, sinistres)]])</f>
        <v>-248938.09</v>
      </c>
      <c r="P62" s="354">
        <f>VLOOKUP(Tableau1315[[#This Row],[PARCS]],Tableau16[],10,FALSE)</f>
        <v>-189061</v>
      </c>
      <c r="Q62" s="252">
        <f>VLOOKUP(Tableau1315[[#This Row],[PARCS]],Tableau16[],18,FALSE)</f>
        <v>-36990</v>
      </c>
      <c r="R62" s="252">
        <f>VLOOKUP(Tableau1315[[#This Row],[PARCS]],Tableau16[],19,FALSE)</f>
        <v>0</v>
      </c>
      <c r="S62" s="252">
        <f>VLOOKUP(Tableau1315[[#This Row],[PARCS]],Tableau16[],28,FALSE)</f>
        <v>-8826</v>
      </c>
      <c r="T62" s="252">
        <f>VLOOKUP(Tableau1315[[#This Row],[PARCS]],Tableau16[],36,FALSE)</f>
        <v>-73267.5</v>
      </c>
      <c r="U62" s="252">
        <f>VLOOKUP(Tableau1315[[#This Row],[PARCS]],Tableau16[],37,FALSE)</f>
        <v>0</v>
      </c>
      <c r="V62" s="467">
        <f>SUM(Tableau1315[[#This Row],[CONTRAT O&amp;M FORFAIT GROUPE2]:[CHARGES exceptionnels (BONUS, sinistres)7]])</f>
        <v>-308144.5</v>
      </c>
      <c r="W62" s="354">
        <f>VLOOKUP(Tableau1315[[#This Row],[PARCS]],Tableau17[],10,FALSE)</f>
        <v>-193787.52499999999</v>
      </c>
      <c r="X62" s="252">
        <f>VLOOKUP(Tableau1315[[#This Row],[PARCS]],Tableau17[],18,FALSE)</f>
        <v>-30460</v>
      </c>
      <c r="Y62" s="252">
        <f>VLOOKUP(Tableau1315[[#This Row],[PARCS]],Tableau17[],19,FALSE)</f>
        <v>0</v>
      </c>
      <c r="Z62" s="252">
        <f>VLOOKUP(Tableau1315[[#This Row],[PARCS]],Tableau17[],28,FALSE)</f>
        <v>-9000</v>
      </c>
      <c r="AA62" s="252">
        <f>VLOOKUP(Tableau1315[[#This Row],[PARCS]],Tableau17[],36,FALSE)</f>
        <v>-37442</v>
      </c>
      <c r="AB62" s="252">
        <f>VLOOKUP(Tableau1315[[#This Row],[PARCS]],Tableau17[],37,FALSE)</f>
        <v>0</v>
      </c>
      <c r="AC62" s="468">
        <f>SUM(Tableau1315[[#This Row],[CONTRAT O&amp;M FORFAIT GROUPE22]:[CHARGES exceptionnels (BONUS, sinistres)77]])</f>
        <v>-270689.52500000002</v>
      </c>
      <c r="AD62" s="252">
        <f>Tableau1315[[#This Row],[TOTAL LE3]]-Tableau1315[[#This Row],[TOTAL BN-1]]</f>
        <v>-59206.41</v>
      </c>
      <c r="AE62" s="351">
        <f>IFERROR((Tableau1315[[#This Row],[TOTAL LE3]]-Tableau1315[[#This Row],[TOTAL BN-1]])/Tableau1315[[#This Row],[TOTAL BN-1]],"")</f>
        <v>0.23783588120243071</v>
      </c>
      <c r="AF62" s="252">
        <f>Tableau1315[[#This Row],[TOTAL BN+1]]-Tableau1315[[#This Row],[TOTAL LE3]]</f>
        <v>37454.974999999977</v>
      </c>
      <c r="AG62" s="351">
        <f>IFERROR((Tableau1315[[#This Row],[TOTAL BN+1]]-Tableau1315[[#This Row],[TOTAL LE3]])/Tableau1315[[#This Row],[TOTAL LE3]],"")</f>
        <v>-0.1215500357786687</v>
      </c>
      <c r="AH62" s="6" t="s">
        <v>490</v>
      </c>
    </row>
    <row r="63" spans="1:34">
      <c r="A63" s="463" t="s">
        <v>496</v>
      </c>
      <c r="B63" s="464" t="str">
        <f>VLOOKUP(Tableau1315[[#This Row],[PARCS]],Tableau106[],3,FALSE)</f>
        <v>F032</v>
      </c>
      <c r="C63" s="464" t="str">
        <f>VLOOKUP(Tableau1315[[#This Row],[PARCS]],Tableau106[],2,FALSE)</f>
        <v>FR80E96E</v>
      </c>
      <c r="D63" s="465" t="str">
        <f>VLOOKUP(Tableau1315[[#This Row],[PARCS]],Tableau106[],8,FALSE)</f>
        <v>EOLIEN</v>
      </c>
      <c r="E63" s="465" t="str">
        <f>VLOOKUP(A63,Tableau106[[#Headers],[#Data]],6,FALSE)</f>
        <v>N</v>
      </c>
      <c r="F63" s="466" t="str">
        <f>VLOOKUP(Tableau1315[[#This Row],[PARCS]],Tableau106[],5,FALSE)</f>
        <v>CEFF</v>
      </c>
      <c r="G63" s="464" t="str">
        <f>VLOOKUP(Tableau1315[[#This Row],[PARCS]],Tableau106[],7,FALSE)</f>
        <v>FUTUREN</v>
      </c>
      <c r="H63" s="464" t="str">
        <f>VLOOKUP(Tableau1315[[#This Row],[PARCS]],Tableau106[],9,FALSE)</f>
        <v>NiD</v>
      </c>
      <c r="I63" s="350">
        <f>IFERROR(VLOOKUP(Tableau1315[[#This Row],[PARCS]],Tableau15[],10,FALSE),"")</f>
        <v>-254684.82</v>
      </c>
      <c r="J63" s="20">
        <f>IFERROR(VLOOKUP(Tableau1315[[#This Row],[PARCS]],Tableau15[],18,FALSE),"")</f>
        <v>-13500</v>
      </c>
      <c r="K63" s="252">
        <f>IFERROR(VLOOKUP(Tableau1315[[#This Row],[PARCS]],Tableau15[],19,FALSE),"")</f>
        <v>0</v>
      </c>
      <c r="L63" s="20">
        <f>IFERROR(VLOOKUP(Tableau1315[[#This Row],[PARCS]],Tableau15[],28,FALSE),"")</f>
        <v>-7200</v>
      </c>
      <c r="M63" s="252">
        <f>IFERROR(VLOOKUP(Tableau1315[[#This Row],[PARCS]],Tableau15[],36,FALSE),"")</f>
        <v>0</v>
      </c>
      <c r="N63" s="252">
        <f>IFERROR(VLOOKUP(Tableau1315[[#This Row],[PARCS]],Tableau15[],37,FALSE),"")</f>
        <v>0</v>
      </c>
      <c r="O63" s="467">
        <f>SUM(Tableau1315[[#This Row],[CONTRAT O&amp;M FORFAIT GROUPE]:[CHARGES exceptionnels (BONUS, sinistres)]])</f>
        <v>-275384.82</v>
      </c>
      <c r="P63" s="354">
        <f>VLOOKUP(Tableau1315[[#This Row],[PARCS]],Tableau16[],10,FALSE)</f>
        <v>-257129</v>
      </c>
      <c r="Q63" s="350">
        <f>VLOOKUP(Tableau1315[[#This Row],[PARCS]],Tableau16[],18,FALSE)</f>
        <v>-58000</v>
      </c>
      <c r="R63" s="350">
        <f>VLOOKUP(Tableau1315[[#This Row],[PARCS]],Tableau16[],19,FALSE)</f>
        <v>0</v>
      </c>
      <c r="S63" s="20">
        <f>VLOOKUP(Tableau1315[[#This Row],[PARCS]],Tableau16[],28,FALSE)</f>
        <v>-14000</v>
      </c>
      <c r="T63" s="20">
        <f>VLOOKUP(Tableau1315[[#This Row],[PARCS]],Tableau16[],36,FALSE)</f>
        <v>0</v>
      </c>
      <c r="U63" s="20">
        <f>VLOOKUP(Tableau1315[[#This Row],[PARCS]],Tableau16[],37,FALSE)</f>
        <v>0</v>
      </c>
      <c r="V63" s="467">
        <f>SUM(Tableau1315[[#This Row],[CONTRAT O&amp;M FORFAIT GROUPE2]:[CHARGES exceptionnels (BONUS, sinistres)7]])</f>
        <v>-329129</v>
      </c>
      <c r="W63" s="354">
        <f>VLOOKUP(Tableau1315[[#This Row],[PARCS]],Tableau17[],10,FALSE)</f>
        <v>-263557.22499999998</v>
      </c>
      <c r="X63" s="350">
        <f>VLOOKUP(Tableau1315[[#This Row],[PARCS]],Tableau17[],18,FALSE)</f>
        <v>-6900</v>
      </c>
      <c r="Y63" s="350">
        <f>VLOOKUP(Tableau1315[[#This Row],[PARCS]],Tableau17[],19,FALSE)</f>
        <v>0</v>
      </c>
      <c r="Z63" s="350">
        <f>VLOOKUP(Tableau1315[[#This Row],[PARCS]],Tableau17[],28,FALSE)</f>
        <v>-4000</v>
      </c>
      <c r="AA63" s="350">
        <f>VLOOKUP(Tableau1315[[#This Row],[PARCS]],Tableau17[],36,FALSE)</f>
        <v>0</v>
      </c>
      <c r="AB63" s="252">
        <f>VLOOKUP(Tableau1315[[#This Row],[PARCS]],Tableau17[],37,FALSE)</f>
        <v>0</v>
      </c>
      <c r="AC63" s="468">
        <f>SUM(Tableau1315[[#This Row],[CONTRAT O&amp;M FORFAIT GROUPE22]:[CHARGES exceptionnels (BONUS, sinistres)77]])</f>
        <v>-274457.22499999998</v>
      </c>
      <c r="AD63" s="252">
        <f>Tableau1315[[#This Row],[TOTAL LE3]]-Tableau1315[[#This Row],[TOTAL BN-1]]</f>
        <v>-53744.179999999993</v>
      </c>
      <c r="AE63" s="351">
        <f>IFERROR((Tableau1315[[#This Row],[TOTAL LE3]]-Tableau1315[[#This Row],[TOTAL BN-1]])/Tableau1315[[#This Row],[TOTAL BN-1]],"")</f>
        <v>0.19516028516023501</v>
      </c>
      <c r="AF63" s="252">
        <f>Tableau1315[[#This Row],[TOTAL BN+1]]-Tableau1315[[#This Row],[TOTAL LE3]]</f>
        <v>54671.775000000023</v>
      </c>
      <c r="AG63" s="351">
        <f>IFERROR((Tableau1315[[#This Row],[TOTAL BN+1]]-Tableau1315[[#This Row],[TOTAL LE3]])/Tableau1315[[#This Row],[TOTAL LE3]],"")</f>
        <v>-0.16611047643932933</v>
      </c>
    </row>
    <row r="64" spans="1:34" hidden="1">
      <c r="A64" s="463" t="s">
        <v>507</v>
      </c>
      <c r="B64" s="464" t="str">
        <f>VLOOKUP(Tableau1315[[#This Row],[PARCS]],Tableau106[],3,FALSE)</f>
        <v>A286</v>
      </c>
      <c r="C64" s="464" t="str">
        <f>VLOOKUP(Tableau1315[[#This Row],[PARCS]],Tableau106[],2,FALSE)</f>
        <v>FR28E03E</v>
      </c>
      <c r="D64" s="465" t="str">
        <f>VLOOKUP(Tableau1315[[#This Row],[PARCS]],Tableau106[],8,FALSE)</f>
        <v>EOLIEN</v>
      </c>
      <c r="E64" s="465" t="str">
        <f>VLOOKUP(A64,Tableau106[[#Headers],[#Data]],6,FALSE)</f>
        <v>N</v>
      </c>
      <c r="F64" s="466" t="str">
        <f>VLOOKUP(Tableau1315[[#This Row],[PARCS]],Tableau106[],5,FALSE)</f>
        <v>FOGU</v>
      </c>
      <c r="G64" s="464" t="str">
        <f>VLOOKUP(Tableau1315[[#This Row],[PARCS]],Tableau106[],7,FALSE)</f>
        <v>GROUPE</v>
      </c>
      <c r="H64" s="464" t="str">
        <f>VLOOKUP(Tableau1315[[#This Row],[PARCS]],Tableau106[],9,FALSE)</f>
        <v>NiL</v>
      </c>
      <c r="I64" s="350">
        <f>IFERROR(VLOOKUP(Tableau1315[[#This Row],[PARCS]],Tableau15[],10,FALSE),"")</f>
        <v>-7127.1528188976363</v>
      </c>
      <c r="J64" s="20">
        <f>IFERROR(VLOOKUP(Tableau1315[[#This Row],[PARCS]],Tableau15[],18,FALSE),"")</f>
        <v>-17820</v>
      </c>
      <c r="K64" s="252">
        <f>IFERROR(VLOOKUP(Tableau1315[[#This Row],[PARCS]],Tableau15[],19,FALSE),"")</f>
        <v>-208914.12</v>
      </c>
      <c r="L64" s="20">
        <f>IFERROR(VLOOKUP(Tableau1315[[#This Row],[PARCS]],Tableau15[],28,FALSE),"")</f>
        <v>-16600</v>
      </c>
      <c r="M64" s="252">
        <f>IFERROR(VLOOKUP(Tableau1315[[#This Row],[PARCS]],Tableau15[],36,FALSE),"")</f>
        <v>-12000</v>
      </c>
      <c r="N64" s="252">
        <f>IFERROR(VLOOKUP(Tableau1315[[#This Row],[PARCS]],Tableau15[],37,FALSE),"")</f>
        <v>0</v>
      </c>
      <c r="O64" s="467">
        <f>SUM(Tableau1315[[#This Row],[CONTRAT O&amp;M FORFAIT GROUPE]:[CHARGES exceptionnels (BONUS, sinistres)]])</f>
        <v>-262461.27281889762</v>
      </c>
      <c r="P64" s="354">
        <f>VLOOKUP(Tableau1315[[#This Row],[PARCS]],Tableau16[],10,FALSE)</f>
        <v>-10387</v>
      </c>
      <c r="Q64" s="350">
        <f>VLOOKUP(Tableau1315[[#This Row],[PARCS]],Tableau16[],18,FALSE)</f>
        <v>-14208</v>
      </c>
      <c r="R64" s="350">
        <f>VLOOKUP(Tableau1315[[#This Row],[PARCS]],Tableau16[],19,FALSE)</f>
        <v>-206074</v>
      </c>
      <c r="S64" s="20">
        <f>VLOOKUP(Tableau1315[[#This Row],[PARCS]],Tableau16[],28,FALSE)</f>
        <v>-19000</v>
      </c>
      <c r="T64" s="20">
        <f>VLOOKUP(Tableau1315[[#This Row],[PARCS]],Tableau16[],36,FALSE)</f>
        <v>-4612.5</v>
      </c>
      <c r="U64" s="20">
        <f>VLOOKUP(Tableau1315[[#This Row],[PARCS]],Tableau16[],37,FALSE)</f>
        <v>0</v>
      </c>
      <c r="V64" s="467">
        <f>SUM(Tableau1315[[#This Row],[CONTRAT O&amp;M FORFAIT GROUPE2]:[CHARGES exceptionnels (BONUS, sinistres)7]])</f>
        <v>-254281.5</v>
      </c>
      <c r="W64" s="354">
        <f>VLOOKUP(Tableau1315[[#This Row],[PARCS]],Tableau17[],10,FALSE)</f>
        <v>-10646.674999999999</v>
      </c>
      <c r="X64" s="350">
        <f>VLOOKUP(Tableau1315[[#This Row],[PARCS]],Tableau17[],18,FALSE)</f>
        <v>-22330</v>
      </c>
      <c r="Y64" s="350">
        <f>VLOOKUP(Tableau1315[[#This Row],[PARCS]],Tableau17[],19,FALSE)</f>
        <v>-211225.84999999998</v>
      </c>
      <c r="Z64" s="350">
        <f>VLOOKUP(Tableau1315[[#This Row],[PARCS]],Tableau17[],28,FALSE)</f>
        <v>-16000</v>
      </c>
      <c r="AA64" s="350">
        <f>VLOOKUP(Tableau1315[[#This Row],[PARCS]],Tableau17[],36,FALSE)</f>
        <v>0</v>
      </c>
      <c r="AB64" s="252">
        <f>VLOOKUP(Tableau1315[[#This Row],[PARCS]],Tableau17[],37,FALSE)</f>
        <v>0</v>
      </c>
      <c r="AC64" s="468">
        <f>SUM(Tableau1315[[#This Row],[CONTRAT O&amp;M FORFAIT GROUPE22]:[CHARGES exceptionnels (BONUS, sinistres)77]])</f>
        <v>-260202.52499999997</v>
      </c>
      <c r="AD64" s="252">
        <f>Tableau1315[[#This Row],[TOTAL LE3]]-Tableau1315[[#This Row],[TOTAL BN-1]]</f>
        <v>8179.772818897618</v>
      </c>
      <c r="AE64" s="351">
        <f>IFERROR((Tableau1315[[#This Row],[TOTAL LE3]]-Tableau1315[[#This Row],[TOTAL BN-1]])/Tableau1315[[#This Row],[TOTAL BN-1]],"")</f>
        <v>-3.1165637242572503E-2</v>
      </c>
      <c r="AF64" s="252">
        <f>Tableau1315[[#This Row],[TOTAL BN+1]]-Tableau1315[[#This Row],[TOTAL LE3]]</f>
        <v>-5921.0249999999651</v>
      </c>
      <c r="AG64" s="351">
        <f>IFERROR((Tableau1315[[#This Row],[TOTAL BN+1]]-Tableau1315[[#This Row],[TOTAL LE3]])/Tableau1315[[#This Row],[TOTAL LE3]],"")</f>
        <v>2.3285315683602485E-2</v>
      </c>
    </row>
    <row r="65" spans="1:34" hidden="1">
      <c r="A65" s="463" t="s">
        <v>607</v>
      </c>
      <c r="B65" s="464" t="str">
        <f>VLOOKUP(Tableau1315[[#This Row],[PARCS]],Tableau106[],3,FALSE)</f>
        <v>A353</v>
      </c>
      <c r="C65" s="464" t="str">
        <f>VLOOKUP(Tableau1315[[#This Row],[PARCS]],Tableau106[],2,FALSE)</f>
        <v>FR34S01E</v>
      </c>
      <c r="D65" s="465" t="str">
        <f>VLOOKUP(Tableau1315[[#This Row],[PARCS]],Tableau106[],8,FALSE)</f>
        <v>SOLAIRE</v>
      </c>
      <c r="E65" s="465" t="str">
        <f>VLOOKUP(A65,Tableau106[[#Headers],[#Data]],6,FALSE)</f>
        <v>S</v>
      </c>
      <c r="F65" s="466" t="str">
        <f>VLOOKUP(Tableau1315[[#This Row],[PARCS]],Tableau106[],5,FALSE)</f>
        <v>SPAR</v>
      </c>
      <c r="G65" s="464" t="str">
        <f>VLOOKUP(Tableau1315[[#This Row],[PARCS]],Tableau106[],7,FALSE)</f>
        <v>GROUPE</v>
      </c>
      <c r="H65" s="464" t="str">
        <f>VLOOKUP(Tableau1315[[#This Row],[PARCS]],Tableau106[],9,FALSE)</f>
        <v>BaA</v>
      </c>
      <c r="I65" s="350">
        <f>IFERROR(VLOOKUP(Tableau1315[[#This Row],[PARCS]],Tableau15[],10,FALSE),"")</f>
        <v>-121855.86756275407</v>
      </c>
      <c r="J65" s="20">
        <f>IFERROR(VLOOKUP(Tableau1315[[#This Row],[PARCS]],Tableau15[],18,FALSE),"")</f>
        <v>-10664</v>
      </c>
      <c r="K65" s="252">
        <f>IFERROR(VLOOKUP(Tableau1315[[#This Row],[PARCS]],Tableau15[],19,FALSE),"")</f>
        <v>0</v>
      </c>
      <c r="L65" s="20">
        <f>IFERROR(VLOOKUP(Tableau1315[[#This Row],[PARCS]],Tableau15[],28,FALSE),"")</f>
        <v>-5332</v>
      </c>
      <c r="M65" s="252">
        <f>IFERROR(VLOOKUP(Tableau1315[[#This Row],[PARCS]],Tableau15[],36,FALSE),"")</f>
        <v>0</v>
      </c>
      <c r="N65" s="252">
        <f>IFERROR(VLOOKUP(Tableau1315[[#This Row],[PARCS]],Tableau15[],37,FALSE),"")</f>
        <v>-5327</v>
      </c>
      <c r="O65" s="467">
        <f>SUM(Tableau1315[[#This Row],[CONTRAT O&amp;M FORFAIT GROUPE]:[CHARGES exceptionnels (BONUS, sinistres)]])</f>
        <v>-143178.86756275408</v>
      </c>
      <c r="P65" s="354">
        <f>VLOOKUP(Tableau1315[[#This Row],[PARCS]],Tableau16[],10,FALSE)</f>
        <v>-122542</v>
      </c>
      <c r="Q65" s="252">
        <f>VLOOKUP(Tableau1315[[#This Row],[PARCS]],Tableau16[],18,FALSE)</f>
        <v>-58326.000000000007</v>
      </c>
      <c r="R65" s="252">
        <f>VLOOKUP(Tableau1315[[#This Row],[PARCS]],Tableau16[],19,FALSE)</f>
        <v>0</v>
      </c>
      <c r="S65" s="252">
        <f>VLOOKUP(Tableau1315[[#This Row],[PARCS]],Tableau16[],28,FALSE)</f>
        <v>-5000</v>
      </c>
      <c r="T65" s="252">
        <f>VLOOKUP(Tableau1315[[#This Row],[PARCS]],Tableau16[],36,FALSE)</f>
        <v>0</v>
      </c>
      <c r="U65" s="252">
        <f>VLOOKUP(Tableau1315[[#This Row],[PARCS]],Tableau16[],37,FALSE)</f>
        <v>0</v>
      </c>
      <c r="V65" s="467">
        <f>SUM(Tableau1315[[#This Row],[CONTRAT O&amp;M FORFAIT GROUPE2]:[CHARGES exceptionnels (BONUS, sinistres)7]])</f>
        <v>-185868</v>
      </c>
      <c r="W65" s="354">
        <f>VLOOKUP(Tableau1315[[#This Row],[PARCS]],Tableau17[],10,FALSE)</f>
        <v>-125605.54999999999</v>
      </c>
      <c r="X65" s="252">
        <f>VLOOKUP(Tableau1315[[#This Row],[PARCS]],Tableau17[],18,FALSE)</f>
        <v>-13268.75</v>
      </c>
      <c r="Y65" s="252">
        <f>VLOOKUP(Tableau1315[[#This Row],[PARCS]],Tableau17[],19,FALSE)</f>
        <v>0</v>
      </c>
      <c r="Z65" s="252">
        <f>VLOOKUP(Tableau1315[[#This Row],[PARCS]],Tableau17[],28,FALSE)</f>
        <v>-15166</v>
      </c>
      <c r="AA65" s="252">
        <f>VLOOKUP(Tableau1315[[#This Row],[PARCS]],Tableau17[],36,FALSE)</f>
        <v>0</v>
      </c>
      <c r="AB65" s="252">
        <f>VLOOKUP(Tableau1315[[#This Row],[PARCS]],Tableau17[],37,FALSE)</f>
        <v>0</v>
      </c>
      <c r="AC65" s="468">
        <f>SUM(Tableau1315[[#This Row],[CONTRAT O&amp;M FORFAIT GROUPE22]:[CHARGES exceptionnels (BONUS, sinistres)77]])</f>
        <v>-154040.29999999999</v>
      </c>
      <c r="AD65" s="252">
        <f>Tableau1315[[#This Row],[TOTAL LE3]]-Tableau1315[[#This Row],[TOTAL BN-1]]</f>
        <v>-42689.13243724592</v>
      </c>
      <c r="AE65" s="351">
        <f>IFERROR((Tableau1315[[#This Row],[TOTAL LE3]]-Tableau1315[[#This Row],[TOTAL BN-1]])/Tableau1315[[#This Row],[TOTAL BN-1]],"")</f>
        <v>0.29815246596035294</v>
      </c>
      <c r="AF65" s="252">
        <f>Tableau1315[[#This Row],[TOTAL BN+1]]-Tableau1315[[#This Row],[TOTAL LE3]]</f>
        <v>31827.700000000012</v>
      </c>
      <c r="AG65" s="351">
        <f>IFERROR((Tableau1315[[#This Row],[TOTAL BN+1]]-Tableau1315[[#This Row],[TOTAL LE3]])/Tableau1315[[#This Row],[TOTAL LE3]],"")</f>
        <v>-0.17123819054382686</v>
      </c>
      <c r="AH65" s="6" t="s">
        <v>736</v>
      </c>
    </row>
    <row r="66" spans="1:34" hidden="1">
      <c r="A66" s="463" t="s">
        <v>464</v>
      </c>
      <c r="B66" s="464" t="str">
        <f>VLOOKUP(Tableau1315[[#This Row],[PARCS]],Tableau106[],3,FALSE)</f>
        <v>A281</v>
      </c>
      <c r="C66" s="464" t="str">
        <f>VLOOKUP(Tableau1315[[#This Row],[PARCS]],Tableau106[],2,FALSE)</f>
        <v>FR86E05E</v>
      </c>
      <c r="D66" s="465" t="str">
        <f>VLOOKUP(Tableau1315[[#This Row],[PARCS]],Tableau106[],8,FALSE)</f>
        <v>EOLIEN</v>
      </c>
      <c r="E66" s="465" t="str">
        <f>VLOOKUP(A66,Tableau106[[#Headers],[#Data]],6,FALSE)</f>
        <v>S</v>
      </c>
      <c r="F66" s="466" t="str">
        <f>VLOOKUP(Tableau1315[[#This Row],[PARCS]],Tableau106[],5,FALSE)</f>
        <v>JAVI</v>
      </c>
      <c r="G66" s="464" t="str">
        <f>VLOOKUP(Tableau1315[[#This Row],[PARCS]],Tableau106[],7,FALSE)</f>
        <v>PARTNER</v>
      </c>
      <c r="H66" s="464" t="str">
        <f>VLOOKUP(Tableau1315[[#This Row],[PARCS]],Tableau106[],9,FALSE)</f>
        <v>PiM</v>
      </c>
      <c r="I66" s="350">
        <f>IFERROR(VLOOKUP(Tableau1315[[#This Row],[PARCS]],Tableau15[],10,FALSE),"")</f>
        <v>0</v>
      </c>
      <c r="J66" s="20">
        <f>IFERROR(VLOOKUP(Tableau1315[[#This Row],[PARCS]],Tableau15[],18,FALSE),"")</f>
        <v>-20250</v>
      </c>
      <c r="K66" s="252">
        <f>IFERROR(VLOOKUP(Tableau1315[[#This Row],[PARCS]],Tableau15[],19,FALSE),"")</f>
        <v>-254058.7102</v>
      </c>
      <c r="L66" s="20">
        <f>IFERROR(VLOOKUP(Tableau1315[[#This Row],[PARCS]],Tableau15[],28,FALSE),"")</f>
        <v>-14750</v>
      </c>
      <c r="M66" s="252">
        <f>IFERROR(VLOOKUP(Tableau1315[[#This Row],[PARCS]],Tableau15[],36,FALSE),"")</f>
        <v>-74782.600000000006</v>
      </c>
      <c r="N66" s="252">
        <f>IFERROR(VLOOKUP(Tableau1315[[#This Row],[PARCS]],Tableau15[],37,FALSE),"")</f>
        <v>0</v>
      </c>
      <c r="O66" s="467">
        <f>SUM(Tableau1315[[#This Row],[CONTRAT O&amp;M FORFAIT GROUPE]:[CHARGES exceptionnels (BONUS, sinistres)]])</f>
        <v>-363841.31019999995</v>
      </c>
      <c r="P66" s="354">
        <f>VLOOKUP(Tableau1315[[#This Row],[PARCS]],Tableau16[],10,FALSE)</f>
        <v>0</v>
      </c>
      <c r="Q66" s="350">
        <f>VLOOKUP(Tableau1315[[#This Row],[PARCS]],Tableau16[],18,FALSE)</f>
        <v>-29359.41</v>
      </c>
      <c r="R66" s="350">
        <f>VLOOKUP(Tableau1315[[#This Row],[PARCS]],Tableau16[],19,FALSE)</f>
        <v>-275627</v>
      </c>
      <c r="S66" s="20">
        <f>VLOOKUP(Tableau1315[[#This Row],[PARCS]],Tableau16[],28,FALSE)</f>
        <v>-50400</v>
      </c>
      <c r="T66" s="20">
        <f>VLOOKUP(Tableau1315[[#This Row],[PARCS]],Tableau16[],36,FALSE)</f>
        <v>-87282.6</v>
      </c>
      <c r="U66" s="20">
        <f>VLOOKUP(Tableau1315[[#This Row],[PARCS]],Tableau16[],37,FALSE)</f>
        <v>-5100</v>
      </c>
      <c r="V66" s="467">
        <f>SUM(Tableau1315[[#This Row],[CONTRAT O&amp;M FORFAIT GROUPE2]:[CHARGES exceptionnels (BONUS, sinistres)7]])</f>
        <v>-447769.01</v>
      </c>
      <c r="W66" s="354">
        <f>VLOOKUP(Tableau1315[[#This Row],[PARCS]],Tableau17[],10,FALSE)</f>
        <v>0</v>
      </c>
      <c r="X66" s="350">
        <f>VLOOKUP(Tableau1315[[#This Row],[PARCS]],Tableau17[],18,FALSE)</f>
        <v>-10350</v>
      </c>
      <c r="Y66" s="350">
        <f>VLOOKUP(Tableau1315[[#This Row],[PARCS]],Tableau17[],19,FALSE)</f>
        <v>-282517.67499999999</v>
      </c>
      <c r="Z66" s="350">
        <f>VLOOKUP(Tableau1315[[#This Row],[PARCS]],Tableau17[],28,FALSE)</f>
        <v>-31000</v>
      </c>
      <c r="AA66" s="350">
        <f>VLOOKUP(Tableau1315[[#This Row],[PARCS]],Tableau17[],36,FALSE)</f>
        <v>-78478.899999999994</v>
      </c>
      <c r="AB66" s="252">
        <f>VLOOKUP(Tableau1315[[#This Row],[PARCS]],Tableau17[],37,FALSE)</f>
        <v>0</v>
      </c>
      <c r="AC66" s="468">
        <f>SUM(Tableau1315[[#This Row],[CONTRAT O&amp;M FORFAIT GROUPE22]:[CHARGES exceptionnels (BONUS, sinistres)77]])</f>
        <v>-402346.57499999995</v>
      </c>
      <c r="AD66" s="252">
        <f>Tableau1315[[#This Row],[TOTAL LE3]]-Tableau1315[[#This Row],[TOTAL BN-1]]</f>
        <v>-83927.69980000006</v>
      </c>
      <c r="AE66" s="351">
        <f>IFERROR((Tableau1315[[#This Row],[TOTAL LE3]]-Tableau1315[[#This Row],[TOTAL BN-1]])/Tableau1315[[#This Row],[TOTAL BN-1]],"")</f>
        <v>0.23067116747646341</v>
      </c>
      <c r="AF66" s="252">
        <f>Tableau1315[[#This Row],[TOTAL BN+1]]-Tableau1315[[#This Row],[TOTAL LE3]]</f>
        <v>45422.435000000056</v>
      </c>
      <c r="AG66" s="351">
        <f>IFERROR((Tableau1315[[#This Row],[TOTAL BN+1]]-Tableau1315[[#This Row],[TOTAL LE3]])/Tableau1315[[#This Row],[TOTAL LE3]],"")</f>
        <v>-0.10144166743473394</v>
      </c>
      <c r="AH66" s="6" t="s">
        <v>737</v>
      </c>
    </row>
    <row r="67" spans="1:34" hidden="1">
      <c r="A67" s="463" t="s">
        <v>551</v>
      </c>
      <c r="B67" s="464" t="str">
        <f>VLOOKUP(Tableau1315[[#This Row],[PARCS]],Tableau106[],3,FALSE)</f>
        <v>A313</v>
      </c>
      <c r="C67" s="464" t="str">
        <f>VLOOKUP(Tableau1315[[#This Row],[PARCS]],Tableau106[],2,FALSE)</f>
        <v>FR89S16E</v>
      </c>
      <c r="D67" s="465" t="str">
        <f>VLOOKUP(Tableau1315[[#This Row],[PARCS]],Tableau106[],8,FALSE)</f>
        <v>SOLAIRE</v>
      </c>
      <c r="E67" s="465" t="str">
        <f>VLOOKUP(A67,Tableau106[[#Headers],[#Data]],6,FALSE)</f>
        <v>N</v>
      </c>
      <c r="F67" s="466" t="str">
        <f>VLOOKUP(Tableau1315[[#This Row],[PARCS]],Tableau106[],5,FALSE)</f>
        <v>NITR</v>
      </c>
      <c r="G67" s="464" t="str">
        <f>VLOOKUP(Tableau1315[[#This Row],[PARCS]],Tableau106[],7,FALSE)</f>
        <v>GROUPE</v>
      </c>
      <c r="H67" s="464" t="str">
        <f>VLOOKUP(Tableau1315[[#This Row],[PARCS]],Tableau106[],9,FALSE)</f>
        <v>LoG</v>
      </c>
      <c r="I67" s="350">
        <f>IFERROR(VLOOKUP(Tableau1315[[#This Row],[PARCS]],Tableau15[],10,FALSE),"")</f>
        <v>-27744</v>
      </c>
      <c r="J67" s="20">
        <f>IFERROR(VLOOKUP(Tableau1315[[#This Row],[PARCS]],Tableau15[],18,FALSE),"")</f>
        <v>-3400</v>
      </c>
      <c r="K67" s="252">
        <f>IFERROR(VLOOKUP(Tableau1315[[#This Row],[PARCS]],Tableau15[],19,FALSE),"")</f>
        <v>0</v>
      </c>
      <c r="L67" s="20">
        <f>IFERROR(VLOOKUP(Tableau1315[[#This Row],[PARCS]],Tableau15[],28,FALSE),"")</f>
        <v>-1700</v>
      </c>
      <c r="M67" s="252">
        <f>IFERROR(VLOOKUP(Tableau1315[[#This Row],[PARCS]],Tableau15[],36,FALSE),"")</f>
        <v>-2500</v>
      </c>
      <c r="N67" s="252">
        <f>IFERROR(VLOOKUP(Tableau1315[[#This Row],[PARCS]],Tableau15[],37,FALSE),"")</f>
        <v>0</v>
      </c>
      <c r="O67" s="467">
        <f>SUM(Tableau1315[[#This Row],[CONTRAT O&amp;M FORFAIT GROUPE]:[CHARGES exceptionnels (BONUS, sinistres)]])</f>
        <v>-35344</v>
      </c>
      <c r="P67" s="354">
        <f>VLOOKUP(Tableau1315[[#This Row],[PARCS]],Tableau16[],10,FALSE)</f>
        <v>-22800</v>
      </c>
      <c r="Q67" s="252">
        <f>VLOOKUP(Tableau1315[[#This Row],[PARCS]],Tableau16[],18,FALSE)</f>
        <v>-14750</v>
      </c>
      <c r="R67" s="252">
        <f>VLOOKUP(Tableau1315[[#This Row],[PARCS]],Tableau16[],19,FALSE)</f>
        <v>0</v>
      </c>
      <c r="S67" s="252">
        <f>VLOOKUP(Tableau1315[[#This Row],[PARCS]],Tableau16[],28,FALSE)</f>
        <v>-950</v>
      </c>
      <c r="T67" s="252">
        <f>VLOOKUP(Tableau1315[[#This Row],[PARCS]],Tableau16[],36,FALSE)</f>
        <v>-5451.98</v>
      </c>
      <c r="U67" s="252">
        <f>VLOOKUP(Tableau1315[[#This Row],[PARCS]],Tableau16[],37,FALSE)</f>
        <v>0</v>
      </c>
      <c r="V67" s="467">
        <f>SUM(Tableau1315[[#This Row],[CONTRAT O&amp;M FORFAIT GROUPE2]:[CHARGES exceptionnels (BONUS, sinistres)7]])</f>
        <v>-43951.979999999996</v>
      </c>
      <c r="W67" s="354">
        <f>VLOOKUP(Tableau1315[[#This Row],[PARCS]],Tableau17[],10,FALSE)</f>
        <v>-34362</v>
      </c>
      <c r="X67" s="252">
        <f>VLOOKUP(Tableau1315[[#This Row],[PARCS]],Tableau17[],18,FALSE)</f>
        <v>-10950</v>
      </c>
      <c r="Y67" s="252">
        <f>VLOOKUP(Tableau1315[[#This Row],[PARCS]],Tableau17[],19,FALSE)</f>
        <v>0</v>
      </c>
      <c r="Z67" s="252">
        <f>VLOOKUP(Tableau1315[[#This Row],[PARCS]],Tableau17[],28,FALSE)</f>
        <v>-950</v>
      </c>
      <c r="AA67" s="252">
        <f>VLOOKUP(Tableau1315[[#This Row],[PARCS]],Tableau17[],36,FALSE)</f>
        <v>-6000</v>
      </c>
      <c r="AB67" s="252">
        <f>VLOOKUP(Tableau1315[[#This Row],[PARCS]],Tableau17[],37,FALSE)</f>
        <v>0</v>
      </c>
      <c r="AC67" s="468">
        <f>SUM(Tableau1315[[#This Row],[CONTRAT O&amp;M FORFAIT GROUPE22]:[CHARGES exceptionnels (BONUS, sinistres)77]])</f>
        <v>-52262</v>
      </c>
      <c r="AD67" s="252">
        <f>Tableau1315[[#This Row],[TOTAL LE3]]-Tableau1315[[#This Row],[TOTAL BN-1]]</f>
        <v>-8607.9799999999959</v>
      </c>
      <c r="AE67" s="351">
        <f>IFERROR((Tableau1315[[#This Row],[TOTAL LE3]]-Tableau1315[[#This Row],[TOTAL BN-1]])/Tableau1315[[#This Row],[TOTAL BN-1]],"")</f>
        <v>0.24354855138071513</v>
      </c>
      <c r="AF67" s="252">
        <f>Tableau1315[[#This Row],[TOTAL BN+1]]-Tableau1315[[#This Row],[TOTAL LE3]]</f>
        <v>-8310.0200000000041</v>
      </c>
      <c r="AG67" s="351">
        <f>IFERROR((Tableau1315[[#This Row],[TOTAL BN+1]]-Tableau1315[[#This Row],[TOTAL LE3]])/Tableau1315[[#This Row],[TOTAL LE3]],"")</f>
        <v>0.18907043550711491</v>
      </c>
      <c r="AH67" s="6" t="s">
        <v>738</v>
      </c>
    </row>
    <row r="68" spans="1:34" hidden="1">
      <c r="A68" s="463" t="s">
        <v>519</v>
      </c>
      <c r="B68" s="464" t="str">
        <f>VLOOKUP(Tableau1315[[#This Row],[PARCS]],Tableau106[],3,FALSE)</f>
        <v>A071</v>
      </c>
      <c r="C68" s="464" t="str">
        <f>VLOOKUP(Tableau1315[[#This Row],[PARCS]],Tableau106[],2,FALSE)</f>
        <v>FR97S87E</v>
      </c>
      <c r="D68" s="465" t="str">
        <f>VLOOKUP(Tableau1315[[#This Row],[PARCS]],Tableau106[],8,FALSE)</f>
        <v>SOLAIRE DOM</v>
      </c>
      <c r="E68" s="465" t="str">
        <f>VLOOKUP(A68,Tableau106[[#Headers],[#Data]],6,FALSE)</f>
        <v>DOM</v>
      </c>
      <c r="F68" s="466" t="str">
        <f>VLOOKUP(Tableau1315[[#This Row],[PARCS]],Tableau106[],5,FALSE)</f>
        <v>ROSE</v>
      </c>
      <c r="G68" s="464" t="str">
        <f>VLOOKUP(Tableau1315[[#This Row],[PARCS]],Tableau106[],7,FALSE)</f>
        <v>GROUPE</v>
      </c>
      <c r="H68" s="464" t="str">
        <f>VLOOKUP(Tableau1315[[#This Row],[PARCS]],Tableau106[],9,FALSE)</f>
        <v>BéK</v>
      </c>
      <c r="I68" s="350">
        <f>IFERROR(VLOOKUP(Tableau1315[[#This Row],[PARCS]],Tableau15[],10,FALSE),"")</f>
        <v>0</v>
      </c>
      <c r="J68" s="20">
        <f>IFERROR(VLOOKUP(Tableau1315[[#This Row],[PARCS]],Tableau15[],18,FALSE),"")</f>
        <v>-10452</v>
      </c>
      <c r="K68" s="252">
        <f>IFERROR(VLOOKUP(Tableau1315[[#This Row],[PARCS]],Tableau15[],19,FALSE),"")</f>
        <v>-462466.956672</v>
      </c>
      <c r="L68" s="20">
        <f>IFERROR(VLOOKUP(Tableau1315[[#This Row],[PARCS]],Tableau15[],28,FALSE),"")</f>
        <v>-11426</v>
      </c>
      <c r="M68" s="252">
        <f>IFERROR(VLOOKUP(Tableau1315[[#This Row],[PARCS]],Tableau15[],36,FALSE),"")</f>
        <v>0</v>
      </c>
      <c r="N68" s="252">
        <f>IFERROR(VLOOKUP(Tableau1315[[#This Row],[PARCS]],Tableau15[],37,FALSE),"")</f>
        <v>0</v>
      </c>
      <c r="O68" s="467">
        <f>SUM(Tableau1315[[#This Row],[CONTRAT O&amp;M FORFAIT GROUPE]:[CHARGES exceptionnels (BONUS, sinistres)]])</f>
        <v>-484344.956672</v>
      </c>
      <c r="P68" s="354">
        <f>VLOOKUP(Tableau1315[[#This Row],[PARCS]],Tableau16[],10,FALSE)</f>
        <v>0</v>
      </c>
      <c r="Q68" s="350">
        <f>VLOOKUP(Tableau1315[[#This Row],[PARCS]],Tableau16[],18,FALSE)</f>
        <v>-2613</v>
      </c>
      <c r="R68" s="350">
        <f>VLOOKUP(Tableau1315[[#This Row],[PARCS]],Tableau16[],19,FALSE)</f>
        <v>-496936</v>
      </c>
      <c r="S68" s="20">
        <f>VLOOKUP(Tableau1315[[#This Row],[PARCS]],Tableau16[],28,FALSE)</f>
        <v>-81000</v>
      </c>
      <c r="T68" s="20">
        <f>VLOOKUP(Tableau1315[[#This Row],[PARCS]],Tableau16[],36,FALSE)</f>
        <v>0</v>
      </c>
      <c r="U68" s="20">
        <f>VLOOKUP(Tableau1315[[#This Row],[PARCS]],Tableau16[],37,FALSE)</f>
        <v>0</v>
      </c>
      <c r="V68" s="467">
        <f>SUM(Tableau1315[[#This Row],[CONTRAT O&amp;M FORFAIT GROUPE2]:[CHARGES exceptionnels (BONUS, sinistres)7]])</f>
        <v>-580549</v>
      </c>
      <c r="W68" s="354">
        <f>VLOOKUP(Tableau1315[[#This Row],[PARCS]],Tableau17[],10,FALSE)</f>
        <v>0</v>
      </c>
      <c r="X68" s="350">
        <f>VLOOKUP(Tableau1315[[#This Row],[PARCS]],Tableau17[],18,FALSE)</f>
        <v>-2613</v>
      </c>
      <c r="Y68" s="350">
        <f>VLOOKUP(Tableau1315[[#This Row],[PARCS]],Tableau17[],19,FALSE)</f>
        <v>-509359.39999999997</v>
      </c>
      <c r="Z68" s="350">
        <f>VLOOKUP(Tableau1315[[#This Row],[PARCS]],Tableau17[],28,FALSE)</f>
        <v>-130613</v>
      </c>
      <c r="AA68" s="350">
        <f>VLOOKUP(Tableau1315[[#This Row],[PARCS]],Tableau17[],36,FALSE)</f>
        <v>0</v>
      </c>
      <c r="AB68" s="252">
        <f>VLOOKUP(Tableau1315[[#This Row],[PARCS]],Tableau17[],37,FALSE)</f>
        <v>0</v>
      </c>
      <c r="AC68" s="468">
        <f>SUM(Tableau1315[[#This Row],[CONTRAT O&amp;M FORFAIT GROUPE22]:[CHARGES exceptionnels (BONUS, sinistres)77]])</f>
        <v>-642585.39999999991</v>
      </c>
      <c r="AD68" s="252">
        <f>Tableau1315[[#This Row],[TOTAL LE3]]-Tableau1315[[#This Row],[TOTAL BN-1]]</f>
        <v>-96204.043328</v>
      </c>
      <c r="AE68" s="351">
        <f>IFERROR((Tableau1315[[#This Row],[TOTAL LE3]]-Tableau1315[[#This Row],[TOTAL BN-1]])/Tableau1315[[#This Row],[TOTAL BN-1]],"")</f>
        <v>0.19862711896296195</v>
      </c>
      <c r="AF68" s="252">
        <f>Tableau1315[[#This Row],[TOTAL BN+1]]-Tableau1315[[#This Row],[TOTAL LE3]]</f>
        <v>-62036.399999999907</v>
      </c>
      <c r="AG68" s="351">
        <f>IFERROR((Tableau1315[[#This Row],[TOTAL BN+1]]-Tableau1315[[#This Row],[TOTAL LE3]])/Tableau1315[[#This Row],[TOTAL LE3]],"")</f>
        <v>0.10685816356586594</v>
      </c>
      <c r="AH68" s="6" t="s">
        <v>739</v>
      </c>
    </row>
    <row r="69" spans="1:34" hidden="1">
      <c r="A69" s="463" t="s">
        <v>577</v>
      </c>
      <c r="B69" s="464" t="str">
        <f>VLOOKUP(Tableau1315[[#This Row],[PARCS]],Tableau106[],3,FALSE)</f>
        <v>A045</v>
      </c>
      <c r="C69" s="464" t="str">
        <f>VLOOKUP(Tableau1315[[#This Row],[PARCS]],Tableau106[],2,FALSE)</f>
        <v>FR97S74E</v>
      </c>
      <c r="D69" s="465" t="str">
        <f>VLOOKUP(Tableau1315[[#This Row],[PARCS]],Tableau106[],8,FALSE)</f>
        <v>SOLAIRE DOM</v>
      </c>
      <c r="E69" s="465" t="str">
        <f>VLOOKUP(A69,Tableau106[[#Headers],[#Data]],6,FALSE)</f>
        <v>DOM</v>
      </c>
      <c r="F69" s="466" t="str">
        <f>VLOOKUP(Tableau1315[[#This Row],[PARCS]],Tableau106[],5,FALSE)</f>
        <v>PROV</v>
      </c>
      <c r="G69" s="464" t="str">
        <f>VLOOKUP(Tableau1315[[#This Row],[PARCS]],Tableau106[],7,FALSE)</f>
        <v>GROUPE</v>
      </c>
      <c r="H69" s="464" t="str">
        <f>VLOOKUP(Tableau1315[[#This Row],[PARCS]],Tableau106[],9,FALSE)</f>
        <v>DoJ</v>
      </c>
      <c r="I69" s="350">
        <f>IFERROR(VLOOKUP(Tableau1315[[#This Row],[PARCS]],Tableau15[],10,FALSE),"")</f>
        <v>0</v>
      </c>
      <c r="J69" s="20">
        <f>IFERROR(VLOOKUP(Tableau1315[[#This Row],[PARCS]],Tableau15[],18,FALSE),"")</f>
        <v>-841</v>
      </c>
      <c r="K69" s="252">
        <f>IFERROR(VLOOKUP(Tableau1315[[#This Row],[PARCS]],Tableau15[],19,FALSE),"")</f>
        <v>-31561.1</v>
      </c>
      <c r="L69" s="20">
        <f>IFERROR(VLOOKUP(Tableau1315[[#This Row],[PARCS]],Tableau15[],28,FALSE),"")</f>
        <v>-10720</v>
      </c>
      <c r="M69" s="252">
        <f>IFERROR(VLOOKUP(Tableau1315[[#This Row],[PARCS]],Tableau15[],36,FALSE),"")</f>
        <v>0</v>
      </c>
      <c r="N69" s="252">
        <f>IFERROR(VLOOKUP(Tableau1315[[#This Row],[PARCS]],Tableau15[],37,FALSE),"")</f>
        <v>0</v>
      </c>
      <c r="O69" s="467">
        <f>SUM(Tableau1315[[#This Row],[CONTRAT O&amp;M FORFAIT GROUPE]:[CHARGES exceptionnels (BONUS, sinistres)]])</f>
        <v>-43122.1</v>
      </c>
      <c r="P69" s="354">
        <f>VLOOKUP(Tableau1315[[#This Row],[PARCS]],Tableau16[],10,FALSE)</f>
        <v>0</v>
      </c>
      <c r="Q69" s="252">
        <f>VLOOKUP(Tableau1315[[#This Row],[PARCS]],Tableau16[],18,FALSE)</f>
        <v>-170.5</v>
      </c>
      <c r="R69" s="252">
        <f>VLOOKUP(Tableau1315[[#This Row],[PARCS]],Tableau16[],19,FALSE)</f>
        <v>-35312</v>
      </c>
      <c r="S69" s="252">
        <f>VLOOKUP(Tableau1315[[#This Row],[PARCS]],Tableau16[],28,FALSE)</f>
        <v>-15889.871999999999</v>
      </c>
      <c r="T69" s="252">
        <f>VLOOKUP(Tableau1315[[#This Row],[PARCS]],Tableau16[],36,FALSE)</f>
        <v>0</v>
      </c>
      <c r="U69" s="252">
        <f>VLOOKUP(Tableau1315[[#This Row],[PARCS]],Tableau16[],37,FALSE)</f>
        <v>0</v>
      </c>
      <c r="V69" s="467">
        <f>SUM(Tableau1315[[#This Row],[CONTRAT O&amp;M FORFAIT GROUPE2]:[CHARGES exceptionnels (BONUS, sinistres)7]])</f>
        <v>-51372.372000000003</v>
      </c>
      <c r="W69" s="354">
        <f>VLOOKUP(Tableau1315[[#This Row],[PARCS]],Tableau17[],10,FALSE)</f>
        <v>0</v>
      </c>
      <c r="X69" s="252">
        <f>VLOOKUP(Tableau1315[[#This Row],[PARCS]],Tableau17[],18,FALSE)</f>
        <v>-170.5</v>
      </c>
      <c r="Y69" s="252">
        <f>VLOOKUP(Tableau1315[[#This Row],[PARCS]],Tableau17[],19,FALSE)</f>
        <v>-36194.799999999996</v>
      </c>
      <c r="Z69" s="252">
        <f>VLOOKUP(Tableau1315[[#This Row],[PARCS]],Tableau17[],28,FALSE)</f>
        <v>-5360.3720000000003</v>
      </c>
      <c r="AA69" s="252">
        <f>VLOOKUP(Tableau1315[[#This Row],[PARCS]],Tableau17[],36,FALSE)</f>
        <v>0</v>
      </c>
      <c r="AB69" s="252">
        <f>VLOOKUP(Tableau1315[[#This Row],[PARCS]],Tableau17[],37,FALSE)</f>
        <v>0</v>
      </c>
      <c r="AC69" s="468">
        <f>SUM(Tableau1315[[#This Row],[CONTRAT O&amp;M FORFAIT GROUPE22]:[CHARGES exceptionnels (BONUS, sinistres)77]])</f>
        <v>-41725.671999999999</v>
      </c>
      <c r="AD69" s="252">
        <f>Tableau1315[[#This Row],[TOTAL LE3]]-Tableau1315[[#This Row],[TOTAL BN-1]]</f>
        <v>-8250.2720000000045</v>
      </c>
      <c r="AE69" s="351">
        <f>IFERROR((Tableau1315[[#This Row],[TOTAL LE3]]-Tableau1315[[#This Row],[TOTAL BN-1]])/Tableau1315[[#This Row],[TOTAL BN-1]],"")</f>
        <v>0.19132352088604229</v>
      </c>
      <c r="AF69" s="252">
        <f>Tableau1315[[#This Row],[TOTAL BN+1]]-Tableau1315[[#This Row],[TOTAL LE3]]</f>
        <v>9646.7000000000044</v>
      </c>
      <c r="AG69" s="351">
        <f>IFERROR((Tableau1315[[#This Row],[TOTAL BN+1]]-Tableau1315[[#This Row],[TOTAL LE3]])/Tableau1315[[#This Row],[TOTAL LE3]],"")</f>
        <v>-0.1877799218615018</v>
      </c>
      <c r="AH69" s="6" t="s">
        <v>740</v>
      </c>
    </row>
    <row r="70" spans="1:34" hidden="1">
      <c r="A70" s="463" t="s">
        <v>54</v>
      </c>
      <c r="B70" s="464" t="str">
        <f>VLOOKUP(Tableau1315[[#This Row],[PARCS]],Tableau106[],3,FALSE)</f>
        <v>A272</v>
      </c>
      <c r="C70" s="464" t="str">
        <f>VLOOKUP(Tableau1315[[#This Row],[PARCS]],Tableau106[],2,FALSE)</f>
        <v>FR45S03E</v>
      </c>
      <c r="D70" s="465" t="str">
        <f>VLOOKUP(Tableau1315[[#This Row],[PARCS]],Tableau106[],8,FALSE)</f>
        <v>SOLAIRE</v>
      </c>
      <c r="E70" s="465" t="str">
        <f>VLOOKUP(A70,Tableau106[[#Headers],[#Data]],6,FALSE)</f>
        <v>N</v>
      </c>
      <c r="F70" s="466" t="str">
        <f>VLOOKUP(Tableau1315[[#This Row],[PARCS]],Tableau106[],5,FALSE)</f>
        <v>BRIA</v>
      </c>
      <c r="G70" s="464" t="str">
        <f>VLOOKUP(Tableau1315[[#This Row],[PARCS]],Tableau106[],7,FALSE)</f>
        <v>GROUPE</v>
      </c>
      <c r="H70" s="464" t="str">
        <f>VLOOKUP(Tableau1315[[#This Row],[PARCS]],Tableau106[],9,FALSE)</f>
        <v>LoG</v>
      </c>
      <c r="I70" s="350">
        <f>IFERROR(VLOOKUP(Tableau1315[[#This Row],[PARCS]],Tableau15[],10,FALSE),"")</f>
        <v>-79050</v>
      </c>
      <c r="J70" s="20">
        <f>IFERROR(VLOOKUP(Tableau1315[[#This Row],[PARCS]],Tableau15[],18,FALSE),"")</f>
        <v>-15500</v>
      </c>
      <c r="K70" s="252">
        <f>IFERROR(VLOOKUP(Tableau1315[[#This Row],[PARCS]],Tableau15[],19,FALSE),"")</f>
        <v>0</v>
      </c>
      <c r="L70" s="20">
        <f>IFERROR(VLOOKUP(Tableau1315[[#This Row],[PARCS]],Tableau15[],28,FALSE),"")</f>
        <v>-7750</v>
      </c>
      <c r="M70" s="252">
        <f>IFERROR(VLOOKUP(Tableau1315[[#This Row],[PARCS]],Tableau15[],36,FALSE),"")</f>
        <v>0</v>
      </c>
      <c r="N70" s="252">
        <f>IFERROR(VLOOKUP(Tableau1315[[#This Row],[PARCS]],Tableau15[],37,FALSE),"")</f>
        <v>0</v>
      </c>
      <c r="O70" s="467">
        <f>SUM(Tableau1315[[#This Row],[CONTRAT O&amp;M FORFAIT GROUPE]:[CHARGES exceptionnels (BONUS, sinistres)]])</f>
        <v>-102300</v>
      </c>
      <c r="P70" s="354">
        <f>VLOOKUP(Tableau1315[[#This Row],[PARCS]],Tableau16[],10,FALSE)</f>
        <v>-77147</v>
      </c>
      <c r="Q70" s="350">
        <f>VLOOKUP(Tableau1315[[#This Row],[PARCS]],Tableau16[],18,FALSE)</f>
        <v>-44475</v>
      </c>
      <c r="R70" s="350">
        <f>VLOOKUP(Tableau1315[[#This Row],[PARCS]],Tableau16[],19,FALSE)</f>
        <v>0</v>
      </c>
      <c r="S70" s="20">
        <f>VLOOKUP(Tableau1315[[#This Row],[PARCS]],Tableau16[],28,FALSE)</f>
        <v>0</v>
      </c>
      <c r="T70" s="20">
        <f>VLOOKUP(Tableau1315[[#This Row],[PARCS]],Tableau16[],36,FALSE)</f>
        <v>0</v>
      </c>
      <c r="U70" s="20">
        <f>VLOOKUP(Tableau1315[[#This Row],[PARCS]],Tableau16[],37,FALSE)</f>
        <v>0</v>
      </c>
      <c r="V70" s="467">
        <f>SUM(Tableau1315[[#This Row],[CONTRAT O&amp;M FORFAIT GROUPE2]:[CHARGES exceptionnels (BONUS, sinistres)7]])</f>
        <v>-121622</v>
      </c>
      <c r="W70" s="354">
        <f>VLOOKUP(Tableau1315[[#This Row],[PARCS]],Tableau17[],10,FALSE)</f>
        <v>-76986</v>
      </c>
      <c r="X70" s="350">
        <f>VLOOKUP(Tableau1315[[#This Row],[PARCS]],Tableau17[],18,FALSE)</f>
        <v>-23875</v>
      </c>
      <c r="Y70" s="350">
        <f>VLOOKUP(Tableau1315[[#This Row],[PARCS]],Tableau17[],19,FALSE)</f>
        <v>0</v>
      </c>
      <c r="Z70" s="350">
        <f>VLOOKUP(Tableau1315[[#This Row],[PARCS]],Tableau17[],28,FALSE)</f>
        <v>-3875</v>
      </c>
      <c r="AA70" s="350">
        <f>VLOOKUP(Tableau1315[[#This Row],[PARCS]],Tableau17[],36,FALSE)</f>
        <v>-2500</v>
      </c>
      <c r="AB70" s="252">
        <f>VLOOKUP(Tableau1315[[#This Row],[PARCS]],Tableau17[],37,FALSE)</f>
        <v>0</v>
      </c>
      <c r="AC70" s="468">
        <f>SUM(Tableau1315[[#This Row],[CONTRAT O&amp;M FORFAIT GROUPE22]:[CHARGES exceptionnels (BONUS, sinistres)77]])</f>
        <v>-107236</v>
      </c>
      <c r="AD70" s="252">
        <f>Tableau1315[[#This Row],[TOTAL LE3]]-Tableau1315[[#This Row],[TOTAL BN-1]]</f>
        <v>-19322</v>
      </c>
      <c r="AE70" s="351">
        <f>IFERROR((Tableau1315[[#This Row],[TOTAL LE3]]-Tableau1315[[#This Row],[TOTAL BN-1]])/Tableau1315[[#This Row],[TOTAL BN-1]],"")</f>
        <v>0.18887585532746823</v>
      </c>
      <c r="AF70" s="252">
        <f>Tableau1315[[#This Row],[TOTAL BN+1]]-Tableau1315[[#This Row],[TOTAL LE3]]</f>
        <v>14386</v>
      </c>
      <c r="AG70" s="351">
        <f>IFERROR((Tableau1315[[#This Row],[TOTAL BN+1]]-Tableau1315[[#This Row],[TOTAL LE3]])/Tableau1315[[#This Row],[TOTAL LE3]],"")</f>
        <v>-0.11828452089260166</v>
      </c>
      <c r="AH70" s="6" t="s">
        <v>741</v>
      </c>
    </row>
    <row r="71" spans="1:34">
      <c r="A71" s="463" t="s">
        <v>155</v>
      </c>
      <c r="B71" s="464" t="str">
        <f>VLOOKUP(Tableau1315[[#This Row],[PARCS]],Tableau106[],3,FALSE)</f>
        <v>F239</v>
      </c>
      <c r="C71" s="464" t="str">
        <f>VLOOKUP(Tableau1315[[#This Row],[PARCS]],Tableau106[],2,FALSE)</f>
        <v>FR28E91E</v>
      </c>
      <c r="D71" s="465" t="str">
        <f>VLOOKUP(Tableau1315[[#This Row],[PARCS]],Tableau106[],8,FALSE)</f>
        <v>EOLIEN</v>
      </c>
      <c r="E71" s="465" t="str">
        <f>VLOOKUP(A71,Tableau106[[#Headers],[#Data]],6,FALSE)</f>
        <v>N</v>
      </c>
      <c r="F71" s="466" t="str">
        <f>VLOOKUP(Tableau1315[[#This Row],[PARCS]],Tableau106[],5,FALSE)</f>
        <v>GAR1, GAR2</v>
      </c>
      <c r="G71" s="464" t="str">
        <f>VLOOKUP(Tableau1315[[#This Row],[PARCS]],Tableau106[],7,FALSE)</f>
        <v>FUTUREN</v>
      </c>
      <c r="H71" s="464" t="str">
        <f>VLOOKUP(Tableau1315[[#This Row],[PARCS]],Tableau106[],9,FALSE)</f>
        <v>NoS</v>
      </c>
      <c r="I71" s="350">
        <f>IFERROR(VLOOKUP(Tableau1315[[#This Row],[PARCS]],Tableau15[],10,FALSE),"")</f>
        <v>-16716.78</v>
      </c>
      <c r="J71" s="20">
        <f>IFERROR(VLOOKUP(Tableau1315[[#This Row],[PARCS]],Tableau15[],18,FALSE),"")</f>
        <v>-20400</v>
      </c>
      <c r="K71" s="252">
        <f>IFERROR(VLOOKUP(Tableau1315[[#This Row],[PARCS]],Tableau15[],19,FALSE),"")</f>
        <v>-399967.34518400003</v>
      </c>
      <c r="L71" s="20">
        <f>IFERROR(VLOOKUP(Tableau1315[[#This Row],[PARCS]],Tableau15[],28,FALSE),"")</f>
        <v>-30187.5</v>
      </c>
      <c r="M71" s="252">
        <f>IFERROR(VLOOKUP(Tableau1315[[#This Row],[PARCS]],Tableau15[],36,FALSE),"")</f>
        <v>0</v>
      </c>
      <c r="N71" s="252">
        <f>IFERROR(VLOOKUP(Tableau1315[[#This Row],[PARCS]],Tableau15[],37,FALSE),"")</f>
        <v>0</v>
      </c>
      <c r="O71" s="467">
        <f>SUM(Tableau1315[[#This Row],[CONTRAT O&amp;M FORFAIT GROUPE]:[CHARGES exceptionnels (BONUS, sinistres)]])</f>
        <v>-467271.625184</v>
      </c>
      <c r="P71" s="354">
        <f>VLOOKUP(Tableau1315[[#This Row],[PARCS]],Tableau16[],10,FALSE)</f>
        <v>-16811</v>
      </c>
      <c r="Q71" s="350">
        <f>VLOOKUP(Tableau1315[[#This Row],[PARCS]],Tableau16[],18,FALSE)</f>
        <v>-24600</v>
      </c>
      <c r="R71" s="350">
        <f>VLOOKUP(Tableau1315[[#This Row],[PARCS]],Tableau16[],19,FALSE)</f>
        <v>-547083</v>
      </c>
      <c r="S71" s="20">
        <f>VLOOKUP(Tableau1315[[#This Row],[PARCS]],Tableau16[],28,FALSE)</f>
        <v>-33700</v>
      </c>
      <c r="T71" s="20">
        <f>VLOOKUP(Tableau1315[[#This Row],[PARCS]],Tableau16[],36,FALSE)</f>
        <v>0</v>
      </c>
      <c r="U71" s="20">
        <f>VLOOKUP(Tableau1315[[#This Row],[PARCS]],Tableau16[],37,FALSE)</f>
        <v>0</v>
      </c>
      <c r="V71" s="467">
        <f>SUM(Tableau1315[[#This Row],[CONTRAT O&amp;M FORFAIT GROUPE2]:[CHARGES exceptionnels (BONUS, sinistres)7]])</f>
        <v>-622194</v>
      </c>
      <c r="W71" s="354">
        <f>VLOOKUP(Tableau1315[[#This Row],[PARCS]],Tableau17[],10,FALSE)</f>
        <v>-17231.274999999998</v>
      </c>
      <c r="X71" s="350">
        <f>VLOOKUP(Tableau1315[[#This Row],[PARCS]],Tableau17[],18,FALSE)</f>
        <v>-12290</v>
      </c>
      <c r="Y71" s="350">
        <f>VLOOKUP(Tableau1315[[#This Row],[PARCS]],Tableau17[],19,FALSE)</f>
        <v>-560760.07499999995</v>
      </c>
      <c r="Z71" s="350">
        <f>VLOOKUP(Tableau1315[[#This Row],[PARCS]],Tableau17[],28,FALSE)</f>
        <v>-19200</v>
      </c>
      <c r="AA71" s="350">
        <f>VLOOKUP(Tableau1315[[#This Row],[PARCS]],Tableau17[],36,FALSE)</f>
        <v>0</v>
      </c>
      <c r="AB71" s="252">
        <f>VLOOKUP(Tableau1315[[#This Row],[PARCS]],Tableau17[],37,FALSE)</f>
        <v>0</v>
      </c>
      <c r="AC71" s="468">
        <f>SUM(Tableau1315[[#This Row],[CONTRAT O&amp;M FORFAIT GROUPE22]:[CHARGES exceptionnels (BONUS, sinistres)77]])</f>
        <v>-609481.35</v>
      </c>
      <c r="AD71" s="252">
        <f>Tableau1315[[#This Row],[TOTAL LE3]]-Tableau1315[[#This Row],[TOTAL BN-1]]</f>
        <v>-154922.374816</v>
      </c>
      <c r="AE71" s="351">
        <f>IFERROR((Tableau1315[[#This Row],[TOTAL LE3]]-Tableau1315[[#This Row],[TOTAL BN-1]])/Tableau1315[[#This Row],[TOTAL BN-1]],"")</f>
        <v>0.33154672029356674</v>
      </c>
      <c r="AF71" s="252">
        <f>Tableau1315[[#This Row],[TOTAL BN+1]]-Tableau1315[[#This Row],[TOTAL LE3]]</f>
        <v>12712.650000000023</v>
      </c>
      <c r="AG71" s="351">
        <f>IFERROR((Tableau1315[[#This Row],[TOTAL BN+1]]-Tableau1315[[#This Row],[TOTAL LE3]])/Tableau1315[[#This Row],[TOTAL LE3]],"")</f>
        <v>-2.0431971378701858E-2</v>
      </c>
    </row>
    <row r="72" spans="1:34" hidden="1">
      <c r="A72" s="463" t="s">
        <v>445</v>
      </c>
      <c r="B72" s="464" t="str">
        <f>VLOOKUP(Tableau1315[[#This Row],[PARCS]],Tableau106[],3,FALSE)</f>
        <v>A353</v>
      </c>
      <c r="C72" s="464" t="str">
        <f>VLOOKUP(Tableau1315[[#This Row],[PARCS]],Tableau106[],2,FALSE)</f>
        <v>FR64S01E</v>
      </c>
      <c r="D72" s="465" t="str">
        <f>VLOOKUP(Tableau1315[[#This Row],[PARCS]],Tableau106[],8,FALSE)</f>
        <v>SOLAIRE</v>
      </c>
      <c r="E72" s="465" t="str">
        <f>VLOOKUP(A72,Tableau106[[#Headers],[#Data]],6,FALSE)</f>
        <v>S</v>
      </c>
      <c r="F72" s="466" t="str">
        <f>VLOOKUP(Tableau1315[[#This Row],[PARCS]],Tableau106[],5,FALSE)</f>
        <v>ARTI</v>
      </c>
      <c r="G72" s="464" t="str">
        <f>VLOOKUP(Tableau1315[[#This Row],[PARCS]],Tableau106[],7,FALSE)</f>
        <v>GROUPE</v>
      </c>
      <c r="H72" s="464" t="str">
        <f>VLOOKUP(Tableau1315[[#This Row],[PARCS]],Tableau106[],9,FALSE)</f>
        <v>BaA</v>
      </c>
      <c r="I72" s="350">
        <f>IFERROR(VLOOKUP(Tableau1315[[#This Row],[PARCS]],Tableau15[],10,FALSE),"")</f>
        <v>-35863.065389305673</v>
      </c>
      <c r="J72" s="20">
        <f>IFERROR(VLOOKUP(Tableau1315[[#This Row],[PARCS]],Tableau15[],18,FALSE),"")</f>
        <v>-4200</v>
      </c>
      <c r="K72" s="252">
        <f>IFERROR(VLOOKUP(Tableau1315[[#This Row],[PARCS]],Tableau15[],19,FALSE),"")</f>
        <v>0</v>
      </c>
      <c r="L72" s="20">
        <f>IFERROR(VLOOKUP(Tableau1315[[#This Row],[PARCS]],Tableau15[],28,FALSE),"")</f>
        <v>-2100</v>
      </c>
      <c r="M72" s="252">
        <f>IFERROR(VLOOKUP(Tableau1315[[#This Row],[PARCS]],Tableau15[],36,FALSE),"")</f>
        <v>0</v>
      </c>
      <c r="N72" s="252">
        <f>IFERROR(VLOOKUP(Tableau1315[[#This Row],[PARCS]],Tableau15[],37,FALSE),"")</f>
        <v>0</v>
      </c>
      <c r="O72" s="467">
        <f>SUM(Tableau1315[[#This Row],[CONTRAT O&amp;M FORFAIT GROUPE]:[CHARGES exceptionnels (BONUS, sinistres)]])</f>
        <v>-42163.065389305673</v>
      </c>
      <c r="P72" s="354">
        <f>VLOOKUP(Tableau1315[[#This Row],[PARCS]],Tableau16[],10,FALSE)</f>
        <v>-36065</v>
      </c>
      <c r="Q72" s="350">
        <f>VLOOKUP(Tableau1315[[#This Row],[PARCS]],Tableau16[],18,FALSE)</f>
        <v>-12130</v>
      </c>
      <c r="R72" s="350">
        <f>VLOOKUP(Tableau1315[[#This Row],[PARCS]],Tableau16[],19,FALSE)</f>
        <v>0</v>
      </c>
      <c r="S72" s="20">
        <f>VLOOKUP(Tableau1315[[#This Row],[PARCS]],Tableau16[],28,FALSE)</f>
        <v>-1050</v>
      </c>
      <c r="T72" s="20">
        <f>VLOOKUP(Tableau1315[[#This Row],[PARCS]],Tableau16[],36,FALSE)</f>
        <v>0</v>
      </c>
      <c r="U72" s="20">
        <f>VLOOKUP(Tableau1315[[#This Row],[PARCS]],Tableau16[],37,FALSE)</f>
        <v>0</v>
      </c>
      <c r="V72" s="467">
        <f>SUM(Tableau1315[[#This Row],[CONTRAT O&amp;M FORFAIT GROUPE2]:[CHARGES exceptionnels (BONUS, sinistres)7]])</f>
        <v>-49245</v>
      </c>
      <c r="W72" s="354">
        <f>VLOOKUP(Tableau1315[[#This Row],[PARCS]],Tableau17[],10,FALSE)</f>
        <v>-36966.625</v>
      </c>
      <c r="X72" s="350">
        <f>VLOOKUP(Tableau1315[[#This Row],[PARCS]],Tableau17[],18,FALSE)</f>
        <v>-7489.9999999999991</v>
      </c>
      <c r="Y72" s="350">
        <f>VLOOKUP(Tableau1315[[#This Row],[PARCS]],Tableau17[],19,FALSE)</f>
        <v>0</v>
      </c>
      <c r="Z72" s="350">
        <f>VLOOKUP(Tableau1315[[#This Row],[PARCS]],Tableau17[],28,FALSE)</f>
        <v>-1050</v>
      </c>
      <c r="AA72" s="350">
        <f>VLOOKUP(Tableau1315[[#This Row],[PARCS]],Tableau17[],36,FALSE)</f>
        <v>0</v>
      </c>
      <c r="AB72" s="252">
        <f>VLOOKUP(Tableau1315[[#This Row],[PARCS]],Tableau17[],37,FALSE)</f>
        <v>0</v>
      </c>
      <c r="AC72" s="468">
        <f>SUM(Tableau1315[[#This Row],[CONTRAT O&amp;M FORFAIT GROUPE22]:[CHARGES exceptionnels (BONUS, sinistres)77]])</f>
        <v>-45506.625</v>
      </c>
      <c r="AD72" s="252">
        <f>Tableau1315[[#This Row],[TOTAL LE3]]-Tableau1315[[#This Row],[TOTAL BN-1]]</f>
        <v>-7081.9346106943267</v>
      </c>
      <c r="AE72" s="351">
        <f>IFERROR((Tableau1315[[#This Row],[TOTAL LE3]]-Tableau1315[[#This Row],[TOTAL BN-1]])/Tableau1315[[#This Row],[TOTAL BN-1]],"")</f>
        <v>0.16796536364954628</v>
      </c>
      <c r="AF72" s="252">
        <f>Tableau1315[[#This Row],[TOTAL BN+1]]-Tableau1315[[#This Row],[TOTAL LE3]]</f>
        <v>3738.375</v>
      </c>
      <c r="AG72" s="351">
        <f>IFERROR((Tableau1315[[#This Row],[TOTAL BN+1]]-Tableau1315[[#This Row],[TOTAL LE3]])/Tableau1315[[#This Row],[TOTAL LE3]],"")</f>
        <v>-7.5913798355162959E-2</v>
      </c>
    </row>
    <row r="73" spans="1:34" hidden="1">
      <c r="A73" s="463" t="s">
        <v>565</v>
      </c>
      <c r="B73" s="464" t="str">
        <f>VLOOKUP(Tableau1315[[#This Row],[PARCS]],Tableau106[],3,FALSE)</f>
        <v>A540</v>
      </c>
      <c r="C73" s="464" t="str">
        <f>VLOOKUP(Tableau1315[[#This Row],[PARCS]],Tableau106[],2,FALSE)</f>
        <v>FR56E02E</v>
      </c>
      <c r="D73" s="465" t="str">
        <f>VLOOKUP(Tableau1315[[#This Row],[PARCS]],Tableau106[],8,FALSE)</f>
        <v>EOLIEN</v>
      </c>
      <c r="E73" s="465" t="str">
        <f>VLOOKUP(A73,Tableau106[[#Headers],[#Data]],6,FALSE)</f>
        <v>N</v>
      </c>
      <c r="F73" s="466" t="str">
        <f>VLOOKUP(Tableau1315[[#This Row],[PARCS]],Tableau106[],5,FALSE)</f>
        <v>GRPL</v>
      </c>
      <c r="G73" s="464" t="str">
        <f>VLOOKUP(Tableau1315[[#This Row],[PARCS]],Tableau106[],7,FALSE)</f>
        <v>EGM</v>
      </c>
      <c r="H73" s="464" t="str">
        <f>VLOOKUP(Tableau1315[[#This Row],[PARCS]],Tableau106[],9,FALSE)</f>
        <v>MaA</v>
      </c>
      <c r="I73" s="350">
        <f>IFERROR(VLOOKUP(Tableau1315[[#This Row],[PARCS]],Tableau15[],10,FALSE),"")</f>
        <v>-308014.31530515221</v>
      </c>
      <c r="J73" s="20">
        <f>IFERROR(VLOOKUP(Tableau1315[[#This Row],[PARCS]],Tableau15[],18,FALSE),"")</f>
        <v>-58882.539682539682</v>
      </c>
      <c r="K73" s="252">
        <f>IFERROR(VLOOKUP(Tableau1315[[#This Row],[PARCS]],Tableau15[],19,FALSE),"")</f>
        <v>0</v>
      </c>
      <c r="L73" s="20">
        <f>IFERROR(VLOOKUP(Tableau1315[[#This Row],[PARCS]],Tableau15[],28,FALSE),"")</f>
        <v>-12000</v>
      </c>
      <c r="M73" s="252">
        <f>IFERROR(VLOOKUP(Tableau1315[[#This Row],[PARCS]],Tableau15[],36,FALSE),"")</f>
        <v>-24000</v>
      </c>
      <c r="N73" s="252">
        <f>IFERROR(VLOOKUP(Tableau1315[[#This Row],[PARCS]],Tableau15[],37,FALSE),"")</f>
        <v>0</v>
      </c>
      <c r="O73" s="467">
        <f>SUM(Tableau1315[[#This Row],[CONTRAT O&amp;M FORFAIT GROUPE]:[CHARGES exceptionnels (BONUS, sinistres)]])</f>
        <v>-402896.85498769191</v>
      </c>
      <c r="P73" s="354">
        <f>VLOOKUP(Tableau1315[[#This Row],[PARCS]],Tableau16[],10,FALSE)</f>
        <v>-309748</v>
      </c>
      <c r="Q73" s="350">
        <f>VLOOKUP(Tableau1315[[#This Row],[PARCS]],Tableau16[],18,FALSE)</f>
        <v>-393110</v>
      </c>
      <c r="R73" s="350">
        <f>VLOOKUP(Tableau1315[[#This Row],[PARCS]],Tableau16[],19,FALSE)</f>
        <v>0</v>
      </c>
      <c r="S73" s="20">
        <f>VLOOKUP(Tableau1315[[#This Row],[PARCS]],Tableau16[],28,FALSE)</f>
        <v>-40637</v>
      </c>
      <c r="T73" s="20">
        <f>VLOOKUP(Tableau1315[[#This Row],[PARCS]],Tableau16[],36,FALSE)</f>
        <v>0</v>
      </c>
      <c r="U73" s="20">
        <f>VLOOKUP(Tableau1315[[#This Row],[PARCS]],Tableau16[],37,FALSE)</f>
        <v>0</v>
      </c>
      <c r="V73" s="467">
        <f>SUM(Tableau1315[[#This Row],[CONTRAT O&amp;M FORFAIT GROUPE2]:[CHARGES exceptionnels (BONUS, sinistres)7]])</f>
        <v>-743495</v>
      </c>
      <c r="W73" s="354">
        <f>VLOOKUP(Tableau1315[[#This Row],[PARCS]],Tableau17[],10,FALSE)</f>
        <v>-317491.69999999995</v>
      </c>
      <c r="X73" s="350">
        <f>VLOOKUP(Tableau1315[[#This Row],[PARCS]],Tableau17[],18,FALSE)</f>
        <v>-350200</v>
      </c>
      <c r="Y73" s="350">
        <f>VLOOKUP(Tableau1315[[#This Row],[PARCS]],Tableau17[],19,FALSE)</f>
        <v>0</v>
      </c>
      <c r="Z73" s="350">
        <f>VLOOKUP(Tableau1315[[#This Row],[PARCS]],Tableau17[],28,FALSE)</f>
        <v>-9000</v>
      </c>
      <c r="AA73" s="350">
        <f>VLOOKUP(Tableau1315[[#This Row],[PARCS]],Tableau17[],36,FALSE)</f>
        <v>0</v>
      </c>
      <c r="AB73" s="252">
        <f>VLOOKUP(Tableau1315[[#This Row],[PARCS]],Tableau17[],37,FALSE)</f>
        <v>0</v>
      </c>
      <c r="AC73" s="468">
        <f>SUM(Tableau1315[[#This Row],[CONTRAT O&amp;M FORFAIT GROUPE22]:[CHARGES exceptionnels (BONUS, sinistres)77]])</f>
        <v>-676691.7</v>
      </c>
      <c r="AD73" s="252">
        <f>Tableau1315[[#This Row],[TOTAL LE3]]-Tableau1315[[#This Row],[TOTAL BN-1]]</f>
        <v>-340598.14501230809</v>
      </c>
      <c r="AE73" s="351">
        <f>IFERROR((Tableau1315[[#This Row],[TOTAL LE3]]-Tableau1315[[#This Row],[TOTAL BN-1]])/Tableau1315[[#This Row],[TOTAL BN-1]],"")</f>
        <v>0.84537305465616752</v>
      </c>
      <c r="AF73" s="252">
        <f>Tableau1315[[#This Row],[TOTAL BN+1]]-Tableau1315[[#This Row],[TOTAL LE3]]</f>
        <v>66803.300000000047</v>
      </c>
      <c r="AG73" s="351">
        <f>IFERROR((Tableau1315[[#This Row],[TOTAL BN+1]]-Tableau1315[[#This Row],[TOTAL LE3]])/Tableau1315[[#This Row],[TOTAL LE3]],"")</f>
        <v>-8.9850368865964189E-2</v>
      </c>
    </row>
    <row r="74" spans="1:34" hidden="1">
      <c r="A74" s="463" t="s">
        <v>467</v>
      </c>
      <c r="B74" s="464" t="str">
        <f>VLOOKUP(Tableau1315[[#This Row],[PARCS]],Tableau106[],3,FALSE)</f>
        <v>A420</v>
      </c>
      <c r="C74" s="464" t="str">
        <f>VLOOKUP(Tableau1315[[#This Row],[PARCS]],Tableau106[],2,FALSE)</f>
        <v>FR28E02E</v>
      </c>
      <c r="D74" s="465" t="str">
        <f>VLOOKUP(Tableau1315[[#This Row],[PARCS]],Tableau106[],8,FALSE)</f>
        <v>EOLIEN</v>
      </c>
      <c r="E74" s="465" t="str">
        <f>VLOOKUP(A74,Tableau106[[#Headers],[#Data]],6,FALSE)</f>
        <v>N</v>
      </c>
      <c r="F74" s="466" t="str">
        <f>VLOOKUP(Tableau1315[[#This Row],[PARCS]],Tableau106[],5,FALSE)</f>
        <v>GUIL</v>
      </c>
      <c r="G74" s="464" t="str">
        <f>VLOOKUP(Tableau1315[[#This Row],[PARCS]],Tableau106[],7,FALSE)</f>
        <v>GROUPE</v>
      </c>
      <c r="H74" s="464" t="str">
        <f>VLOOKUP(Tableau1315[[#This Row],[PARCS]],Tableau106[],9,FALSE)</f>
        <v>AlY</v>
      </c>
      <c r="I74" s="350">
        <f>IFERROR(VLOOKUP(Tableau1315[[#This Row],[PARCS]],Tableau15[],10,FALSE),"")</f>
        <v>-23044.475409836065</v>
      </c>
      <c r="J74" s="20">
        <f>IFERROR(VLOOKUP(Tableau1315[[#This Row],[PARCS]],Tableau15[],18,FALSE),"")</f>
        <v>-23895</v>
      </c>
      <c r="K74" s="252">
        <f>IFERROR(VLOOKUP(Tableau1315[[#This Row],[PARCS]],Tableau15[],19,FALSE),"")</f>
        <v>-249749.09289999999</v>
      </c>
      <c r="L74" s="20">
        <f>IFERROR(VLOOKUP(Tableau1315[[#This Row],[PARCS]],Tableau15[],28,FALSE),"")</f>
        <v>-9850</v>
      </c>
      <c r="M74" s="252">
        <f>IFERROR(VLOOKUP(Tableau1315[[#This Row],[PARCS]],Tableau15[],36,FALSE),"")</f>
        <v>-12200</v>
      </c>
      <c r="N74" s="252">
        <f>IFERROR(VLOOKUP(Tableau1315[[#This Row],[PARCS]],Tableau15[],37,FALSE),"")</f>
        <v>0</v>
      </c>
      <c r="O74" s="467">
        <f>SUM(Tableau1315[[#This Row],[CONTRAT O&amp;M FORFAIT GROUPE]:[CHARGES exceptionnels (BONUS, sinistres)]])</f>
        <v>-318738.56830983603</v>
      </c>
      <c r="P74" s="354">
        <f>VLOOKUP(Tableau1315[[#This Row],[PARCS]],Tableau16[],10,FALSE)</f>
        <v>-23174</v>
      </c>
      <c r="Q74" s="350">
        <f>VLOOKUP(Tableau1315[[#This Row],[PARCS]],Tableau16[],18,FALSE)</f>
        <v>-17403</v>
      </c>
      <c r="R74" s="350">
        <f>VLOOKUP(Tableau1315[[#This Row],[PARCS]],Tableau16[],19,FALSE)</f>
        <v>-266064</v>
      </c>
      <c r="S74" s="20">
        <f>VLOOKUP(Tableau1315[[#This Row],[PARCS]],Tableau16[],28,FALSE)</f>
        <v>-8625</v>
      </c>
      <c r="T74" s="20">
        <f>VLOOKUP(Tableau1315[[#This Row],[PARCS]],Tableau16[],36,FALSE)</f>
        <v>-12200</v>
      </c>
      <c r="U74" s="20">
        <f>VLOOKUP(Tableau1315[[#This Row],[PARCS]],Tableau16[],37,FALSE)</f>
        <v>-9235</v>
      </c>
      <c r="V74" s="467">
        <f>SUM(Tableau1315[[#This Row],[CONTRAT O&amp;M FORFAIT GROUPE2]:[CHARGES exceptionnels (BONUS, sinistres)7]])</f>
        <v>-336701</v>
      </c>
      <c r="W74" s="354">
        <f>VLOOKUP(Tableau1315[[#This Row],[PARCS]],Tableau17[],10,FALSE)</f>
        <v>-23753.35</v>
      </c>
      <c r="X74" s="350">
        <f>VLOOKUP(Tableau1315[[#This Row],[PARCS]],Tableau17[],18,FALSE)</f>
        <v>-13433</v>
      </c>
      <c r="Y74" s="350">
        <f>VLOOKUP(Tableau1315[[#This Row],[PARCS]],Tableau17[],19,FALSE)</f>
        <v>-272715.59999999998</v>
      </c>
      <c r="Z74" s="350">
        <f>VLOOKUP(Tableau1315[[#This Row],[PARCS]],Tableau17[],28,FALSE)</f>
        <v>-8025</v>
      </c>
      <c r="AA74" s="350">
        <f>VLOOKUP(Tableau1315[[#This Row],[PARCS]],Tableau17[],36,FALSE)</f>
        <v>-17247.099999999999</v>
      </c>
      <c r="AB74" s="252">
        <f>VLOOKUP(Tableau1315[[#This Row],[PARCS]],Tableau17[],37,FALSE)</f>
        <v>0</v>
      </c>
      <c r="AC74" s="468">
        <f>SUM(Tableau1315[[#This Row],[CONTRAT O&amp;M FORFAIT GROUPE22]:[CHARGES exceptionnels (BONUS, sinistres)77]])</f>
        <v>-335174.04999999993</v>
      </c>
      <c r="AD74" s="252">
        <f>Tableau1315[[#This Row],[TOTAL LE3]]-Tableau1315[[#This Row],[TOTAL BN-1]]</f>
        <v>-17962.431690163969</v>
      </c>
      <c r="AE74" s="351">
        <f>IFERROR((Tableau1315[[#This Row],[TOTAL LE3]]-Tableau1315[[#This Row],[TOTAL BN-1]])/Tableau1315[[#This Row],[TOTAL BN-1]],"")</f>
        <v>5.6354747984885337E-2</v>
      </c>
      <c r="AF74" s="252">
        <f>Tableau1315[[#This Row],[TOTAL BN+1]]-Tableau1315[[#This Row],[TOTAL LE3]]</f>
        <v>1526.9500000000698</v>
      </c>
      <c r="AG74" s="351">
        <f>IFERROR((Tableau1315[[#This Row],[TOTAL BN+1]]-Tableau1315[[#This Row],[TOTAL LE3]])/Tableau1315[[#This Row],[TOTAL LE3]],"")</f>
        <v>-4.5350325659860528E-3</v>
      </c>
    </row>
    <row r="75" spans="1:34">
      <c r="A75" s="463" t="s">
        <v>547</v>
      </c>
      <c r="B75" s="464" t="str">
        <f>VLOOKUP(Tableau1315[[#This Row],[PARCS]],Tableau106[],3,FALSE)</f>
        <v>F168</v>
      </c>
      <c r="C75" s="464" t="str">
        <f>VLOOKUP(Tableau1315[[#This Row],[PARCS]],Tableau106[],2,FALSE)</f>
        <v>FR80E91E</v>
      </c>
      <c r="D75" s="465" t="str">
        <f>VLOOKUP(Tableau1315[[#This Row],[PARCS]],Tableau106[],8,FALSE)</f>
        <v>EOLIEN</v>
      </c>
      <c r="E75" s="465" t="str">
        <f>VLOOKUP(A75,Tableau106[[#Headers],[#Data]],6,FALSE)</f>
        <v>N</v>
      </c>
      <c r="F75" s="466" t="str">
        <f>VLOOKUP(Tableau1315[[#This Row],[PARCS]],Tableau106[],5,FALSE)</f>
        <v>HAB1, HAB2</v>
      </c>
      <c r="G75" s="464" t="str">
        <f>VLOOKUP(Tableau1315[[#This Row],[PARCS]],Tableau106[],7,FALSE)</f>
        <v>FUTUREN</v>
      </c>
      <c r="H75" s="464" t="str">
        <f>VLOOKUP(Tableau1315[[#This Row],[PARCS]],Tableau106[],9,FALSE)</f>
        <v>NiD</v>
      </c>
      <c r="I75" s="350">
        <f>IFERROR(VLOOKUP(Tableau1315[[#This Row],[PARCS]],Tableau15[],10,FALSE),"")</f>
        <v>-12310.380000000001</v>
      </c>
      <c r="J75" s="20">
        <f>IFERROR(VLOOKUP(Tableau1315[[#This Row],[PARCS]],Tableau15[],18,FALSE),"")</f>
        <v>-22500</v>
      </c>
      <c r="K75" s="252">
        <f>IFERROR(VLOOKUP(Tableau1315[[#This Row],[PARCS]],Tableau15[],19,FALSE),"")</f>
        <v>-498371.14909999998</v>
      </c>
      <c r="L75" s="20">
        <f>IFERROR(VLOOKUP(Tableau1315[[#This Row],[PARCS]],Tableau15[],28,FALSE),"")</f>
        <v>-27131</v>
      </c>
      <c r="M75" s="252">
        <f>IFERROR(VLOOKUP(Tableau1315[[#This Row],[PARCS]],Tableau15[],36,FALSE),"")</f>
        <v>0</v>
      </c>
      <c r="N75" s="252">
        <f>IFERROR(VLOOKUP(Tableau1315[[#This Row],[PARCS]],Tableau15[],37,FALSE),"")</f>
        <v>0</v>
      </c>
      <c r="O75" s="467">
        <f>SUM(Tableau1315[[#This Row],[CONTRAT O&amp;M FORFAIT GROUPE]:[CHARGES exceptionnels (BONUS, sinistres)]])</f>
        <v>-560312.52909999993</v>
      </c>
      <c r="P75" s="354">
        <f>VLOOKUP(Tableau1315[[#This Row],[PARCS]],Tableau16[],10,FALSE)</f>
        <v>-15210</v>
      </c>
      <c r="Q75" s="350">
        <f>VLOOKUP(Tableau1315[[#This Row],[PARCS]],Tableau16[],18,FALSE)</f>
        <v>-8550</v>
      </c>
      <c r="R75" s="350">
        <f>VLOOKUP(Tableau1315[[#This Row],[PARCS]],Tableau16[],19,FALSE)</f>
        <v>-526334</v>
      </c>
      <c r="S75" s="20">
        <f>VLOOKUP(Tableau1315[[#This Row],[PARCS]],Tableau16[],28,FALSE)</f>
        <v>-17469</v>
      </c>
      <c r="T75" s="20">
        <f>VLOOKUP(Tableau1315[[#This Row],[PARCS]],Tableau16[],36,FALSE)</f>
        <v>0</v>
      </c>
      <c r="U75" s="20">
        <f>VLOOKUP(Tableau1315[[#This Row],[PARCS]],Tableau16[],37,FALSE)</f>
        <v>-713</v>
      </c>
      <c r="V75" s="467">
        <f>SUM(Tableau1315[[#This Row],[CONTRAT O&amp;M FORFAIT GROUPE2]:[CHARGES exceptionnels (BONUS, sinistres)7]])</f>
        <v>-568276</v>
      </c>
      <c r="W75" s="354">
        <f>VLOOKUP(Tableau1315[[#This Row],[PARCS]],Tableau17[],10,FALSE)</f>
        <v>-15590.249999999998</v>
      </c>
      <c r="X75" s="350">
        <f>VLOOKUP(Tableau1315[[#This Row],[PARCS]],Tableau17[],18,FALSE)</f>
        <v>-17870</v>
      </c>
      <c r="Y75" s="350">
        <f>VLOOKUP(Tableau1315[[#This Row],[PARCS]],Tableau17[],19,FALSE)</f>
        <v>-539492.35</v>
      </c>
      <c r="Z75" s="350">
        <f>VLOOKUP(Tableau1315[[#This Row],[PARCS]],Tableau17[],28,FALSE)</f>
        <v>-10750</v>
      </c>
      <c r="AA75" s="350">
        <f>VLOOKUP(Tableau1315[[#This Row],[PARCS]],Tableau17[],36,FALSE)</f>
        <v>0</v>
      </c>
      <c r="AB75" s="252">
        <f>VLOOKUP(Tableau1315[[#This Row],[PARCS]],Tableau17[],37,FALSE)</f>
        <v>0</v>
      </c>
      <c r="AC75" s="468">
        <f>SUM(Tableau1315[[#This Row],[CONTRAT O&amp;M FORFAIT GROUPE22]:[CHARGES exceptionnels (BONUS, sinistres)77]])</f>
        <v>-583702.6</v>
      </c>
      <c r="AD75" s="252">
        <f>Tableau1315[[#This Row],[TOTAL LE3]]-Tableau1315[[#This Row],[TOTAL BN-1]]</f>
        <v>-7963.470900000073</v>
      </c>
      <c r="AE75" s="351">
        <f>IFERROR((Tableau1315[[#This Row],[TOTAL LE3]]-Tableau1315[[#This Row],[TOTAL BN-1]])/Tableau1315[[#This Row],[TOTAL BN-1]],"")</f>
        <v>1.4212551899903739E-2</v>
      </c>
      <c r="AF75" s="252">
        <f>Tableau1315[[#This Row],[TOTAL BN+1]]-Tableau1315[[#This Row],[TOTAL LE3]]</f>
        <v>-15426.599999999977</v>
      </c>
      <c r="AG75" s="351">
        <f>IFERROR((Tableau1315[[#This Row],[TOTAL BN+1]]-Tableau1315[[#This Row],[TOTAL LE3]])/Tableau1315[[#This Row],[TOTAL LE3]],"")</f>
        <v>2.7146316226622235E-2</v>
      </c>
    </row>
    <row r="76" spans="1:34" hidden="1">
      <c r="A76" s="463" t="s">
        <v>477</v>
      </c>
      <c r="B76" s="464" t="str">
        <f>VLOOKUP(Tableau1315[[#This Row],[PARCS]],Tableau106[],3,FALSE)</f>
        <v>A531</v>
      </c>
      <c r="C76" s="464" t="str">
        <f>VLOOKUP(Tableau1315[[#This Row],[PARCS]],Tableau106[],2,FALSE)</f>
        <v>FR62E01E</v>
      </c>
      <c r="D76" s="465" t="str">
        <f>VLOOKUP(Tableau1315[[#This Row],[PARCS]],Tableau106[],8,FALSE)</f>
        <v>EOLIEN</v>
      </c>
      <c r="E76" s="465" t="str">
        <f>VLOOKUP(A76,Tableau106[[#Headers],[#Data]],6,FALSE)</f>
        <v>N</v>
      </c>
      <c r="F76" s="466" t="str">
        <f>VLOOKUP(Tableau1315[[#This Row],[PARCS]],Tableau106[],5,FALSE)</f>
        <v>HENI</v>
      </c>
      <c r="G76" s="464" t="str">
        <f>VLOOKUP(Tableau1315[[#This Row],[PARCS]],Tableau106[],7,FALSE)</f>
        <v>GROUPE</v>
      </c>
      <c r="H76" s="464" t="str">
        <f>VLOOKUP(Tableau1315[[#This Row],[PARCS]],Tableau106[],9,FALSE)</f>
        <v>NiL</v>
      </c>
      <c r="I76" s="350">
        <f>IFERROR(VLOOKUP(Tableau1315[[#This Row],[PARCS]],Tableau15[],10,FALSE),"")</f>
        <v>-12626.246851385387</v>
      </c>
      <c r="J76" s="20">
        <f>IFERROR(VLOOKUP(Tableau1315[[#This Row],[PARCS]],Tableau15[],18,FALSE),"")</f>
        <v>-8100</v>
      </c>
      <c r="K76" s="252">
        <f>IFERROR(VLOOKUP(Tableau1315[[#This Row],[PARCS]],Tableau15[],19,FALSE),"")</f>
        <v>-181578.13500000001</v>
      </c>
      <c r="L76" s="20">
        <f>IFERROR(VLOOKUP(Tableau1315[[#This Row],[PARCS]],Tableau15[],28,FALSE),"")</f>
        <v>-3600</v>
      </c>
      <c r="M76" s="252">
        <f>IFERROR(VLOOKUP(Tableau1315[[#This Row],[PARCS]],Tableau15[],36,FALSE),"")</f>
        <v>-40000</v>
      </c>
      <c r="N76" s="252">
        <f>IFERROR(VLOOKUP(Tableau1315[[#This Row],[PARCS]],Tableau15[],37,FALSE),"")</f>
        <v>0</v>
      </c>
      <c r="O76" s="467">
        <f>SUM(Tableau1315[[#This Row],[CONTRAT O&amp;M FORFAIT GROUPE]:[CHARGES exceptionnels (BONUS, sinistres)]])</f>
        <v>-245904.38185138541</v>
      </c>
      <c r="P76" s="354">
        <f>VLOOKUP(Tableau1315[[#This Row],[PARCS]],Tableau16[],10,FALSE)</f>
        <v>-9220</v>
      </c>
      <c r="Q76" s="350">
        <f>VLOOKUP(Tableau1315[[#This Row],[PARCS]],Tableau16[],18,FALSE)</f>
        <v>-17190</v>
      </c>
      <c r="R76" s="350">
        <f>VLOOKUP(Tableau1315[[#This Row],[PARCS]],Tableau16[],19,FALSE)</f>
        <v>-197309</v>
      </c>
      <c r="S76" s="20">
        <f>VLOOKUP(Tableau1315[[#This Row],[PARCS]],Tableau16[],28,FALSE)</f>
        <v>-9380</v>
      </c>
      <c r="T76" s="20">
        <f>VLOOKUP(Tableau1315[[#This Row],[PARCS]],Tableau16[],36,FALSE)</f>
        <v>-40846</v>
      </c>
      <c r="U76" s="20">
        <f>VLOOKUP(Tableau1315[[#This Row],[PARCS]],Tableau16[],37,FALSE)</f>
        <v>0</v>
      </c>
      <c r="V76" s="467">
        <f>SUM(Tableau1315[[#This Row],[CONTRAT O&amp;M FORFAIT GROUPE2]:[CHARGES exceptionnels (BONUS, sinistres)7]])</f>
        <v>-273945</v>
      </c>
      <c r="W76" s="354">
        <f>VLOOKUP(Tableau1315[[#This Row],[PARCS]],Tableau17[],10,FALSE)</f>
        <v>-9450.5</v>
      </c>
      <c r="X76" s="350">
        <f>VLOOKUP(Tableau1315[[#This Row],[PARCS]],Tableau17[],18,FALSE)</f>
        <v>-16940</v>
      </c>
      <c r="Y76" s="350">
        <f>VLOOKUP(Tableau1315[[#This Row],[PARCS]],Tableau17[],19,FALSE)</f>
        <v>-202241.72499999998</v>
      </c>
      <c r="Z76" s="350">
        <f>VLOOKUP(Tableau1315[[#This Row],[PARCS]],Tableau17[],28,FALSE)</f>
        <v>-3450</v>
      </c>
      <c r="AA76" s="350">
        <f>VLOOKUP(Tableau1315[[#This Row],[PARCS]],Tableau17[],36,FALSE)</f>
        <v>-51000</v>
      </c>
      <c r="AB76" s="252">
        <f>VLOOKUP(Tableau1315[[#This Row],[PARCS]],Tableau17[],37,FALSE)</f>
        <v>0</v>
      </c>
      <c r="AC76" s="468">
        <f>SUM(Tableau1315[[#This Row],[CONTRAT O&amp;M FORFAIT GROUPE22]:[CHARGES exceptionnels (BONUS, sinistres)77]])</f>
        <v>-283082.22499999998</v>
      </c>
      <c r="AD76" s="252">
        <f>Tableau1315[[#This Row],[TOTAL LE3]]-Tableau1315[[#This Row],[TOTAL BN-1]]</f>
        <v>-28040.618148614594</v>
      </c>
      <c r="AE76" s="351">
        <f>IFERROR((Tableau1315[[#This Row],[TOTAL LE3]]-Tableau1315[[#This Row],[TOTAL BN-1]])/Tableau1315[[#This Row],[TOTAL BN-1]],"")</f>
        <v>0.11403057537039418</v>
      </c>
      <c r="AF76" s="252">
        <f>Tableau1315[[#This Row],[TOTAL BN+1]]-Tableau1315[[#This Row],[TOTAL LE3]]</f>
        <v>-9137.2249999999767</v>
      </c>
      <c r="AG76" s="351">
        <f>IFERROR((Tableau1315[[#This Row],[TOTAL BN+1]]-Tableau1315[[#This Row],[TOTAL LE3]])/Tableau1315[[#This Row],[TOTAL LE3]],"")</f>
        <v>3.3354231688842564E-2</v>
      </c>
    </row>
    <row r="77" spans="1:34" hidden="1">
      <c r="A77" s="463" t="s">
        <v>458</v>
      </c>
      <c r="B77" s="464" t="str">
        <f>VLOOKUP(Tableau1315[[#This Row],[PARCS]],Tableau106[],3,FALSE)</f>
        <v>A540</v>
      </c>
      <c r="C77" s="464" t="str">
        <f>VLOOKUP(Tableau1315[[#This Row],[PARCS]],Tableau106[],2,FALSE)</f>
        <v>FR14E03E</v>
      </c>
      <c r="D77" s="465" t="str">
        <f>VLOOKUP(Tableau1315[[#This Row],[PARCS]],Tableau106[],8,FALSE)</f>
        <v>EOLIEN</v>
      </c>
      <c r="E77" s="465" t="str">
        <f>VLOOKUP(A77,Tableau106[[#Headers],[#Data]],6,FALSE)</f>
        <v>N</v>
      </c>
      <c r="F77" s="466" t="str">
        <f>VLOOKUP(Tableau1315[[#This Row],[PARCS]],Tableau106[],5,FALSE)</f>
        <v>HERO</v>
      </c>
      <c r="G77" s="464" t="str">
        <f>VLOOKUP(Tableau1315[[#This Row],[PARCS]],Tableau106[],7,FALSE)</f>
        <v>EGM</v>
      </c>
      <c r="H77" s="464" t="str">
        <f>VLOOKUP(Tableau1315[[#This Row],[PARCS]],Tableau106[],9,FALSE)</f>
        <v>DeN</v>
      </c>
      <c r="I77" s="350">
        <f>IFERROR(VLOOKUP(Tableau1315[[#This Row],[PARCS]],Tableau15[],10,FALSE),"")</f>
        <v>-205342.87687010149</v>
      </c>
      <c r="J77" s="20">
        <f>IFERROR(VLOOKUP(Tableau1315[[#This Row],[PARCS]],Tableau15[],18,FALSE),"")</f>
        <v>-37255.026455026455</v>
      </c>
      <c r="K77" s="252">
        <f>IFERROR(VLOOKUP(Tableau1315[[#This Row],[PARCS]],Tableau15[],19,FALSE),"")</f>
        <v>0</v>
      </c>
      <c r="L77" s="20">
        <f>IFERROR(VLOOKUP(Tableau1315[[#This Row],[PARCS]],Tableau15[],28,FALSE),"")</f>
        <v>-5000</v>
      </c>
      <c r="M77" s="252">
        <f>IFERROR(VLOOKUP(Tableau1315[[#This Row],[PARCS]],Tableau15[],36,FALSE),"")</f>
        <v>0</v>
      </c>
      <c r="N77" s="252">
        <f>IFERROR(VLOOKUP(Tableau1315[[#This Row],[PARCS]],Tableau15[],37,FALSE),"")</f>
        <v>0</v>
      </c>
      <c r="O77" s="467">
        <f>SUM(Tableau1315[[#This Row],[CONTRAT O&amp;M FORFAIT GROUPE]:[CHARGES exceptionnels (BONUS, sinistres)]])</f>
        <v>-247597.90332512796</v>
      </c>
      <c r="P77" s="354">
        <f>VLOOKUP(Tableau1315[[#This Row],[PARCS]],Tableau16[],10,FALSE)</f>
        <v>-206499</v>
      </c>
      <c r="Q77" s="350">
        <f>VLOOKUP(Tableau1315[[#This Row],[PARCS]],Tableau16[],18,FALSE)</f>
        <v>-124800</v>
      </c>
      <c r="R77" s="350">
        <f>VLOOKUP(Tableau1315[[#This Row],[PARCS]],Tableau16[],19,FALSE)</f>
        <v>0</v>
      </c>
      <c r="S77" s="20">
        <f>VLOOKUP(Tableau1315[[#This Row],[PARCS]],Tableau16[],28,FALSE)</f>
        <v>-32434.400000000001</v>
      </c>
      <c r="T77" s="20">
        <f>VLOOKUP(Tableau1315[[#This Row],[PARCS]],Tableau16[],36,FALSE)</f>
        <v>-5000</v>
      </c>
      <c r="U77" s="20">
        <f>VLOOKUP(Tableau1315[[#This Row],[PARCS]],Tableau16[],37,FALSE)</f>
        <v>0</v>
      </c>
      <c r="V77" s="467">
        <f>SUM(Tableau1315[[#This Row],[CONTRAT O&amp;M FORFAIT GROUPE2]:[CHARGES exceptionnels (BONUS, sinistres)7]])</f>
        <v>-368733.4</v>
      </c>
      <c r="W77" s="354">
        <f>VLOOKUP(Tableau1315[[#This Row],[PARCS]],Tableau17[],10,FALSE)</f>
        <v>-211661.47499999998</v>
      </c>
      <c r="X77" s="350">
        <f>VLOOKUP(Tableau1315[[#This Row],[PARCS]],Tableau17[],18,FALSE)</f>
        <v>-124800</v>
      </c>
      <c r="Y77" s="350">
        <f>VLOOKUP(Tableau1315[[#This Row],[PARCS]],Tableau17[],19,FALSE)</f>
        <v>0</v>
      </c>
      <c r="Z77" s="350">
        <f>VLOOKUP(Tableau1315[[#This Row],[PARCS]],Tableau17[],28,FALSE)</f>
        <v>-3000</v>
      </c>
      <c r="AA77" s="350">
        <f>VLOOKUP(Tableau1315[[#This Row],[PARCS]],Tableau17[],36,FALSE)</f>
        <v>0</v>
      </c>
      <c r="AB77" s="252">
        <f>VLOOKUP(Tableau1315[[#This Row],[PARCS]],Tableau17[],37,FALSE)</f>
        <v>0</v>
      </c>
      <c r="AC77" s="468">
        <f>SUM(Tableau1315[[#This Row],[CONTRAT O&amp;M FORFAIT GROUPE22]:[CHARGES exceptionnels (BONUS, sinistres)77]])</f>
        <v>-339461.47499999998</v>
      </c>
      <c r="AD77" s="252">
        <f>Tableau1315[[#This Row],[TOTAL LE3]]-Tableau1315[[#This Row],[TOTAL BN-1]]</f>
        <v>-121135.49667487206</v>
      </c>
      <c r="AE77" s="351">
        <f>IFERROR((Tableau1315[[#This Row],[TOTAL LE3]]-Tableau1315[[#This Row],[TOTAL BN-1]])/Tableau1315[[#This Row],[TOTAL BN-1]],"")</f>
        <v>0.48924282091276655</v>
      </c>
      <c r="AF77" s="252">
        <f>Tableau1315[[#This Row],[TOTAL BN+1]]-Tableau1315[[#This Row],[TOTAL LE3]]</f>
        <v>29271.925000000047</v>
      </c>
      <c r="AG77" s="351">
        <f>IFERROR((Tableau1315[[#This Row],[TOTAL BN+1]]-Tableau1315[[#This Row],[TOTAL LE3]])/Tableau1315[[#This Row],[TOTAL LE3]],"")</f>
        <v>-7.9385065198867386E-2</v>
      </c>
    </row>
    <row r="78" spans="1:34">
      <c r="A78" s="463" t="s">
        <v>595</v>
      </c>
      <c r="B78" s="464" t="str">
        <f>VLOOKUP(Tableau1315[[#This Row],[PARCS]],Tableau106[],3,FALSE)</f>
        <v>A935</v>
      </c>
      <c r="C78" s="464" t="str">
        <f>VLOOKUP(Tableau1315[[#This Row],[PARCS]],Tableau106[],2,FALSE)</f>
        <v>FR34E84E</v>
      </c>
      <c r="D78" s="465" t="str">
        <f>VLOOKUP(Tableau1315[[#This Row],[PARCS]],Tableau106[],8,FALSE)</f>
        <v>EOLIEN</v>
      </c>
      <c r="E78" s="465" t="str">
        <f>VLOOKUP(A78,Tableau106[[#Headers],[#Data]],6,FALSE)</f>
        <v>S</v>
      </c>
      <c r="F78" s="466" t="str">
        <f>VLOOKUP(Tableau1315[[#This Row],[PARCS]],Tableau106[],5,FALSE)</f>
        <v>PEMO</v>
      </c>
      <c r="G78" s="464" t="str">
        <f>VLOOKUP(Tableau1315[[#This Row],[PARCS]],Tableau106[],7,FALSE)</f>
        <v>FUTUREN</v>
      </c>
      <c r="H78" s="464" t="str">
        <f>VLOOKUP(Tableau1315[[#This Row],[PARCS]],Tableau106[],9,FALSE)</f>
        <v>KéD</v>
      </c>
      <c r="I78" s="350">
        <f>IFERROR(VLOOKUP(Tableau1315[[#This Row],[PARCS]],Tableau15[],10,FALSE),"")</f>
        <v>-191460.12</v>
      </c>
      <c r="J78" s="20">
        <f>IFERROR(VLOOKUP(Tableau1315[[#This Row],[PARCS]],Tableau15[],18,FALSE),"")</f>
        <v>-12825</v>
      </c>
      <c r="K78" s="252">
        <f>IFERROR(VLOOKUP(Tableau1315[[#This Row],[PARCS]],Tableau15[],19,FALSE),"")</f>
        <v>0</v>
      </c>
      <c r="L78" s="20">
        <f>IFERROR(VLOOKUP(Tableau1315[[#This Row],[PARCS]],Tableau15[],28,FALSE),"")</f>
        <v>-12225</v>
      </c>
      <c r="M78" s="252">
        <f>IFERROR(VLOOKUP(Tableau1315[[#This Row],[PARCS]],Tableau15[],36,FALSE),"")</f>
        <v>-29277.97</v>
      </c>
      <c r="N78" s="252">
        <f>IFERROR(VLOOKUP(Tableau1315[[#This Row],[PARCS]],Tableau15[],37,FALSE),"")</f>
        <v>0</v>
      </c>
      <c r="O78" s="467">
        <f>SUM(Tableau1315[[#This Row],[CONTRAT O&amp;M FORFAIT GROUPE]:[CHARGES exceptionnels (BONUS, sinistres)]])</f>
        <v>-245788.09</v>
      </c>
      <c r="P78" s="354">
        <f>VLOOKUP(Tableau1315[[#This Row],[PARCS]],Tableau16[],10,FALSE)</f>
        <v>-189061</v>
      </c>
      <c r="Q78" s="252">
        <f>VLOOKUP(Tableau1315[[#This Row],[PARCS]],Tableau16[],18,FALSE)</f>
        <v>-47410</v>
      </c>
      <c r="R78" s="252">
        <f>VLOOKUP(Tableau1315[[#This Row],[PARCS]],Tableau16[],19,FALSE)</f>
        <v>0</v>
      </c>
      <c r="S78" s="252">
        <f>VLOOKUP(Tableau1315[[#This Row],[PARCS]],Tableau16[],28,FALSE)</f>
        <v>-14500</v>
      </c>
      <c r="T78" s="252">
        <f>VLOOKUP(Tableau1315[[#This Row],[PARCS]],Tableau16[],36,FALSE)</f>
        <v>-47792.5</v>
      </c>
      <c r="U78" s="252">
        <f>VLOOKUP(Tableau1315[[#This Row],[PARCS]],Tableau16[],37,FALSE)</f>
        <v>0</v>
      </c>
      <c r="V78" s="467">
        <f>SUM(Tableau1315[[#This Row],[CONTRAT O&amp;M FORFAIT GROUPE2]:[CHARGES exceptionnels (BONUS, sinistres)7]])</f>
        <v>-298763.5</v>
      </c>
      <c r="W78" s="354">
        <f>VLOOKUP(Tableau1315[[#This Row],[PARCS]],Tableau17[],10,FALSE)</f>
        <v>-193787.52499999999</v>
      </c>
      <c r="X78" s="252">
        <f>VLOOKUP(Tableau1315[[#This Row],[PARCS]],Tableau17[],18,FALSE)</f>
        <v>-34690</v>
      </c>
      <c r="Y78" s="252">
        <f>VLOOKUP(Tableau1315[[#This Row],[PARCS]],Tableau17[],19,FALSE)</f>
        <v>0</v>
      </c>
      <c r="Z78" s="252">
        <f>VLOOKUP(Tableau1315[[#This Row],[PARCS]],Tableau17[],28,FALSE)</f>
        <v>-12000</v>
      </c>
      <c r="AA78" s="252">
        <f>VLOOKUP(Tableau1315[[#This Row],[PARCS]],Tableau17[],36,FALSE)</f>
        <v>-37442</v>
      </c>
      <c r="AB78" s="252">
        <f>VLOOKUP(Tableau1315[[#This Row],[PARCS]],Tableau17[],37,FALSE)</f>
        <v>0</v>
      </c>
      <c r="AC78" s="468">
        <f>SUM(Tableau1315[[#This Row],[CONTRAT O&amp;M FORFAIT GROUPE22]:[CHARGES exceptionnels (BONUS, sinistres)77]])</f>
        <v>-277919.52500000002</v>
      </c>
      <c r="AD78" s="252">
        <f>Tableau1315[[#This Row],[TOTAL LE3]]-Tableau1315[[#This Row],[TOTAL BN-1]]</f>
        <v>-52975.41</v>
      </c>
      <c r="AE78" s="351">
        <f>IFERROR((Tableau1315[[#This Row],[TOTAL LE3]]-Tableau1315[[#This Row],[TOTAL BN-1]])/Tableau1315[[#This Row],[TOTAL BN-1]],"")</f>
        <v>0.21553286003402364</v>
      </c>
      <c r="AF78" s="252">
        <f>Tableau1315[[#This Row],[TOTAL BN+1]]-Tableau1315[[#This Row],[TOTAL LE3]]</f>
        <v>20843.974999999977</v>
      </c>
      <c r="AG78" s="351">
        <f>IFERROR((Tableau1315[[#This Row],[TOTAL BN+1]]-Tableau1315[[#This Row],[TOTAL LE3]])/Tableau1315[[#This Row],[TOTAL LE3]],"")</f>
        <v>-6.9767474942554822E-2</v>
      </c>
      <c r="AH78" s="6" t="s">
        <v>490</v>
      </c>
    </row>
    <row r="79" spans="1:34">
      <c r="A79" s="463" t="s">
        <v>583</v>
      </c>
      <c r="B79" s="464" t="str">
        <f>VLOOKUP(Tableau1315[[#This Row],[PARCS]],Tableau106[],3,FALSE)</f>
        <v>A095</v>
      </c>
      <c r="C79" s="464" t="str">
        <f>VLOOKUP(Tableau1315[[#This Row],[PARCS]],Tableau106[],2,FALSE)</f>
        <v>FR43E99E</v>
      </c>
      <c r="D79" s="465" t="str">
        <f>VLOOKUP(Tableau1315[[#This Row],[PARCS]],Tableau106[],8,FALSE)</f>
        <v>EOLIEN</v>
      </c>
      <c r="E79" s="465" t="str">
        <f>VLOOKUP(A79,Tableau106[[#Headers],[#Data]],6,FALSE)</f>
        <v>S</v>
      </c>
      <c r="F79" s="466" t="str">
        <f>VLOOKUP(Tableau1315[[#This Row],[PARCS]],Tableau106[],5,FALSE)</f>
        <v>BARB</v>
      </c>
      <c r="G79" s="464" t="str">
        <f>VLOOKUP(Tableau1315[[#This Row],[PARCS]],Tableau106[],7,FALSE)</f>
        <v>FUTUREN</v>
      </c>
      <c r="H79" s="464" t="str">
        <f>VLOOKUP(Tableau1315[[#This Row],[PARCS]],Tableau106[],9,FALSE)</f>
        <v>OdP</v>
      </c>
      <c r="I79" s="350">
        <f>IFERROR(VLOOKUP(Tableau1315[[#This Row],[PARCS]],Tableau15[],10,FALSE),"")</f>
        <v>-12626.246851385387</v>
      </c>
      <c r="J79" s="20">
        <f>IFERROR(VLOOKUP(Tableau1315[[#This Row],[PARCS]],Tableau15[],18,FALSE),"")</f>
        <v>-17700</v>
      </c>
      <c r="K79" s="252">
        <f>IFERROR(VLOOKUP(Tableau1315[[#This Row],[PARCS]],Tableau15[],19,FALSE),"")</f>
        <v>-287104.2</v>
      </c>
      <c r="L79" s="20">
        <f>IFERROR(VLOOKUP(Tableau1315[[#This Row],[PARCS]],Tableau15[],28,FALSE),"")</f>
        <v>-22000</v>
      </c>
      <c r="M79" s="252">
        <f>IFERROR(VLOOKUP(Tableau1315[[#This Row],[PARCS]],Tableau15[],36,FALSE),"")</f>
        <v>-12000</v>
      </c>
      <c r="N79" s="252">
        <f>IFERROR(VLOOKUP(Tableau1315[[#This Row],[PARCS]],Tableau15[],37,FALSE),"")</f>
        <v>0</v>
      </c>
      <c r="O79" s="467">
        <f>SUM(Tableau1315[[#This Row],[CONTRAT O&amp;M FORFAIT GROUPE]:[CHARGES exceptionnels (BONUS, sinistres)]])</f>
        <v>-351430.44685138541</v>
      </c>
      <c r="P79" s="354">
        <f>VLOOKUP(Tableau1315[[#This Row],[PARCS]],Tableau16[],10,FALSE)</f>
        <v>-12697</v>
      </c>
      <c r="Q79" s="350">
        <f>VLOOKUP(Tableau1315[[#This Row],[PARCS]],Tableau16[],18,FALSE)</f>
        <v>-19580</v>
      </c>
      <c r="R79" s="350">
        <f>VLOOKUP(Tableau1315[[#This Row],[PARCS]],Tableau16[],19,FALSE)</f>
        <v>-318000</v>
      </c>
      <c r="S79" s="20">
        <f>VLOOKUP(Tableau1315[[#This Row],[PARCS]],Tableau16[],28,FALSE)</f>
        <v>-21500</v>
      </c>
      <c r="T79" s="20">
        <f>VLOOKUP(Tableau1315[[#This Row],[PARCS]],Tableau16[],36,FALSE)</f>
        <v>-53670.720000000001</v>
      </c>
      <c r="U79" s="20">
        <f>VLOOKUP(Tableau1315[[#This Row],[PARCS]],Tableau16[],37,FALSE)</f>
        <v>0</v>
      </c>
      <c r="V79" s="467">
        <f>SUM(Tableau1315[[#This Row],[CONTRAT O&amp;M FORFAIT GROUPE2]:[CHARGES exceptionnels (BONUS, sinistres)7]])</f>
        <v>-425447.72</v>
      </c>
      <c r="W79" s="354">
        <f>VLOOKUP(Tableau1315[[#This Row],[PARCS]],Tableau17[],10,FALSE)</f>
        <v>-12697</v>
      </c>
      <c r="X79" s="350">
        <f>VLOOKUP(Tableau1315[[#This Row],[PARCS]],Tableau17[],18,FALSE)</f>
        <v>-8700</v>
      </c>
      <c r="Y79" s="350">
        <f>VLOOKUP(Tableau1315[[#This Row],[PARCS]],Tableau17[],19,FALSE)</f>
        <v>-325950</v>
      </c>
      <c r="Z79" s="350">
        <f>VLOOKUP(Tableau1315[[#This Row],[PARCS]],Tableau17[],28,FALSE)</f>
        <v>-19000</v>
      </c>
      <c r="AA79" s="350">
        <f>VLOOKUP(Tableau1315[[#This Row],[PARCS]],Tableau17[],36,FALSE)</f>
        <v>-55047.1</v>
      </c>
      <c r="AB79" s="252">
        <f>VLOOKUP(Tableau1315[[#This Row],[PARCS]],Tableau17[],37,FALSE)</f>
        <v>0</v>
      </c>
      <c r="AC79" s="468">
        <f>SUM(Tableau1315[[#This Row],[CONTRAT O&amp;M FORFAIT GROUPE22]:[CHARGES exceptionnels (BONUS, sinistres)77]])</f>
        <v>-421394.1</v>
      </c>
      <c r="AD79" s="252">
        <f>Tableau1315[[#This Row],[TOTAL LE3]]-Tableau1315[[#This Row],[TOTAL BN-1]]</f>
        <v>-74017.273148614564</v>
      </c>
      <c r="AE79" s="351">
        <f>IFERROR((Tableau1315[[#This Row],[TOTAL LE3]]-Tableau1315[[#This Row],[TOTAL BN-1]])/Tableau1315[[#This Row],[TOTAL BN-1]],"")</f>
        <v>0.21061713295409304</v>
      </c>
      <c r="AF79" s="252">
        <f>Tableau1315[[#This Row],[TOTAL BN+1]]-Tableau1315[[#This Row],[TOTAL LE3]]</f>
        <v>4053.6199999999953</v>
      </c>
      <c r="AG79" s="351">
        <f>IFERROR((Tableau1315[[#This Row],[TOTAL BN+1]]-Tableau1315[[#This Row],[TOTAL LE3]])/Tableau1315[[#This Row],[TOTAL LE3]],"")</f>
        <v>-9.5278921696888997E-3</v>
      </c>
      <c r="AH79" s="6" t="s">
        <v>742</v>
      </c>
    </row>
    <row r="80" spans="1:34" hidden="1">
      <c r="A80" s="463" t="s">
        <v>469</v>
      </c>
      <c r="B80" s="464" t="str">
        <f>VLOOKUP(Tableau1315[[#This Row],[PARCS]],Tableau106[],3,FALSE)</f>
        <v>A039</v>
      </c>
      <c r="C80" s="464" t="str">
        <f>VLOOKUP(Tableau1315[[#This Row],[PARCS]],Tableau106[],2,FALSE)</f>
        <v>FR11E99E</v>
      </c>
      <c r="D80" s="465" t="str">
        <f>VLOOKUP(Tableau1315[[#This Row],[PARCS]],Tableau106[],8,FALSE)</f>
        <v>EOLIEN</v>
      </c>
      <c r="E80" s="465" t="str">
        <f>VLOOKUP(A80,Tableau106[[#Headers],[#Data]],6,FALSE)</f>
        <v>S</v>
      </c>
      <c r="F80" s="466" t="str">
        <f>VLOOKUP(Tableau1315[[#This Row],[PARCS]],Tableau106[],5,FALSE)</f>
        <v>LUCO</v>
      </c>
      <c r="G80" s="464" t="str">
        <f>VLOOKUP(Tableau1315[[#This Row],[PARCS]],Tableau106[],7,FALSE)</f>
        <v>GROUPE</v>
      </c>
      <c r="H80" s="464" t="str">
        <f>VLOOKUP(Tableau1315[[#This Row],[PARCS]],Tableau106[],9,FALSE)</f>
        <v>SaH</v>
      </c>
      <c r="I80" s="350">
        <f>IFERROR(VLOOKUP(Tableau1315[[#This Row],[PARCS]],Tableau15[],10,FALSE),"")</f>
        <v>-434900.24761184881</v>
      </c>
      <c r="J80" s="20">
        <f>IFERROR(VLOOKUP(Tableau1315[[#This Row],[PARCS]],Tableau15[],18,FALSE),"")</f>
        <v>-16200</v>
      </c>
      <c r="K80" s="252">
        <f>IFERROR(VLOOKUP(Tableau1315[[#This Row],[PARCS]],Tableau15[],19,FALSE),"")</f>
        <v>0</v>
      </c>
      <c r="L80" s="20">
        <f>IFERROR(VLOOKUP(Tableau1315[[#This Row],[PARCS]],Tableau15[],28,FALSE),"")</f>
        <v>-14000</v>
      </c>
      <c r="M80" s="252">
        <f>IFERROR(VLOOKUP(Tableau1315[[#This Row],[PARCS]],Tableau15[],36,FALSE),"")</f>
        <v>0</v>
      </c>
      <c r="N80" s="252">
        <f>IFERROR(VLOOKUP(Tableau1315[[#This Row],[PARCS]],Tableau15[],37,FALSE),"")</f>
        <v>0</v>
      </c>
      <c r="O80" s="467">
        <f>SUM(Tableau1315[[#This Row],[CONTRAT O&amp;M FORFAIT GROUPE]:[CHARGES exceptionnels (BONUS, sinistres)]])</f>
        <v>-465100.24761184881</v>
      </c>
      <c r="P80" s="354">
        <f>VLOOKUP(Tableau1315[[#This Row],[PARCS]],Tableau16[],10,FALSE)</f>
        <v>-490118</v>
      </c>
      <c r="Q80" s="252">
        <f>VLOOKUP(Tableau1315[[#This Row],[PARCS]],Tableau16[],18,FALSE)</f>
        <v>-38590</v>
      </c>
      <c r="R80" s="252">
        <f>VLOOKUP(Tableau1315[[#This Row],[PARCS]],Tableau16[],19,FALSE)</f>
        <v>0</v>
      </c>
      <c r="S80" s="252">
        <f>VLOOKUP(Tableau1315[[#This Row],[PARCS]],Tableau16[],28,FALSE)</f>
        <v>-33660</v>
      </c>
      <c r="T80" s="252">
        <f>VLOOKUP(Tableau1315[[#This Row],[PARCS]],Tableau16[],36,FALSE)</f>
        <v>0</v>
      </c>
      <c r="U80" s="252">
        <f>VLOOKUP(Tableau1315[[#This Row],[PARCS]],Tableau16[],37,FALSE)</f>
        <v>0</v>
      </c>
      <c r="V80" s="467">
        <f>SUM(Tableau1315[[#This Row],[CONTRAT O&amp;M FORFAIT GROUPE2]:[CHARGES exceptionnels (BONUS, sinistres)7]])</f>
        <v>-562368</v>
      </c>
      <c r="W80" s="354">
        <f>VLOOKUP(Tableau1315[[#This Row],[PARCS]],Tableau17[],10,FALSE)</f>
        <v>-502370.94999999995</v>
      </c>
      <c r="X80" s="252">
        <f>VLOOKUP(Tableau1315[[#This Row],[PARCS]],Tableau17[],18,FALSE)</f>
        <v>-30780.000000000004</v>
      </c>
      <c r="Y80" s="252">
        <f>VLOOKUP(Tableau1315[[#This Row],[PARCS]],Tableau17[],19,FALSE)</f>
        <v>0</v>
      </c>
      <c r="Z80" s="252">
        <f>VLOOKUP(Tableau1315[[#This Row],[PARCS]],Tableau17[],28,FALSE)</f>
        <v>-20000</v>
      </c>
      <c r="AA80" s="252">
        <f>VLOOKUP(Tableau1315[[#This Row],[PARCS]],Tableau17[],36,FALSE)</f>
        <v>0</v>
      </c>
      <c r="AB80" s="252">
        <f>VLOOKUP(Tableau1315[[#This Row],[PARCS]],Tableau17[],37,FALSE)</f>
        <v>0</v>
      </c>
      <c r="AC80" s="468">
        <f>SUM(Tableau1315[[#This Row],[CONTRAT O&amp;M FORFAIT GROUPE22]:[CHARGES exceptionnels (BONUS, sinistres)77]])</f>
        <v>-553150.94999999995</v>
      </c>
      <c r="AD80" s="252">
        <f>Tableau1315[[#This Row],[TOTAL LE3]]-Tableau1315[[#This Row],[TOTAL BN-1]]</f>
        <v>-97267.752388151188</v>
      </c>
      <c r="AE80" s="351">
        <f>IFERROR((Tableau1315[[#This Row],[TOTAL LE3]]-Tableau1315[[#This Row],[TOTAL BN-1]])/Tableau1315[[#This Row],[TOTAL BN-1]],"")</f>
        <v>0.20913287595006047</v>
      </c>
      <c r="AF80" s="252">
        <f>Tableau1315[[#This Row],[TOTAL BN+1]]-Tableau1315[[#This Row],[TOTAL LE3]]</f>
        <v>9217.0500000000466</v>
      </c>
      <c r="AG80" s="351">
        <f>IFERROR((Tableau1315[[#This Row],[TOTAL BN+1]]-Tableau1315[[#This Row],[TOTAL LE3]])/Tableau1315[[#This Row],[TOTAL LE3]],"")</f>
        <v>-1.638971278593385E-2</v>
      </c>
      <c r="AH80" s="6" t="s">
        <v>743</v>
      </c>
    </row>
    <row r="81" spans="1:34" hidden="1">
      <c r="A81" s="463" t="s">
        <v>484</v>
      </c>
      <c r="B81" s="464" t="str">
        <f>VLOOKUP(Tableau1315[[#This Row],[PARCS]],Tableau106[],3,FALSE)</f>
        <v>A542</v>
      </c>
      <c r="C81" s="464" t="str">
        <f>VLOOKUP(Tableau1315[[#This Row],[PARCS]],Tableau106[],2,FALSE)</f>
        <v>FR11E03E</v>
      </c>
      <c r="D81" s="465" t="str">
        <f>VLOOKUP(Tableau1315[[#This Row],[PARCS]],Tableau106[],8,FALSE)</f>
        <v>EOLIEN</v>
      </c>
      <c r="E81" s="465" t="str">
        <f>VLOOKUP(A81,Tableau106[[#Headers],[#Data]],6,FALSE)</f>
        <v>S</v>
      </c>
      <c r="F81" s="466" t="str">
        <f>VLOOKUP(Tableau1315[[#This Row],[PARCS]],Tableau106[],5,FALSE)</f>
        <v>FITO</v>
      </c>
      <c r="G81" s="464" t="str">
        <f>VLOOKUP(Tableau1315[[#This Row],[PARCS]],Tableau106[],7,FALSE)</f>
        <v>EGM</v>
      </c>
      <c r="H81" s="464" t="str">
        <f>VLOOKUP(Tableau1315[[#This Row],[PARCS]],Tableau106[],9,FALSE)</f>
        <v>StE</v>
      </c>
      <c r="I81" s="350">
        <f>IFERROR(VLOOKUP(Tableau1315[[#This Row],[PARCS]],Tableau15[],10,FALSE),"")</f>
        <v>-311686.20661277574</v>
      </c>
      <c r="J81" s="20">
        <f>IFERROR(VLOOKUP(Tableau1315[[#This Row],[PARCS]],Tableau15[],18,FALSE),"")</f>
        <v>-54485.476190476191</v>
      </c>
      <c r="K81" s="252">
        <f>IFERROR(VLOOKUP(Tableau1315[[#This Row],[PARCS]],Tableau15[],19,FALSE),"")</f>
        <v>0</v>
      </c>
      <c r="L81" s="20">
        <f>IFERROR(VLOOKUP(Tableau1315[[#This Row],[PARCS]],Tableau15[],28,FALSE),"")</f>
        <v>-25850</v>
      </c>
      <c r="M81" s="252">
        <f>IFERROR(VLOOKUP(Tableau1315[[#This Row],[PARCS]],Tableau15[],36,FALSE),"")</f>
        <v>0</v>
      </c>
      <c r="N81" s="252">
        <f>IFERROR(VLOOKUP(Tableau1315[[#This Row],[PARCS]],Tableau15[],37,FALSE),"")</f>
        <v>0</v>
      </c>
      <c r="O81" s="467">
        <f>SUM(Tableau1315[[#This Row],[CONTRAT O&amp;M FORFAIT GROUPE]:[CHARGES exceptionnels (BONUS, sinistres)]])</f>
        <v>-392021.68280325196</v>
      </c>
      <c r="P81" s="354">
        <f>VLOOKUP(Tableau1315[[#This Row],[PARCS]],Tableau16[],10,FALSE)</f>
        <v>-324441</v>
      </c>
      <c r="Q81" s="350">
        <f>VLOOKUP(Tableau1315[[#This Row],[PARCS]],Tableau16[],18,FALSE)</f>
        <v>-113423.00000000001</v>
      </c>
      <c r="R81" s="350">
        <f>VLOOKUP(Tableau1315[[#This Row],[PARCS]],Tableau16[],19,FALSE)</f>
        <v>0</v>
      </c>
      <c r="S81" s="20">
        <f>VLOOKUP(Tableau1315[[#This Row],[PARCS]],Tableau16[],28,FALSE)</f>
        <v>-30048</v>
      </c>
      <c r="T81" s="20">
        <f>VLOOKUP(Tableau1315[[#This Row],[PARCS]],Tableau16[],36,FALSE)</f>
        <v>-5071.72</v>
      </c>
      <c r="U81" s="20">
        <f>VLOOKUP(Tableau1315[[#This Row],[PARCS]],Tableau16[],37,FALSE)</f>
        <v>0</v>
      </c>
      <c r="V81" s="467">
        <f>SUM(Tableau1315[[#This Row],[CONTRAT O&amp;M FORFAIT GROUPE2]:[CHARGES exceptionnels (BONUS, sinistres)7]])</f>
        <v>-472983.72</v>
      </c>
      <c r="W81" s="354">
        <f>VLOOKUP(Tableau1315[[#This Row],[PARCS]],Tableau17[],10,FALSE)</f>
        <v>-332552.02499999997</v>
      </c>
      <c r="X81" s="350">
        <f>VLOOKUP(Tableau1315[[#This Row],[PARCS]],Tableau17[],18,FALSE)</f>
        <v>-316133</v>
      </c>
      <c r="Y81" s="350">
        <f>VLOOKUP(Tableau1315[[#This Row],[PARCS]],Tableau17[],19,FALSE)</f>
        <v>0</v>
      </c>
      <c r="Z81" s="350">
        <f>VLOOKUP(Tableau1315[[#This Row],[PARCS]],Tableau17[],28,FALSE)</f>
        <v>-24925</v>
      </c>
      <c r="AA81" s="350">
        <f>VLOOKUP(Tableau1315[[#This Row],[PARCS]],Tableau17[],36,FALSE)</f>
        <v>-5047.0999999999995</v>
      </c>
      <c r="AB81" s="252">
        <f>VLOOKUP(Tableau1315[[#This Row],[PARCS]],Tableau17[],37,FALSE)</f>
        <v>0</v>
      </c>
      <c r="AC81" s="468">
        <f>SUM(Tableau1315[[#This Row],[CONTRAT O&amp;M FORFAIT GROUPE22]:[CHARGES exceptionnels (BONUS, sinistres)77]])</f>
        <v>-678657.12499999988</v>
      </c>
      <c r="AD81" s="252">
        <f>Tableau1315[[#This Row],[TOTAL LE3]]-Tableau1315[[#This Row],[TOTAL BN-1]]</f>
        <v>-80962.037196748017</v>
      </c>
      <c r="AE81" s="351">
        <f>IFERROR((Tableau1315[[#This Row],[TOTAL LE3]]-Tableau1315[[#This Row],[TOTAL BN-1]])/Tableau1315[[#This Row],[TOTAL BN-1]],"")</f>
        <v>0.20652438563552947</v>
      </c>
      <c r="AF81" s="252">
        <f>Tableau1315[[#This Row],[TOTAL BN+1]]-Tableau1315[[#This Row],[TOTAL LE3]]</f>
        <v>-205673.40499999991</v>
      </c>
      <c r="AG81" s="351">
        <f>IFERROR((Tableau1315[[#This Row],[TOTAL BN+1]]-Tableau1315[[#This Row],[TOTAL LE3]])/Tableau1315[[#This Row],[TOTAL LE3]],"")</f>
        <v>0.43484246138535154</v>
      </c>
      <c r="AH81" s="6" t="s">
        <v>744</v>
      </c>
    </row>
    <row r="82" spans="1:34" hidden="1">
      <c r="A82" s="463" t="s">
        <v>457</v>
      </c>
      <c r="B82" s="464" t="str">
        <f>VLOOKUP(Tableau1315[[#This Row],[PARCS]],Tableau106[],3,FALSE)</f>
        <v>A133</v>
      </c>
      <c r="C82" s="464" t="str">
        <f>VLOOKUP(Tableau1315[[#This Row],[PARCS]],Tableau106[],2,FALSE)</f>
        <v>FR84S01E</v>
      </c>
      <c r="D82" s="465" t="str">
        <f>VLOOKUP(Tableau1315[[#This Row],[PARCS]],Tableau106[],8,FALSE)</f>
        <v>SOLAIRE</v>
      </c>
      <c r="E82" s="465" t="str">
        <f>VLOOKUP(A82,Tableau106[[#Headers],[#Data]],6,FALSE)</f>
        <v>S</v>
      </c>
      <c r="F82" s="466" t="str">
        <f>VLOOKUP(Tableau1315[[#This Row],[PARCS]],Tableau106[],5,FALSE)</f>
        <v>BLAU</v>
      </c>
      <c r="G82" s="464" t="str">
        <f>VLOOKUP(Tableau1315[[#This Row],[PARCS]],Tableau106[],7,FALSE)</f>
        <v>GROUPE</v>
      </c>
      <c r="H82" s="464" t="str">
        <f>VLOOKUP(Tableau1315[[#This Row],[PARCS]],Tableau106[],9,FALSE)</f>
        <v>ArB</v>
      </c>
      <c r="I82" s="350">
        <f>IFERROR(VLOOKUP(Tableau1315[[#This Row],[PARCS]],Tableau15[],10,FALSE),"")</f>
        <v>-91070.639942483875</v>
      </c>
      <c r="J82" s="20">
        <f>IFERROR(VLOOKUP(Tableau1315[[#This Row],[PARCS]],Tableau15[],18,FALSE),"")</f>
        <v>-2610</v>
      </c>
      <c r="K82" s="252">
        <f>IFERROR(VLOOKUP(Tableau1315[[#This Row],[PARCS]],Tableau15[],19,FALSE),"")</f>
        <v>0</v>
      </c>
      <c r="L82" s="20">
        <f>IFERROR(VLOOKUP(Tableau1315[[#This Row],[PARCS]],Tableau15[],28,FALSE),"")</f>
        <v>-1305</v>
      </c>
      <c r="M82" s="252">
        <f>IFERROR(VLOOKUP(Tableau1315[[#This Row],[PARCS]],Tableau15[],36,FALSE),"")</f>
        <v>0</v>
      </c>
      <c r="N82" s="252">
        <f>IFERROR(VLOOKUP(Tableau1315[[#This Row],[PARCS]],Tableau15[],37,FALSE),"")</f>
        <v>-7000</v>
      </c>
      <c r="O82" s="467">
        <f>SUM(Tableau1315[[#This Row],[CONTRAT O&amp;M FORFAIT GROUPE]:[CHARGES exceptionnels (BONUS, sinistres)]])</f>
        <v>-101985.63994248387</v>
      </c>
      <c r="P82" s="354">
        <f>VLOOKUP(Tableau1315[[#This Row],[PARCS]],Tableau16[],10,FALSE)</f>
        <v>-91583</v>
      </c>
      <c r="Q82" s="350">
        <f>VLOOKUP(Tableau1315[[#This Row],[PARCS]],Tableau16[],18,FALSE)</f>
        <v>-16112.5</v>
      </c>
      <c r="R82" s="350">
        <f>VLOOKUP(Tableau1315[[#This Row],[PARCS]],Tableau16[],19,FALSE)</f>
        <v>0</v>
      </c>
      <c r="S82" s="20">
        <f>VLOOKUP(Tableau1315[[#This Row],[PARCS]],Tableau16[],28,FALSE)</f>
        <v>-3152.5</v>
      </c>
      <c r="T82" s="20">
        <f>VLOOKUP(Tableau1315[[#This Row],[PARCS]],Tableau16[],36,FALSE)</f>
        <v>0</v>
      </c>
      <c r="U82" s="20">
        <f>VLOOKUP(Tableau1315[[#This Row],[PARCS]],Tableau16[],37,FALSE)</f>
        <v>-7000</v>
      </c>
      <c r="V82" s="467">
        <f>SUM(Tableau1315[[#This Row],[CONTRAT O&amp;M FORFAIT GROUPE2]:[CHARGES exceptionnels (BONUS, sinistres)7]])</f>
        <v>-117848</v>
      </c>
      <c r="W82" s="354">
        <f>VLOOKUP(Tableau1315[[#This Row],[PARCS]],Tableau17[],10,FALSE)</f>
        <v>-93872.574999999997</v>
      </c>
      <c r="X82" s="350">
        <f>VLOOKUP(Tableau1315[[#This Row],[PARCS]],Tableau17[],18,FALSE)</f>
        <v>-13172.5</v>
      </c>
      <c r="Y82" s="350">
        <f>VLOOKUP(Tableau1315[[#This Row],[PARCS]],Tableau17[],19,FALSE)</f>
        <v>0</v>
      </c>
      <c r="Z82" s="350">
        <f>VLOOKUP(Tableau1315[[#This Row],[PARCS]],Tableau17[],28,FALSE)</f>
        <v>-2652.5</v>
      </c>
      <c r="AA82" s="350">
        <f>VLOOKUP(Tableau1315[[#This Row],[PARCS]],Tableau17[],36,FALSE)</f>
        <v>0</v>
      </c>
      <c r="AB82" s="252">
        <f>VLOOKUP(Tableau1315[[#This Row],[PARCS]],Tableau17[],37,FALSE)</f>
        <v>0</v>
      </c>
      <c r="AC82" s="468">
        <f>SUM(Tableau1315[[#This Row],[CONTRAT O&amp;M FORFAIT GROUPE22]:[CHARGES exceptionnels (BONUS, sinistres)77]])</f>
        <v>-109697.575</v>
      </c>
      <c r="AD82" s="252">
        <f>Tableau1315[[#This Row],[TOTAL LE3]]-Tableau1315[[#This Row],[TOTAL BN-1]]</f>
        <v>-15862.360057516125</v>
      </c>
      <c r="AE82" s="351">
        <f>IFERROR((Tableau1315[[#This Row],[TOTAL LE3]]-Tableau1315[[#This Row],[TOTAL BN-1]])/Tableau1315[[#This Row],[TOTAL BN-1]],"")</f>
        <v>0.15553523090566387</v>
      </c>
      <c r="AF82" s="252">
        <f>Tableau1315[[#This Row],[TOTAL BN+1]]-Tableau1315[[#This Row],[TOTAL LE3]]</f>
        <v>8150.4250000000029</v>
      </c>
      <c r="AG82" s="351">
        <f>IFERROR((Tableau1315[[#This Row],[TOTAL BN+1]]-Tableau1315[[#This Row],[TOTAL LE3]])/Tableau1315[[#This Row],[TOTAL LE3]],"")</f>
        <v>-6.9160486389247197E-2</v>
      </c>
    </row>
    <row r="83" spans="1:34" hidden="1">
      <c r="A83" s="463" t="s">
        <v>471</v>
      </c>
      <c r="B83" s="464" t="str">
        <f>VLOOKUP(Tableau1315[[#This Row],[PARCS]],Tableau106[],3,FALSE)</f>
        <v>A043</v>
      </c>
      <c r="C83" s="464" t="str">
        <f>VLOOKUP(Tableau1315[[#This Row],[PARCS]],Tableau106[],2,FALSE)</f>
        <v>FR97S77E</v>
      </c>
      <c r="D83" s="465" t="str">
        <f>VLOOKUP(Tableau1315[[#This Row],[PARCS]],Tableau106[],8,FALSE)</f>
        <v>SOLAIRE DOM</v>
      </c>
      <c r="E83" s="465" t="str">
        <f>VLOOKUP(A83,Tableau106[[#Headers],[#Data]],6,FALSE)</f>
        <v>DOM</v>
      </c>
      <c r="F83" s="466" t="str">
        <f>VLOOKUP(Tableau1315[[#This Row],[PARCS]],Tableau106[],5,FALSE)</f>
        <v>CESA</v>
      </c>
      <c r="G83" s="464" t="str">
        <f>VLOOKUP(Tableau1315[[#This Row],[PARCS]],Tableau106[],7,FALSE)</f>
        <v>GROUPE</v>
      </c>
      <c r="H83" s="464" t="str">
        <f>VLOOKUP(Tableau1315[[#This Row],[PARCS]],Tableau106[],9,FALSE)</f>
        <v>DoJ</v>
      </c>
      <c r="I83" s="350">
        <f>IFERROR(VLOOKUP(Tableau1315[[#This Row],[PARCS]],Tableau15[],10,FALSE),"")</f>
        <v>0</v>
      </c>
      <c r="J83" s="20">
        <f>IFERROR(VLOOKUP(Tableau1315[[#This Row],[PARCS]],Tableau15[],18,FALSE),"")</f>
        <v>-841</v>
      </c>
      <c r="K83" s="252">
        <f>IFERROR(VLOOKUP(Tableau1315[[#This Row],[PARCS]],Tableau15[],19,FALSE),"")</f>
        <v>-31561.1</v>
      </c>
      <c r="L83" s="20">
        <f>IFERROR(VLOOKUP(Tableau1315[[#This Row],[PARCS]],Tableau15[],28,FALSE),"")</f>
        <v>-10720</v>
      </c>
      <c r="M83" s="252">
        <f>IFERROR(VLOOKUP(Tableau1315[[#This Row],[PARCS]],Tableau15[],36,FALSE),"")</f>
        <v>0</v>
      </c>
      <c r="N83" s="252">
        <f>IFERROR(VLOOKUP(Tableau1315[[#This Row],[PARCS]],Tableau15[],37,FALSE),"")</f>
        <v>0</v>
      </c>
      <c r="O83" s="467">
        <f>SUM(Tableau1315[[#This Row],[CONTRAT O&amp;M FORFAIT GROUPE]:[CHARGES exceptionnels (BONUS, sinistres)]])</f>
        <v>-43122.1</v>
      </c>
      <c r="P83" s="354">
        <f>VLOOKUP(Tableau1315[[#This Row],[PARCS]],Tableau16[],10,FALSE)</f>
        <v>0</v>
      </c>
      <c r="Q83" s="350">
        <f>VLOOKUP(Tableau1315[[#This Row],[PARCS]],Tableau16[],18,FALSE)</f>
        <v>-170.5</v>
      </c>
      <c r="R83" s="350">
        <f>VLOOKUP(Tableau1315[[#This Row],[PARCS]],Tableau16[],19,FALSE)</f>
        <v>-33543</v>
      </c>
      <c r="S83" s="20">
        <f>VLOOKUP(Tableau1315[[#This Row],[PARCS]],Tableau16[],28,FALSE)</f>
        <v>-16028.834000000001</v>
      </c>
      <c r="T83" s="20">
        <f>VLOOKUP(Tableau1315[[#This Row],[PARCS]],Tableau16[],36,FALSE)</f>
        <v>0</v>
      </c>
      <c r="U83" s="20">
        <f>VLOOKUP(Tableau1315[[#This Row],[PARCS]],Tableau16[],37,FALSE)</f>
        <v>0</v>
      </c>
      <c r="V83" s="467">
        <f>SUM(Tableau1315[[#This Row],[CONTRAT O&amp;M FORFAIT GROUPE2]:[CHARGES exceptionnels (BONUS, sinistres)7]])</f>
        <v>-49742.334000000003</v>
      </c>
      <c r="W83" s="354">
        <f>VLOOKUP(Tableau1315[[#This Row],[PARCS]],Tableau17[],10,FALSE)</f>
        <v>0</v>
      </c>
      <c r="X83" s="350">
        <f>VLOOKUP(Tableau1315[[#This Row],[PARCS]],Tableau17[],18,FALSE)</f>
        <v>-170.5</v>
      </c>
      <c r="Y83" s="350">
        <f>VLOOKUP(Tableau1315[[#This Row],[PARCS]],Tableau17[],19,FALSE)</f>
        <v>-34381.574999999997</v>
      </c>
      <c r="Z83" s="350">
        <f>VLOOKUP(Tableau1315[[#This Row],[PARCS]],Tableau17[],28,FALSE)</f>
        <v>-5169.6040000000003</v>
      </c>
      <c r="AA83" s="350">
        <f>VLOOKUP(Tableau1315[[#This Row],[PARCS]],Tableau17[],36,FALSE)</f>
        <v>0</v>
      </c>
      <c r="AB83" s="252">
        <f>VLOOKUP(Tableau1315[[#This Row],[PARCS]],Tableau17[],37,FALSE)</f>
        <v>0</v>
      </c>
      <c r="AC83" s="468">
        <f>SUM(Tableau1315[[#This Row],[CONTRAT O&amp;M FORFAIT GROUPE22]:[CHARGES exceptionnels (BONUS, sinistres)77]])</f>
        <v>-39721.678999999996</v>
      </c>
      <c r="AD83" s="252">
        <f>Tableau1315[[#This Row],[TOTAL LE3]]-Tableau1315[[#This Row],[TOTAL BN-1]]</f>
        <v>-6620.234000000004</v>
      </c>
      <c r="AE83" s="351">
        <f>IFERROR((Tableau1315[[#This Row],[TOTAL LE3]]-Tableau1315[[#This Row],[TOTAL BN-1]])/Tableau1315[[#This Row],[TOTAL BN-1]],"")</f>
        <v>0.1535229963290286</v>
      </c>
      <c r="AF83" s="252">
        <f>Tableau1315[[#This Row],[TOTAL BN+1]]-Tableau1315[[#This Row],[TOTAL LE3]]</f>
        <v>10020.655000000006</v>
      </c>
      <c r="AG83" s="351">
        <f>IFERROR((Tableau1315[[#This Row],[TOTAL BN+1]]-Tableau1315[[#This Row],[TOTAL LE3]])/Tableau1315[[#This Row],[TOTAL LE3]],"")</f>
        <v>-0.20145124271812428</v>
      </c>
      <c r="AH83" s="6" t="s">
        <v>740</v>
      </c>
    </row>
    <row r="84" spans="1:34" hidden="1">
      <c r="A84" s="463" t="s">
        <v>499</v>
      </c>
      <c r="B84" s="464" t="str">
        <f>VLOOKUP(Tableau1315[[#This Row],[PARCS]],Tableau106[],3,FALSE)</f>
        <v>A540</v>
      </c>
      <c r="C84" s="464" t="str">
        <f>VLOOKUP(Tableau1315[[#This Row],[PARCS]],Tableau106[],2,FALSE)</f>
        <v>FR22E03E</v>
      </c>
      <c r="D84" s="465" t="str">
        <f>VLOOKUP(Tableau1315[[#This Row],[PARCS]],Tableau106[],8,FALSE)</f>
        <v>EOLIEN</v>
      </c>
      <c r="E84" s="465" t="str">
        <f>VLOOKUP(A84,Tableau106[[#Headers],[#Data]],6,FALSE)</f>
        <v>N</v>
      </c>
      <c r="F84" s="466" t="str">
        <f>VLOOKUP(Tableau1315[[#This Row],[PARCS]],Tableau106[],5,FALSE)</f>
        <v>LDTE</v>
      </c>
      <c r="G84" s="464" t="str">
        <f>VLOOKUP(Tableau1315[[#This Row],[PARCS]],Tableau106[],7,FALSE)</f>
        <v>EGM</v>
      </c>
      <c r="H84" s="464" t="str">
        <f>VLOOKUP(Tableau1315[[#This Row],[PARCS]],Tableau106[],9,FALSE)</f>
        <v>BoK</v>
      </c>
      <c r="I84" s="350">
        <f>IFERROR(VLOOKUP(Tableau1315[[#This Row],[PARCS]],Tableau15[],10,FALSE),"")</f>
        <v>-256678.59608762685</v>
      </c>
      <c r="J84" s="20">
        <f>IFERROR(VLOOKUP(Tableau1315[[#This Row],[PARCS]],Tableau15[],18,FALSE),"")</f>
        <v>-49568.783068783072</v>
      </c>
      <c r="K84" s="252">
        <f>IFERROR(VLOOKUP(Tableau1315[[#This Row],[PARCS]],Tableau15[],19,FALSE),"")</f>
        <v>0</v>
      </c>
      <c r="L84" s="20">
        <f>IFERROR(VLOOKUP(Tableau1315[[#This Row],[PARCS]],Tableau15[],28,FALSE),"")</f>
        <v>-11000</v>
      </c>
      <c r="M84" s="252">
        <f>IFERROR(VLOOKUP(Tableau1315[[#This Row],[PARCS]],Tableau15[],36,FALSE),"")</f>
        <v>0</v>
      </c>
      <c r="N84" s="252">
        <f>IFERROR(VLOOKUP(Tableau1315[[#This Row],[PARCS]],Tableau15[],37,FALSE),"")</f>
        <v>0</v>
      </c>
      <c r="O84" s="467">
        <f>SUM(Tableau1315[[#This Row],[CONTRAT O&amp;M FORFAIT GROUPE]:[CHARGES exceptionnels (BONUS, sinistres)]])</f>
        <v>-317247.37915640994</v>
      </c>
      <c r="P84" s="354">
        <f>VLOOKUP(Tableau1315[[#This Row],[PARCS]],Tableau16[],10,FALSE)</f>
        <v>-258123</v>
      </c>
      <c r="Q84" s="350">
        <f>VLOOKUP(Tableau1315[[#This Row],[PARCS]],Tableau16[],18,FALSE)</f>
        <v>-260188.7</v>
      </c>
      <c r="R84" s="350">
        <f>VLOOKUP(Tableau1315[[#This Row],[PARCS]],Tableau16[],19,FALSE)</f>
        <v>0</v>
      </c>
      <c r="S84" s="20">
        <f>VLOOKUP(Tableau1315[[#This Row],[PARCS]],Tableau16[],28,FALSE)</f>
        <v>-12250</v>
      </c>
      <c r="T84" s="20">
        <f>VLOOKUP(Tableau1315[[#This Row],[PARCS]],Tableau16[],36,FALSE)</f>
        <v>0</v>
      </c>
      <c r="U84" s="20">
        <f>VLOOKUP(Tableau1315[[#This Row],[PARCS]],Tableau16[],37,FALSE)</f>
        <v>0</v>
      </c>
      <c r="V84" s="467">
        <f>SUM(Tableau1315[[#This Row],[CONTRAT O&amp;M FORFAIT GROUPE2]:[CHARGES exceptionnels (BONUS, sinistres)7]])</f>
        <v>-530561.69999999995</v>
      </c>
      <c r="W84" s="354">
        <f>VLOOKUP(Tableau1315[[#This Row],[PARCS]],Tableau17[],10,FALSE)</f>
        <v>-264576.07499999995</v>
      </c>
      <c r="X84" s="350">
        <f>VLOOKUP(Tableau1315[[#This Row],[PARCS]],Tableau17[],18,FALSE)</f>
        <v>-115790</v>
      </c>
      <c r="Y84" s="350">
        <f>VLOOKUP(Tableau1315[[#This Row],[PARCS]],Tableau17[],19,FALSE)</f>
        <v>0</v>
      </c>
      <c r="Z84" s="350">
        <f>VLOOKUP(Tableau1315[[#This Row],[PARCS]],Tableau17[],28,FALSE)</f>
        <v>-8500</v>
      </c>
      <c r="AA84" s="350">
        <f>VLOOKUP(Tableau1315[[#This Row],[PARCS]],Tableau17[],36,FALSE)</f>
        <v>0</v>
      </c>
      <c r="AB84" s="252">
        <f>VLOOKUP(Tableau1315[[#This Row],[PARCS]],Tableau17[],37,FALSE)</f>
        <v>0</v>
      </c>
      <c r="AC84" s="468">
        <f>SUM(Tableau1315[[#This Row],[CONTRAT O&amp;M FORFAIT GROUPE22]:[CHARGES exceptionnels (BONUS, sinistres)77]])</f>
        <v>-388866.07499999995</v>
      </c>
      <c r="AD84" s="252">
        <f>Tableau1315[[#This Row],[TOTAL LE3]]-Tableau1315[[#This Row],[TOTAL BN-1]]</f>
        <v>-213314.32084359002</v>
      </c>
      <c r="AE84" s="351">
        <f>IFERROR((Tableau1315[[#This Row],[TOTAL LE3]]-Tableau1315[[#This Row],[TOTAL BN-1]])/Tableau1315[[#This Row],[TOTAL BN-1]],"")</f>
        <v>0.672391120805513</v>
      </c>
      <c r="AF84" s="252">
        <f>Tableau1315[[#This Row],[TOTAL BN+1]]-Tableau1315[[#This Row],[TOTAL LE3]]</f>
        <v>141695.625</v>
      </c>
      <c r="AG84" s="351">
        <f>IFERROR((Tableau1315[[#This Row],[TOTAL BN+1]]-Tableau1315[[#This Row],[TOTAL LE3]])/Tableau1315[[#This Row],[TOTAL LE3]],"")</f>
        <v>-0.2670671950123803</v>
      </c>
    </row>
    <row r="85" spans="1:34" hidden="1">
      <c r="A85" s="463" t="s">
        <v>546</v>
      </c>
      <c r="B85" s="464" t="str">
        <f>VLOOKUP(Tableau1315[[#This Row],[PARCS]],Tableau106[],3,FALSE)</f>
        <v>A541</v>
      </c>
      <c r="C85" s="464" t="str">
        <f>VLOOKUP(Tableau1315[[#This Row],[PARCS]],Tableau106[],2,FALSE)</f>
        <v>FR55E04E</v>
      </c>
      <c r="D85" s="465" t="str">
        <f>VLOOKUP(Tableau1315[[#This Row],[PARCS]],Tableau106[],8,FALSE)</f>
        <v>EOLIEN</v>
      </c>
      <c r="E85" s="465" t="str">
        <f>VLOOKUP(A85,Tableau106[[#Headers],[#Data]],6,FALSE)</f>
        <v>N</v>
      </c>
      <c r="F85" s="466" t="str">
        <f>VLOOKUP(Tableau1315[[#This Row],[PARCS]],Tableau106[],5,FALSE)</f>
        <v>LANE</v>
      </c>
      <c r="G85" s="464" t="str">
        <f>VLOOKUP(Tableau1315[[#This Row],[PARCS]],Tableau106[],7,FALSE)</f>
        <v>EGM</v>
      </c>
      <c r="H85" s="464" t="str">
        <f>VLOOKUP(Tableau1315[[#This Row],[PARCS]],Tableau106[],9,FALSE)</f>
        <v>MaA</v>
      </c>
      <c r="I85" s="350">
        <f>IFERROR(VLOOKUP(Tableau1315[[#This Row],[PARCS]],Tableau15[],10,FALSE),"")</f>
        <v>-256678.59605490978</v>
      </c>
      <c r="J85" s="20">
        <f>IFERROR(VLOOKUP(Tableau1315[[#This Row],[PARCS]],Tableau15[],18,FALSE),"")</f>
        <v>-56554.100529100528</v>
      </c>
      <c r="K85" s="252">
        <f>IFERROR(VLOOKUP(Tableau1315[[#This Row],[PARCS]],Tableau15[],19,FALSE),"")</f>
        <v>0</v>
      </c>
      <c r="L85" s="20">
        <f>IFERROR(VLOOKUP(Tableau1315[[#This Row],[PARCS]],Tableau15[],28,FALSE),"")</f>
        <v>-11750</v>
      </c>
      <c r="M85" s="252">
        <f>IFERROR(VLOOKUP(Tableau1315[[#This Row],[PARCS]],Tableau15[],36,FALSE),"")</f>
        <v>0</v>
      </c>
      <c r="N85" s="252">
        <f>IFERROR(VLOOKUP(Tableau1315[[#This Row],[PARCS]],Tableau15[],37,FALSE),"")</f>
        <v>0</v>
      </c>
      <c r="O85" s="467">
        <f>SUM(Tableau1315[[#This Row],[CONTRAT O&amp;M FORFAIT GROUPE]:[CHARGES exceptionnels (BONUS, sinistres)]])</f>
        <v>-324982.69658401032</v>
      </c>
      <c r="P85" s="354">
        <f>VLOOKUP(Tableau1315[[#This Row],[PARCS]],Tableau16[],10,FALSE)</f>
        <v>-258123</v>
      </c>
      <c r="Q85" s="350">
        <f>VLOOKUP(Tableau1315[[#This Row],[PARCS]],Tableau16[],18,FALSE)</f>
        <v>-525284</v>
      </c>
      <c r="R85" s="350">
        <f>VLOOKUP(Tableau1315[[#This Row],[PARCS]],Tableau16[],19,FALSE)</f>
        <v>-31123</v>
      </c>
      <c r="S85" s="20">
        <f>VLOOKUP(Tableau1315[[#This Row],[PARCS]],Tableau16[],28,FALSE)</f>
        <v>-34025</v>
      </c>
      <c r="T85" s="20">
        <f>VLOOKUP(Tableau1315[[#This Row],[PARCS]],Tableau16[],36,FALSE)</f>
        <v>0</v>
      </c>
      <c r="U85" s="20">
        <f>VLOOKUP(Tableau1315[[#This Row],[PARCS]],Tableau16[],37,FALSE)</f>
        <v>0</v>
      </c>
      <c r="V85" s="467">
        <f>SUM(Tableau1315[[#This Row],[CONTRAT O&amp;M FORFAIT GROUPE2]:[CHARGES exceptionnels (BONUS, sinistres)7]])</f>
        <v>-848555</v>
      </c>
      <c r="W85" s="354">
        <f>VLOOKUP(Tableau1315[[#This Row],[PARCS]],Tableau17[],10,FALSE)</f>
        <v>-264576.07499999995</v>
      </c>
      <c r="X85" s="350">
        <f>VLOOKUP(Tableau1315[[#This Row],[PARCS]],Tableau17[],18,FALSE)</f>
        <v>-527490</v>
      </c>
      <c r="Y85" s="350">
        <f>VLOOKUP(Tableau1315[[#This Row],[PARCS]],Tableau17[],19,FALSE)</f>
        <v>-25471</v>
      </c>
      <c r="Z85" s="350">
        <f>VLOOKUP(Tableau1315[[#This Row],[PARCS]],Tableau17[],28,FALSE)</f>
        <v>-8875</v>
      </c>
      <c r="AA85" s="350">
        <f>VLOOKUP(Tableau1315[[#This Row],[PARCS]],Tableau17[],36,FALSE)</f>
        <v>-50000</v>
      </c>
      <c r="AB85" s="252">
        <f>VLOOKUP(Tableau1315[[#This Row],[PARCS]],Tableau17[],37,FALSE)</f>
        <v>0</v>
      </c>
      <c r="AC85" s="468">
        <f>SUM(Tableau1315[[#This Row],[CONTRAT O&amp;M FORFAIT GROUPE22]:[CHARGES exceptionnels (BONUS, sinistres)77]])</f>
        <v>-876412.07499999995</v>
      </c>
      <c r="AD85" s="252">
        <f>Tableau1315[[#This Row],[TOTAL LE3]]-Tableau1315[[#This Row],[TOTAL BN-1]]</f>
        <v>-523572.30341598968</v>
      </c>
      <c r="AE85" s="351">
        <f>IFERROR((Tableau1315[[#This Row],[TOTAL LE3]]-Tableau1315[[#This Row],[TOTAL BN-1]])/Tableau1315[[#This Row],[TOTAL BN-1]],"")</f>
        <v>1.6110774786455209</v>
      </c>
      <c r="AF85" s="252">
        <f>Tableau1315[[#This Row],[TOTAL BN+1]]-Tableau1315[[#This Row],[TOTAL LE3]]</f>
        <v>-27857.074999999953</v>
      </c>
      <c r="AG85" s="351">
        <f>IFERROR((Tableau1315[[#This Row],[TOTAL BN+1]]-Tableau1315[[#This Row],[TOTAL LE3]])/Tableau1315[[#This Row],[TOTAL LE3]],"")</f>
        <v>3.2828838437107731E-2</v>
      </c>
    </row>
    <row r="86" spans="1:34" hidden="1">
      <c r="A86" s="463" t="s">
        <v>536</v>
      </c>
      <c r="B86" s="464" t="str">
        <f>VLOOKUP(Tableau1315[[#This Row],[PARCS]],Tableau106[],3,FALSE)</f>
        <v>A134</v>
      </c>
      <c r="C86" s="464" t="str">
        <f>VLOOKUP(Tableau1315[[#This Row],[PARCS]],Tableau106[],2,FALSE)</f>
        <v>FR04S99E</v>
      </c>
      <c r="D86" s="465" t="str">
        <f>VLOOKUP(Tableau1315[[#This Row],[PARCS]],Tableau106[],8,FALSE)</f>
        <v>SOLAIRE</v>
      </c>
      <c r="E86" s="465" t="str">
        <f>VLOOKUP(A86,Tableau106[[#Headers],[#Data]],6,FALSE)</f>
        <v>S</v>
      </c>
      <c r="F86" s="466" t="str">
        <f>VLOOKUP(Tableau1315[[#This Row],[PARCS]],Tableau106[],5,FALSE)</f>
        <v>MANO</v>
      </c>
      <c r="G86" s="464" t="str">
        <f>VLOOKUP(Tableau1315[[#This Row],[PARCS]],Tableau106[],7,FALSE)</f>
        <v>GROUPE</v>
      </c>
      <c r="H86" s="464" t="str">
        <f>VLOOKUP(Tableau1315[[#This Row],[PARCS]],Tableau106[],9,FALSE)</f>
        <v>ArB</v>
      </c>
      <c r="I86" s="350">
        <f>IFERROR(VLOOKUP(Tableau1315[[#This Row],[PARCS]],Tableau15[],10,FALSE),"")</f>
        <v>-145173.15589062209</v>
      </c>
      <c r="J86" s="20">
        <f>IFERROR(VLOOKUP(Tableau1315[[#This Row],[PARCS]],Tableau15[],18,FALSE),"")</f>
        <v>-4100</v>
      </c>
      <c r="K86" s="252">
        <f>IFERROR(VLOOKUP(Tableau1315[[#This Row],[PARCS]],Tableau15[],19,FALSE),"")</f>
        <v>0</v>
      </c>
      <c r="L86" s="20">
        <f>IFERROR(VLOOKUP(Tableau1315[[#This Row],[PARCS]],Tableau15[],28,FALSE),"")</f>
        <v>-12050</v>
      </c>
      <c r="M86" s="252">
        <f>IFERROR(VLOOKUP(Tableau1315[[#This Row],[PARCS]],Tableau15[],36,FALSE),"")</f>
        <v>0</v>
      </c>
      <c r="N86" s="252">
        <f>IFERROR(VLOOKUP(Tableau1315[[#This Row],[PARCS]],Tableau15[],37,FALSE),"")</f>
        <v>-8215</v>
      </c>
      <c r="O86" s="467">
        <f>SUM(Tableau1315[[#This Row],[CONTRAT O&amp;M FORFAIT GROUPE]:[CHARGES exceptionnels (BONUS, sinistres)]])</f>
        <v>-169538.15589062209</v>
      </c>
      <c r="P86" s="354">
        <f>VLOOKUP(Tableau1315[[#This Row],[PARCS]],Tableau16[],10,FALSE)</f>
        <v>-149990</v>
      </c>
      <c r="Q86" s="252">
        <f>VLOOKUP(Tableau1315[[#This Row],[PARCS]],Tableau16[],18,FALSE)</f>
        <v>-15355</v>
      </c>
      <c r="R86" s="252">
        <f>VLOOKUP(Tableau1315[[#This Row],[PARCS]],Tableau16[],19,FALSE)</f>
        <v>0</v>
      </c>
      <c r="S86" s="252">
        <f>VLOOKUP(Tableau1315[[#This Row],[PARCS]],Tableau16[],28,FALSE)</f>
        <v>-20025</v>
      </c>
      <c r="T86" s="252">
        <f>VLOOKUP(Tableau1315[[#This Row],[PARCS]],Tableau16[],36,FALSE)</f>
        <v>0</v>
      </c>
      <c r="U86" s="252">
        <f>VLOOKUP(Tableau1315[[#This Row],[PARCS]],Tableau16[],37,FALSE)</f>
        <v>-9000</v>
      </c>
      <c r="V86" s="467">
        <f>SUM(Tableau1315[[#This Row],[CONTRAT O&amp;M FORFAIT GROUPE2]:[CHARGES exceptionnels (BONUS, sinistres)7]])</f>
        <v>-194370</v>
      </c>
      <c r="W86" s="354">
        <f>VLOOKUP(Tableau1315[[#This Row],[PARCS]],Tableau17[],10,FALSE)</f>
        <v>-153739.75</v>
      </c>
      <c r="X86" s="252">
        <f>VLOOKUP(Tableau1315[[#This Row],[PARCS]],Tableau17[],18,FALSE)</f>
        <v>-3415</v>
      </c>
      <c r="Y86" s="252">
        <f>VLOOKUP(Tableau1315[[#This Row],[PARCS]],Tableau17[],19,FALSE)</f>
        <v>0</v>
      </c>
      <c r="Z86" s="252">
        <f>VLOOKUP(Tableau1315[[#This Row],[PARCS]],Tableau17[],28,FALSE)</f>
        <v>-5025</v>
      </c>
      <c r="AA86" s="252">
        <f>VLOOKUP(Tableau1315[[#This Row],[PARCS]],Tableau17[],36,FALSE)</f>
        <v>0</v>
      </c>
      <c r="AB86" s="252">
        <f>VLOOKUP(Tableau1315[[#This Row],[PARCS]],Tableau17[],37,FALSE)</f>
        <v>0</v>
      </c>
      <c r="AC86" s="468">
        <f>SUM(Tableau1315[[#This Row],[CONTRAT O&amp;M FORFAIT GROUPE22]:[CHARGES exceptionnels (BONUS, sinistres)77]])</f>
        <v>-162179.75</v>
      </c>
      <c r="AD86" s="252">
        <f>Tableau1315[[#This Row],[TOTAL LE3]]-Tableau1315[[#This Row],[TOTAL BN-1]]</f>
        <v>-24831.844109377911</v>
      </c>
      <c r="AE86" s="351">
        <f>IFERROR((Tableau1315[[#This Row],[TOTAL LE3]]-Tableau1315[[#This Row],[TOTAL BN-1]])/Tableau1315[[#This Row],[TOTAL BN-1]],"")</f>
        <v>0.14646758411951954</v>
      </c>
      <c r="AF86" s="252">
        <f>Tableau1315[[#This Row],[TOTAL BN+1]]-Tableau1315[[#This Row],[TOTAL LE3]]</f>
        <v>32190.25</v>
      </c>
      <c r="AG86" s="351">
        <f>IFERROR((Tableau1315[[#This Row],[TOTAL BN+1]]-Tableau1315[[#This Row],[TOTAL LE3]])/Tableau1315[[#This Row],[TOTAL LE3]],"")</f>
        <v>-0.16561326336368781</v>
      </c>
    </row>
    <row r="87" spans="1:34" hidden="1">
      <c r="A87" s="463" t="s">
        <v>523</v>
      </c>
      <c r="B87" s="464" t="str">
        <f>VLOOKUP(Tableau1315[[#This Row],[PARCS]],Tableau106[],3,FALSE)</f>
        <v>A272</v>
      </c>
      <c r="C87" s="464" t="str">
        <f>VLOOKUP(Tableau1315[[#This Row],[PARCS]],Tableau106[],2,FALSE)</f>
        <v>FR07S04E</v>
      </c>
      <c r="D87" s="465" t="str">
        <f>VLOOKUP(Tableau1315[[#This Row],[PARCS]],Tableau106[],8,FALSE)</f>
        <v>SOLAIRE</v>
      </c>
      <c r="E87" s="465" t="str">
        <f>VLOOKUP(A87,Tableau106[[#Headers],[#Data]],6,FALSE)</f>
        <v>S</v>
      </c>
      <c r="F87" s="466" t="str">
        <f>VLOOKUP(Tableau1315[[#This Row],[PARCS]],Tableau106[],5,FALSE)</f>
        <v>PZIN</v>
      </c>
      <c r="G87" s="464" t="str">
        <f>VLOOKUP(Tableau1315[[#This Row],[PARCS]],Tableau106[],7,FALSE)</f>
        <v>GROUPE</v>
      </c>
      <c r="H87" s="464" t="str">
        <f>VLOOKUP(Tableau1315[[#This Row],[PARCS]],Tableau106[],9,FALSE)</f>
        <v>ArB</v>
      </c>
      <c r="I87" s="350">
        <f>IFERROR(VLOOKUP(Tableau1315[[#This Row],[PARCS]],Tableau15[],10,FALSE),"")</f>
        <v>-37594.14</v>
      </c>
      <c r="J87" s="20">
        <f>IFERROR(VLOOKUP(Tableau1315[[#This Row],[PARCS]],Tableau15[],18,FALSE),"")</f>
        <v>-16590</v>
      </c>
      <c r="K87" s="252">
        <f>IFERROR(VLOOKUP(Tableau1315[[#This Row],[PARCS]],Tableau15[],19,FALSE),"")</f>
        <v>0</v>
      </c>
      <c r="L87" s="20">
        <f>IFERROR(VLOOKUP(Tableau1315[[#This Row],[PARCS]],Tableau15[],28,FALSE),"")</f>
        <v>-4100</v>
      </c>
      <c r="M87" s="252">
        <f>IFERROR(VLOOKUP(Tableau1315[[#This Row],[PARCS]],Tableau15[],36,FALSE),"")</f>
        <v>-10300</v>
      </c>
      <c r="N87" s="252">
        <f>IFERROR(VLOOKUP(Tableau1315[[#This Row],[PARCS]],Tableau15[],37,FALSE),"")</f>
        <v>0</v>
      </c>
      <c r="O87" s="467">
        <f>SUM(Tableau1315[[#This Row],[CONTRAT O&amp;M FORFAIT GROUPE]:[CHARGES exceptionnels (BONUS, sinistres)]])</f>
        <v>-68584.14</v>
      </c>
      <c r="P87" s="354">
        <f>VLOOKUP(Tableau1315[[#This Row],[PARCS]],Tableau16[],10,FALSE)</f>
        <v>-37806</v>
      </c>
      <c r="Q87" s="350">
        <f>VLOOKUP(Tableau1315[[#This Row],[PARCS]],Tableau16[],18,FALSE)</f>
        <v>-30090</v>
      </c>
      <c r="R87" s="350">
        <f>VLOOKUP(Tableau1315[[#This Row],[PARCS]],Tableau16[],19,FALSE)</f>
        <v>0</v>
      </c>
      <c r="S87" s="20">
        <f>VLOOKUP(Tableau1315[[#This Row],[PARCS]],Tableau16[],28,FALSE)</f>
        <v>-5450</v>
      </c>
      <c r="T87" s="20">
        <f>VLOOKUP(Tableau1315[[#This Row],[PARCS]],Tableau16[],36,FALSE)</f>
        <v>-4950</v>
      </c>
      <c r="U87" s="20">
        <f>VLOOKUP(Tableau1315[[#This Row],[PARCS]],Tableau16[],37,FALSE)</f>
        <v>0</v>
      </c>
      <c r="V87" s="467">
        <f>SUM(Tableau1315[[#This Row],[CONTRAT O&amp;M FORFAIT GROUPE2]:[CHARGES exceptionnels (BONUS, sinistres)7]])</f>
        <v>-78296</v>
      </c>
      <c r="W87" s="354">
        <f>VLOOKUP(Tableau1315[[#This Row],[PARCS]],Tableau17[],10,FALSE)</f>
        <v>-38751.149999999994</v>
      </c>
      <c r="X87" s="350">
        <f>VLOOKUP(Tableau1315[[#This Row],[PARCS]],Tableau17[],18,FALSE)</f>
        <v>-6200</v>
      </c>
      <c r="Y87" s="350">
        <f>VLOOKUP(Tableau1315[[#This Row],[PARCS]],Tableau17[],19,FALSE)</f>
        <v>0</v>
      </c>
      <c r="Z87" s="350">
        <f>VLOOKUP(Tableau1315[[#This Row],[PARCS]],Tableau17[],28,FALSE)</f>
        <v>-3550</v>
      </c>
      <c r="AA87" s="350">
        <f>VLOOKUP(Tableau1315[[#This Row],[PARCS]],Tableau17[],36,FALSE)</f>
        <v>-7450</v>
      </c>
      <c r="AB87" s="252">
        <f>VLOOKUP(Tableau1315[[#This Row],[PARCS]],Tableau17[],37,FALSE)</f>
        <v>0</v>
      </c>
      <c r="AC87" s="468">
        <f>SUM(Tableau1315[[#This Row],[CONTRAT O&amp;M FORFAIT GROUPE22]:[CHARGES exceptionnels (BONUS, sinistres)77]])</f>
        <v>-55951.149999999994</v>
      </c>
      <c r="AD87" s="252">
        <f>Tableau1315[[#This Row],[TOTAL LE3]]-Tableau1315[[#This Row],[TOTAL BN-1]]</f>
        <v>-9711.86</v>
      </c>
      <c r="AE87" s="351">
        <f>IFERROR((Tableau1315[[#This Row],[TOTAL LE3]]-Tableau1315[[#This Row],[TOTAL BN-1]])/Tableau1315[[#This Row],[TOTAL BN-1]],"")</f>
        <v>0.14160504163207413</v>
      </c>
      <c r="AF87" s="252">
        <f>Tableau1315[[#This Row],[TOTAL BN+1]]-Tableau1315[[#This Row],[TOTAL LE3]]</f>
        <v>22344.850000000006</v>
      </c>
      <c r="AG87" s="351">
        <f>IFERROR((Tableau1315[[#This Row],[TOTAL BN+1]]-Tableau1315[[#This Row],[TOTAL LE3]])/Tableau1315[[#This Row],[TOTAL LE3]],"")</f>
        <v>-0.28538941963829578</v>
      </c>
      <c r="AH87" s="6" t="s">
        <v>745</v>
      </c>
    </row>
    <row r="88" spans="1:34" hidden="1">
      <c r="A88" s="463" t="s">
        <v>606</v>
      </c>
      <c r="B88" s="464" t="str">
        <f>VLOOKUP(Tableau1315[[#This Row],[PARCS]],Tableau106[],3,FALSE)</f>
        <v>A540</v>
      </c>
      <c r="C88" s="464" t="str">
        <f>VLOOKUP(Tableau1315[[#This Row],[PARCS]],Tableau106[],2,FALSE)</f>
        <v>FR56E03E</v>
      </c>
      <c r="D88" s="465" t="str">
        <f>VLOOKUP(Tableau1315[[#This Row],[PARCS]],Tableau106[],8,FALSE)</f>
        <v>EOLIEN</v>
      </c>
      <c r="E88" s="465" t="str">
        <f>VLOOKUP(A88,Tableau106[[#Headers],[#Data]],6,FALSE)</f>
        <v>N</v>
      </c>
      <c r="F88" s="466" t="str">
        <f>VLOOKUP(Tableau1315[[#This Row],[PARCS]],Tableau106[],5,FALSE)</f>
        <v>LERO</v>
      </c>
      <c r="G88" s="464" t="str">
        <f>VLOOKUP(Tableau1315[[#This Row],[PARCS]],Tableau106[],7,FALSE)</f>
        <v>EGM</v>
      </c>
      <c r="H88" s="464" t="str">
        <f>VLOOKUP(Tableau1315[[#This Row],[PARCS]],Tableau106[],9,FALSE)</f>
        <v>DeN</v>
      </c>
      <c r="I88" s="350">
        <f>IFERROR(VLOOKUP(Tableau1315[[#This Row],[PARCS]],Tableau15[],10,FALSE),"")</f>
        <v>-134598.18</v>
      </c>
      <c r="J88" s="20">
        <f>IFERROR(VLOOKUP(Tableau1315[[#This Row],[PARCS]],Tableau15[],18,FALSE),"")</f>
        <v>-22585.85978835979</v>
      </c>
      <c r="K88" s="252">
        <f>IFERROR(VLOOKUP(Tableau1315[[#This Row],[PARCS]],Tableau15[],19,FALSE),"")</f>
        <v>0</v>
      </c>
      <c r="L88" s="20">
        <f>IFERROR(VLOOKUP(Tableau1315[[#This Row],[PARCS]],Tableau15[],28,FALSE),"")</f>
        <v>-3425</v>
      </c>
      <c r="M88" s="252">
        <f>IFERROR(VLOOKUP(Tableau1315[[#This Row],[PARCS]],Tableau15[],36,FALSE),"")</f>
        <v>0</v>
      </c>
      <c r="N88" s="252">
        <f>IFERROR(VLOOKUP(Tableau1315[[#This Row],[PARCS]],Tableau15[],37,FALSE),"")</f>
        <v>0</v>
      </c>
      <c r="O88" s="467">
        <f>SUM(Tableau1315[[#This Row],[CONTRAT O&amp;M FORFAIT GROUPE]:[CHARGES exceptionnels (BONUS, sinistres)]])</f>
        <v>-160609.03978835978</v>
      </c>
      <c r="P88" s="354">
        <f>VLOOKUP(Tableau1315[[#This Row],[PARCS]],Tableau16[],10,FALSE)</f>
        <v>-135355</v>
      </c>
      <c r="Q88" s="350">
        <f>VLOOKUP(Tableau1315[[#This Row],[PARCS]],Tableau16[],18,FALSE)</f>
        <v>-30060.000000000004</v>
      </c>
      <c r="R88" s="350">
        <f>VLOOKUP(Tableau1315[[#This Row],[PARCS]],Tableau16[],19,FALSE)</f>
        <v>0</v>
      </c>
      <c r="S88" s="20">
        <f>VLOOKUP(Tableau1315[[#This Row],[PARCS]],Tableau16[],28,FALSE)</f>
        <v>-2212.5</v>
      </c>
      <c r="T88" s="20">
        <f>VLOOKUP(Tableau1315[[#This Row],[PARCS]],Tableau16[],36,FALSE)</f>
        <v>0</v>
      </c>
      <c r="U88" s="20">
        <f>VLOOKUP(Tableau1315[[#This Row],[PARCS]],Tableau16[],37,FALSE)</f>
        <v>0</v>
      </c>
      <c r="V88" s="467">
        <f>SUM(Tableau1315[[#This Row],[CONTRAT O&amp;M FORFAIT GROUPE2]:[CHARGES exceptionnels (BONUS, sinistres)7]])</f>
        <v>-167627.5</v>
      </c>
      <c r="W88" s="354">
        <f>VLOOKUP(Tableau1315[[#This Row],[PARCS]],Tableau17[],10,FALSE)</f>
        <v>-138738.875</v>
      </c>
      <c r="X88" s="350">
        <f>VLOOKUP(Tableau1315[[#This Row],[PARCS]],Tableau17[],18,FALSE)</f>
        <v>-30760</v>
      </c>
      <c r="Y88" s="350">
        <f>VLOOKUP(Tableau1315[[#This Row],[PARCS]],Tableau17[],19,FALSE)</f>
        <v>0</v>
      </c>
      <c r="Z88" s="350">
        <f>VLOOKUP(Tableau1315[[#This Row],[PARCS]],Tableau17[],28,FALSE)</f>
        <v>-2212.5</v>
      </c>
      <c r="AA88" s="350">
        <f>VLOOKUP(Tableau1315[[#This Row],[PARCS]],Tableau17[],36,FALSE)</f>
        <v>0</v>
      </c>
      <c r="AB88" s="252">
        <f>VLOOKUP(Tableau1315[[#This Row],[PARCS]],Tableau17[],37,FALSE)</f>
        <v>0</v>
      </c>
      <c r="AC88" s="468">
        <f>SUM(Tableau1315[[#This Row],[CONTRAT O&amp;M FORFAIT GROUPE22]:[CHARGES exceptionnels (BONUS, sinistres)77]])</f>
        <v>-171711.375</v>
      </c>
      <c r="AD88" s="252">
        <f>Tableau1315[[#This Row],[TOTAL LE3]]-Tableau1315[[#This Row],[TOTAL BN-1]]</f>
        <v>-7018.4602116402239</v>
      </c>
      <c r="AE88" s="351">
        <f>IFERROR((Tableau1315[[#This Row],[TOTAL LE3]]-Tableau1315[[#This Row],[TOTAL BN-1]])/Tableau1315[[#This Row],[TOTAL BN-1]],"")</f>
        <v>4.3699036000020286E-2</v>
      </c>
      <c r="AF88" s="252">
        <f>Tableau1315[[#This Row],[TOTAL BN+1]]-Tableau1315[[#This Row],[TOTAL LE3]]</f>
        <v>-4083.875</v>
      </c>
      <c r="AG88" s="351">
        <f>IFERROR((Tableau1315[[#This Row],[TOTAL BN+1]]-Tableau1315[[#This Row],[TOTAL LE3]])/Tableau1315[[#This Row],[TOTAL LE3]],"")</f>
        <v>2.4362798466838673E-2</v>
      </c>
    </row>
    <row r="89" spans="1:34">
      <c r="A89" s="463" t="s">
        <v>192</v>
      </c>
      <c r="B89" s="464" t="str">
        <f>VLOOKUP(Tableau1315[[#This Row],[PARCS]],Tableau106[],3,FALSE)</f>
        <v>F247</v>
      </c>
      <c r="C89" s="464" t="str">
        <f>VLOOKUP(Tableau1315[[#This Row],[PARCS]],Tableau106[],2,FALSE)</f>
        <v>FR10E02E</v>
      </c>
      <c r="D89" s="465" t="str">
        <f>VLOOKUP(Tableau1315[[#This Row],[PARCS]],Tableau106[],8,FALSE)</f>
        <v>EOLIEN</v>
      </c>
      <c r="E89" s="465" t="str">
        <f>VLOOKUP(A89,Tableau106[[#Headers],[#Data]],6,FALSE)</f>
        <v>N</v>
      </c>
      <c r="F89" s="466" t="str">
        <f>VLOOKUP(Tableau1315[[#This Row],[PARCS]],Tableau106[],5,FALSE)</f>
        <v>COT1, COT2, COT3, COT4</v>
      </c>
      <c r="G89" s="464" t="str">
        <f>VLOOKUP(Tableau1315[[#This Row],[PARCS]],Tableau106[],7,FALSE)</f>
        <v>FUTUREN</v>
      </c>
      <c r="H89" s="464" t="str">
        <f>VLOOKUP(Tableau1315[[#This Row],[PARCS]],Tableau106[],9,FALSE)</f>
        <v>MéS</v>
      </c>
      <c r="I89" s="350">
        <f>IFERROR(VLOOKUP(Tableau1315[[#This Row],[PARCS]],Tableau15[],10,FALSE),"")</f>
        <v>-638761.74</v>
      </c>
      <c r="J89" s="20">
        <f>IFERROR(VLOOKUP(Tableau1315[[#This Row],[PARCS]],Tableau15[],18,FALSE),"")</f>
        <v>-37950</v>
      </c>
      <c r="K89" s="252">
        <f>IFERROR(VLOOKUP(Tableau1315[[#This Row],[PARCS]],Tableau15[],19,FALSE),"")</f>
        <v>0</v>
      </c>
      <c r="L89" s="20">
        <f>IFERROR(VLOOKUP(Tableau1315[[#This Row],[PARCS]],Tableau15[],28,FALSE),"")</f>
        <v>-26375</v>
      </c>
      <c r="M89" s="252">
        <f>IFERROR(VLOOKUP(Tableau1315[[#This Row],[PARCS]],Tableau15[],36,FALSE),"")</f>
        <v>-13539</v>
      </c>
      <c r="N89" s="252">
        <f>IFERROR(VLOOKUP(Tableau1315[[#This Row],[PARCS]],Tableau15[],37,FALSE),"")</f>
        <v>0</v>
      </c>
      <c r="O89" s="467">
        <f>SUM(Tableau1315[[#This Row],[CONTRAT O&amp;M FORFAIT GROUPE]:[CHARGES exceptionnels (BONUS, sinistres)]])</f>
        <v>-716625.74</v>
      </c>
      <c r="P89" s="354">
        <f>VLOOKUP(Tableau1315[[#This Row],[PARCS]],Tableau16[],10,FALSE)</f>
        <v>-628318</v>
      </c>
      <c r="Q89" s="350">
        <f>VLOOKUP(Tableau1315[[#This Row],[PARCS]],Tableau16[],18,FALSE)</f>
        <v>-49165.5</v>
      </c>
      <c r="R89" s="350">
        <f>VLOOKUP(Tableau1315[[#This Row],[PARCS]],Tableau16[],19,FALSE)</f>
        <v>0</v>
      </c>
      <c r="S89" s="20">
        <f>VLOOKUP(Tableau1315[[#This Row],[PARCS]],Tableau16[],28,FALSE)</f>
        <v>-19875.5</v>
      </c>
      <c r="T89" s="20">
        <f>VLOOKUP(Tableau1315[[#This Row],[PARCS]],Tableau16[],36,FALSE)</f>
        <v>-14855</v>
      </c>
      <c r="U89" s="20">
        <f>VLOOKUP(Tableau1315[[#This Row],[PARCS]],Tableau16[],37,FALSE)</f>
        <v>-15938</v>
      </c>
      <c r="V89" s="467">
        <f>SUM(Tableau1315[[#This Row],[CONTRAT O&amp;M FORFAIT GROUPE2]:[CHARGES exceptionnels (BONUS, sinistres)7]])</f>
        <v>-728152</v>
      </c>
      <c r="W89" s="354">
        <f>VLOOKUP(Tableau1315[[#This Row],[PARCS]],Tableau17[],10,FALSE)</f>
        <v>-644025.94999999995</v>
      </c>
      <c r="X89" s="350">
        <f>VLOOKUP(Tableau1315[[#This Row],[PARCS]],Tableau17[],18,FALSE)</f>
        <v>-49755.5</v>
      </c>
      <c r="Y89" s="350">
        <f>VLOOKUP(Tableau1315[[#This Row],[PARCS]],Tableau17[],19,FALSE)</f>
        <v>0</v>
      </c>
      <c r="Z89" s="350">
        <f>VLOOKUP(Tableau1315[[#This Row],[PARCS]],Tableau17[],28,FALSE)</f>
        <v>-17339.5</v>
      </c>
      <c r="AA89" s="350">
        <f>VLOOKUP(Tableau1315[[#This Row],[PARCS]],Tableau17[],36,FALSE)</f>
        <v>-18586.099999999999</v>
      </c>
      <c r="AB89" s="252">
        <f>VLOOKUP(Tableau1315[[#This Row],[PARCS]],Tableau17[],37,FALSE)</f>
        <v>0</v>
      </c>
      <c r="AC89" s="468">
        <f>SUM(Tableau1315[[#This Row],[CONTRAT O&amp;M FORFAIT GROUPE22]:[CHARGES exceptionnels (BONUS, sinistres)77]])</f>
        <v>-729707.04999999993</v>
      </c>
      <c r="AD89" s="252">
        <f>Tableau1315[[#This Row],[TOTAL LE3]]-Tableau1315[[#This Row],[TOTAL BN-1]]</f>
        <v>-11526.260000000009</v>
      </c>
      <c r="AE89" s="351">
        <f>IFERROR((Tableau1315[[#This Row],[TOTAL LE3]]-Tableau1315[[#This Row],[TOTAL BN-1]])/Tableau1315[[#This Row],[TOTAL BN-1]],"")</f>
        <v>1.6084072001097825E-2</v>
      </c>
      <c r="AF89" s="252">
        <f>Tableau1315[[#This Row],[TOTAL BN+1]]-Tableau1315[[#This Row],[TOTAL LE3]]</f>
        <v>-1555.0499999999302</v>
      </c>
      <c r="AG89" s="351">
        <f>IFERROR((Tableau1315[[#This Row],[TOTAL BN+1]]-Tableau1315[[#This Row],[TOTAL LE3]])/Tableau1315[[#This Row],[TOTAL LE3]],"")</f>
        <v>2.1356117953393386E-3</v>
      </c>
    </row>
    <row r="90" spans="1:34">
      <c r="A90" s="463" t="s">
        <v>194</v>
      </c>
      <c r="B90" s="464" t="str">
        <f>VLOOKUP(Tableau1315[[#This Row],[PARCS]],Tableau106[],3,FALSE)</f>
        <v>F046</v>
      </c>
      <c r="C90" s="464" t="str">
        <f>VLOOKUP(Tableau1315[[#This Row],[PARCS]],Tableau106[],2,FALSE)</f>
        <v>FR10E03E</v>
      </c>
      <c r="D90" s="465" t="str">
        <f>VLOOKUP(Tableau1315[[#This Row],[PARCS]],Tableau106[],8,FALSE)</f>
        <v>EOLIEN</v>
      </c>
      <c r="E90" s="465" t="str">
        <f>VLOOKUP(A90,Tableau106[[#Headers],[#Data]],6,FALSE)</f>
        <v>N</v>
      </c>
      <c r="F90" s="466" t="str">
        <f>VLOOKUP(Tableau1315[[#This Row],[PARCS]],Tableau106[],5,FALSE)</f>
        <v>LEMO</v>
      </c>
      <c r="G90" s="464" t="str">
        <f>VLOOKUP(Tableau1315[[#This Row],[PARCS]],Tableau106[],7,FALSE)</f>
        <v>FUTUREN</v>
      </c>
      <c r="H90" s="464" t="str">
        <f>VLOOKUP(Tableau1315[[#This Row],[PARCS]],Tableau106[],9,FALSE)</f>
        <v>MéS</v>
      </c>
      <c r="I90" s="350">
        <f>IFERROR(VLOOKUP(Tableau1315[[#This Row],[PARCS]],Tableau15[],10,FALSE),"")</f>
        <v>-12964.169480314958</v>
      </c>
      <c r="J90" s="20">
        <f>IFERROR(VLOOKUP(Tableau1315[[#This Row],[PARCS]],Tableau15[],18,FALSE),"")</f>
        <v>-13200</v>
      </c>
      <c r="K90" s="252">
        <f>IFERROR(VLOOKUP(Tableau1315[[#This Row],[PARCS]],Tableau15[],19,FALSE),"")</f>
        <v>-257058.03280000002</v>
      </c>
      <c r="L90" s="20">
        <f>IFERROR(VLOOKUP(Tableau1315[[#This Row],[PARCS]],Tableau15[],28,FALSE),"")</f>
        <v>-13400</v>
      </c>
      <c r="M90" s="252">
        <f>IFERROR(VLOOKUP(Tableau1315[[#This Row],[PARCS]],Tableau15[],36,FALSE),"")</f>
        <v>-2207</v>
      </c>
      <c r="N90" s="252">
        <f>IFERROR(VLOOKUP(Tableau1315[[#This Row],[PARCS]],Tableau15[],37,FALSE),"")</f>
        <v>0</v>
      </c>
      <c r="O90" s="467">
        <f>SUM(Tableau1315[[#This Row],[CONTRAT O&amp;M FORFAIT GROUPE]:[CHARGES exceptionnels (BONUS, sinistres)]])</f>
        <v>-298829.20228031499</v>
      </c>
      <c r="P90" s="354">
        <f>VLOOKUP(Tableau1315[[#This Row],[PARCS]],Tableau16[],10,FALSE)</f>
        <v>-13037</v>
      </c>
      <c r="Q90" s="350">
        <f>VLOOKUP(Tableau1315[[#This Row],[PARCS]],Tableau16[],18,FALSE)</f>
        <v>-8514</v>
      </c>
      <c r="R90" s="350">
        <f>VLOOKUP(Tableau1315[[#This Row],[PARCS]],Tableau16[],19,FALSE)</f>
        <v>-252488</v>
      </c>
      <c r="S90" s="20">
        <f>VLOOKUP(Tableau1315[[#This Row],[PARCS]],Tableau16[],28,FALSE)</f>
        <v>-12484</v>
      </c>
      <c r="T90" s="20">
        <f>VLOOKUP(Tableau1315[[#This Row],[PARCS]],Tableau16[],36,FALSE)</f>
        <v>-8357.42</v>
      </c>
      <c r="U90" s="20" t="str">
        <f>VLOOKUP(Tableau1315[[#This Row],[PARCS]],Tableau16[],37,FALSE)</f>
        <v> </v>
      </c>
      <c r="V90" s="467">
        <f>SUM(Tableau1315[[#This Row],[CONTRAT O&amp;M FORFAIT GROUPE2]:[CHARGES exceptionnels (BONUS, sinistres)7]])</f>
        <v>-294880.42</v>
      </c>
      <c r="W90" s="354">
        <f>VLOOKUP(Tableau1315[[#This Row],[PARCS]],Tableau17[],10,FALSE)</f>
        <v>-13362.924999999999</v>
      </c>
      <c r="X90" s="350">
        <f>VLOOKUP(Tableau1315[[#This Row],[PARCS]],Tableau17[],18,FALSE)</f>
        <v>-11478</v>
      </c>
      <c r="Y90" s="350">
        <f>VLOOKUP(Tableau1315[[#This Row],[PARCS]],Tableau17[],19,FALSE)</f>
        <v>-258800.19999999998</v>
      </c>
      <c r="Z90" s="350">
        <f>VLOOKUP(Tableau1315[[#This Row],[PARCS]],Tableau17[],28,FALSE)</f>
        <v>-10384</v>
      </c>
      <c r="AA90" s="350">
        <f>VLOOKUP(Tableau1315[[#This Row],[PARCS]],Tableau17[],36,FALSE)</f>
        <v>-7254.0999999999995</v>
      </c>
      <c r="AB90" s="252">
        <f>VLOOKUP(Tableau1315[[#This Row],[PARCS]],Tableau17[],37,FALSE)</f>
        <v>0</v>
      </c>
      <c r="AC90" s="468">
        <f>SUM(Tableau1315[[#This Row],[CONTRAT O&amp;M FORFAIT GROUPE22]:[CHARGES exceptionnels (BONUS, sinistres)77]])</f>
        <v>-301279.22499999998</v>
      </c>
      <c r="AD90" s="252">
        <f>Tableau1315[[#This Row],[TOTAL LE3]]-Tableau1315[[#This Row],[TOTAL BN-1]]</f>
        <v>3948.7822803150048</v>
      </c>
      <c r="AE90" s="351">
        <f>IFERROR((Tableau1315[[#This Row],[TOTAL LE3]]-Tableau1315[[#This Row],[TOTAL BN-1]])/Tableau1315[[#This Row],[TOTAL BN-1]],"")</f>
        <v>-1.3214178032744177E-2</v>
      </c>
      <c r="AF90" s="252">
        <f>Tableau1315[[#This Row],[TOTAL BN+1]]-Tableau1315[[#This Row],[TOTAL LE3]]</f>
        <v>-6398.804999999993</v>
      </c>
      <c r="AG90" s="351">
        <f>IFERROR((Tableau1315[[#This Row],[TOTAL BN+1]]-Tableau1315[[#This Row],[TOTAL LE3]])/Tableau1315[[#This Row],[TOTAL LE3]],"")</f>
        <v>2.169966049288723E-2</v>
      </c>
    </row>
    <row r="91" spans="1:34">
      <c r="A91" s="463" t="s">
        <v>601</v>
      </c>
      <c r="B91" s="464" t="str">
        <f>VLOOKUP(Tableau1315[[#This Row],[PARCS]],Tableau106[],3,FALSE)</f>
        <v>A936</v>
      </c>
      <c r="C91" s="464" t="str">
        <f>VLOOKUP(Tableau1315[[#This Row],[PARCS]],Tableau106[],2,FALSE)</f>
        <v>FR34E83E</v>
      </c>
      <c r="D91" s="465" t="str">
        <f>VLOOKUP(Tableau1315[[#This Row],[PARCS]],Tableau106[],8,FALSE)</f>
        <v>EOLIEN</v>
      </c>
      <c r="E91" s="465" t="str">
        <f>VLOOKUP(A91,Tableau106[[#Headers],[#Data]],6,FALSE)</f>
        <v>S</v>
      </c>
      <c r="F91" s="466" t="str">
        <f>VLOOKUP(Tableau1315[[#This Row],[PARCS]],Tableau106[],5,FALSE)</f>
        <v>LAPI</v>
      </c>
      <c r="G91" s="464" t="str">
        <f>VLOOKUP(Tableau1315[[#This Row],[PARCS]],Tableau106[],7,FALSE)</f>
        <v>FUTUREN</v>
      </c>
      <c r="H91" s="464" t="str">
        <f>VLOOKUP(Tableau1315[[#This Row],[PARCS]],Tableau106[],9,FALSE)</f>
        <v>KéD</v>
      </c>
      <c r="I91" s="350">
        <f>IFERROR(VLOOKUP(Tableau1315[[#This Row],[PARCS]],Tableau15[],10,FALSE),"")</f>
        <v>-251070.96</v>
      </c>
      <c r="J91" s="20">
        <f>IFERROR(VLOOKUP(Tableau1315[[#This Row],[PARCS]],Tableau15[],18,FALSE),"")</f>
        <v>-15675</v>
      </c>
      <c r="K91" s="252">
        <f>IFERROR(VLOOKUP(Tableau1315[[#This Row],[PARCS]],Tableau15[],19,FALSE),"")</f>
        <v>0</v>
      </c>
      <c r="L91" s="20">
        <f>IFERROR(VLOOKUP(Tableau1315[[#This Row],[PARCS]],Tableau15[],28,FALSE),"")</f>
        <v>-17875</v>
      </c>
      <c r="M91" s="252">
        <f>IFERROR(VLOOKUP(Tableau1315[[#This Row],[PARCS]],Tableau15[],36,FALSE),"")</f>
        <v>-61470.96</v>
      </c>
      <c r="N91" s="252">
        <f>IFERROR(VLOOKUP(Tableau1315[[#This Row],[PARCS]],Tableau15[],37,FALSE),"")</f>
        <v>0</v>
      </c>
      <c r="O91" s="467">
        <f>SUM(Tableau1315[[#This Row],[CONTRAT O&amp;M FORFAIT GROUPE]:[CHARGES exceptionnels (BONUS, sinistres)]])</f>
        <v>-346091.92</v>
      </c>
      <c r="P91" s="354">
        <f>VLOOKUP(Tableau1315[[#This Row],[PARCS]],Tableau16[],10,FALSE)</f>
        <v>-249008</v>
      </c>
      <c r="Q91" s="252">
        <f>VLOOKUP(Tableau1315[[#This Row],[PARCS]],Tableau16[],18,FALSE)</f>
        <v>-49810</v>
      </c>
      <c r="R91" s="252">
        <f>VLOOKUP(Tableau1315[[#This Row],[PARCS]],Tableau16[],19,FALSE)</f>
        <v>0</v>
      </c>
      <c r="S91" s="252">
        <f>VLOOKUP(Tableau1315[[#This Row],[PARCS]],Tableau16[],28,FALSE)</f>
        <v>-11650</v>
      </c>
      <c r="T91" s="252">
        <f>VLOOKUP(Tableau1315[[#This Row],[PARCS]],Tableau16[],36,FALSE)</f>
        <v>-86652</v>
      </c>
      <c r="U91" s="252">
        <f>VLOOKUP(Tableau1315[[#This Row],[PARCS]],Tableau16[],37,FALSE)</f>
        <v>0</v>
      </c>
      <c r="V91" s="467">
        <f>SUM(Tableau1315[[#This Row],[CONTRAT O&amp;M FORFAIT GROUPE2]:[CHARGES exceptionnels (BONUS, sinistres)7]])</f>
        <v>-397120</v>
      </c>
      <c r="W91" s="354">
        <f>VLOOKUP(Tableau1315[[#This Row],[PARCS]],Tableau17[],10,FALSE)</f>
        <v>-255233.19999999998</v>
      </c>
      <c r="X91" s="252">
        <f>VLOOKUP(Tableau1315[[#This Row],[PARCS]],Tableau17[],18,FALSE)</f>
        <v>-27180</v>
      </c>
      <c r="Y91" s="252">
        <f>VLOOKUP(Tableau1315[[#This Row],[PARCS]],Tableau17[],19,FALSE)</f>
        <v>0</v>
      </c>
      <c r="Z91" s="252">
        <f>VLOOKUP(Tableau1315[[#This Row],[PARCS]],Tableau17[],28,FALSE)</f>
        <v>-12000</v>
      </c>
      <c r="AA91" s="252">
        <f>VLOOKUP(Tableau1315[[#This Row],[PARCS]],Tableau17[],36,FALSE)</f>
        <v>-72645</v>
      </c>
      <c r="AB91" s="252">
        <f>VLOOKUP(Tableau1315[[#This Row],[PARCS]],Tableau17[],37,FALSE)</f>
        <v>0</v>
      </c>
      <c r="AC91" s="468">
        <f>SUM(Tableau1315[[#This Row],[CONTRAT O&amp;M FORFAIT GROUPE22]:[CHARGES exceptionnels (BONUS, sinistres)77]])</f>
        <v>-367058.19999999995</v>
      </c>
      <c r="AD91" s="252">
        <f>Tableau1315[[#This Row],[TOTAL LE3]]-Tableau1315[[#This Row],[TOTAL BN-1]]</f>
        <v>-51028.080000000016</v>
      </c>
      <c r="AE91" s="351">
        <f>IFERROR((Tableau1315[[#This Row],[TOTAL LE3]]-Tableau1315[[#This Row],[TOTAL BN-1]])/Tableau1315[[#This Row],[TOTAL BN-1]],"")</f>
        <v>0.14744083017020454</v>
      </c>
      <c r="AF91" s="252">
        <f>Tableau1315[[#This Row],[TOTAL BN+1]]-Tableau1315[[#This Row],[TOTAL LE3]]</f>
        <v>30061.800000000047</v>
      </c>
      <c r="AG91" s="351">
        <f>IFERROR((Tableau1315[[#This Row],[TOTAL BN+1]]-Tableau1315[[#This Row],[TOTAL LE3]])/Tableau1315[[#This Row],[TOTAL LE3]],"")</f>
        <v>-7.5699536663980785E-2</v>
      </c>
      <c r="AH91" s="6" t="s">
        <v>490</v>
      </c>
    </row>
    <row r="92" spans="1:34" hidden="1">
      <c r="A92" s="463" t="s">
        <v>579</v>
      </c>
      <c r="B92" s="464" t="str">
        <f>VLOOKUP(Tableau1315[[#This Row],[PARCS]],Tableau106[],3,FALSE)</f>
        <v>A899</v>
      </c>
      <c r="C92" s="464" t="str">
        <f>VLOOKUP(Tableau1315[[#This Row],[PARCS]],Tableau106[],2,FALSE)</f>
        <v>FR25E01E</v>
      </c>
      <c r="D92" s="465" t="str">
        <f>VLOOKUP(Tableau1315[[#This Row],[PARCS]],Tableau106[],8,FALSE)</f>
        <v>EOLIEN</v>
      </c>
      <c r="E92" s="465" t="str">
        <f>VLOOKUP(A92,Tableau106[[#Headers],[#Data]],6,FALSE)</f>
        <v>N</v>
      </c>
      <c r="F92" s="466" t="str">
        <f>VLOOKUP(Tableau1315[[#This Row],[PARCS]],Tableau106[],5,FALSE)</f>
        <v>LOMO</v>
      </c>
      <c r="G92" s="464" t="str">
        <f>VLOOKUP(Tableau1315[[#This Row],[PARCS]],Tableau106[],7,FALSE)</f>
        <v>GROUPE</v>
      </c>
      <c r="H92" s="464" t="str">
        <f>VLOOKUP(Tableau1315[[#This Row],[PARCS]],Tableau106[],9,FALSE)</f>
        <v>LoH</v>
      </c>
      <c r="I92" s="350">
        <f>IFERROR(VLOOKUP(Tableau1315[[#This Row],[PARCS]],Tableau15[],10,FALSE),"")</f>
        <v>0</v>
      </c>
      <c r="J92" s="20">
        <f>IFERROR(VLOOKUP(Tableau1315[[#This Row],[PARCS]],Tableau15[],18,FALSE),"")</f>
        <v>-27000</v>
      </c>
      <c r="K92" s="252">
        <f>IFERROR(VLOOKUP(Tableau1315[[#This Row],[PARCS]],Tableau15[],19,FALSE),"")</f>
        <v>-457315.94080799998</v>
      </c>
      <c r="L92" s="20">
        <f>IFERROR(VLOOKUP(Tableau1315[[#This Row],[PARCS]],Tableau15[],28,FALSE),"")</f>
        <v>-29500</v>
      </c>
      <c r="M92" s="252">
        <f>IFERROR(VLOOKUP(Tableau1315[[#This Row],[PARCS]],Tableau15[],36,FALSE),"")</f>
        <v>0</v>
      </c>
      <c r="N92" s="252">
        <f>IFERROR(VLOOKUP(Tableau1315[[#This Row],[PARCS]],Tableau15[],37,FALSE),"")</f>
        <v>0</v>
      </c>
      <c r="O92" s="467">
        <f>SUM(Tableau1315[[#This Row],[CONTRAT O&amp;M FORFAIT GROUPE]:[CHARGES exceptionnels (BONUS, sinistres)]])</f>
        <v>-513815.94080799998</v>
      </c>
      <c r="P92" s="354">
        <f>VLOOKUP(Tableau1315[[#This Row],[PARCS]],Tableau16[],10,FALSE)</f>
        <v>-39060</v>
      </c>
      <c r="Q92" s="350">
        <f>VLOOKUP(Tableau1315[[#This Row],[PARCS]],Tableau16[],18,FALSE)</f>
        <v>-13800</v>
      </c>
      <c r="R92" s="350">
        <f>VLOOKUP(Tableau1315[[#This Row],[PARCS]],Tableau16[],19,FALSE)</f>
        <v>-462431</v>
      </c>
      <c r="S92" s="20">
        <f>VLOOKUP(Tableau1315[[#This Row],[PARCS]],Tableau16[],28,FALSE)</f>
        <v>-113100</v>
      </c>
      <c r="T92" s="20">
        <f>VLOOKUP(Tableau1315[[#This Row],[PARCS]],Tableau16[],36,FALSE)</f>
        <v>-57380</v>
      </c>
      <c r="U92" s="20">
        <f>VLOOKUP(Tableau1315[[#This Row],[PARCS]],Tableau16[],37,FALSE)</f>
        <v>0</v>
      </c>
      <c r="V92" s="467">
        <f>SUM(Tableau1315[[#This Row],[CONTRAT O&amp;M FORFAIT GROUPE2]:[CHARGES exceptionnels (BONUS, sinistres)7]])</f>
        <v>-685771</v>
      </c>
      <c r="W92" s="354">
        <f>VLOOKUP(Tableau1315[[#This Row],[PARCS]],Tableau17[],10,FALSE)</f>
        <v>-40036.5</v>
      </c>
      <c r="X92" s="350">
        <f>VLOOKUP(Tableau1315[[#This Row],[PARCS]],Tableau17[],18,FALSE)</f>
        <v>-13800.000000000002</v>
      </c>
      <c r="Y92" s="350">
        <f>VLOOKUP(Tableau1315[[#This Row],[PARCS]],Tableau17[],19,FALSE)</f>
        <v>-473991.77499999997</v>
      </c>
      <c r="Z92" s="350">
        <f>VLOOKUP(Tableau1315[[#This Row],[PARCS]],Tableau17[],28,FALSE)</f>
        <v>-33400</v>
      </c>
      <c r="AA92" s="350">
        <f>VLOOKUP(Tableau1315[[#This Row],[PARCS]],Tableau17[],36,FALSE)</f>
        <v>-32547.1</v>
      </c>
      <c r="AB92" s="252">
        <f>VLOOKUP(Tableau1315[[#This Row],[PARCS]],Tableau17[],37,FALSE)</f>
        <v>0</v>
      </c>
      <c r="AC92" s="468">
        <f>SUM(Tableau1315[[#This Row],[CONTRAT O&amp;M FORFAIT GROUPE22]:[CHARGES exceptionnels (BONUS, sinistres)77]])</f>
        <v>-593775.37499999988</v>
      </c>
      <c r="AD92" s="252">
        <f>Tableau1315[[#This Row],[TOTAL LE3]]-Tableau1315[[#This Row],[TOTAL BN-1]]</f>
        <v>-171955.05919200002</v>
      </c>
      <c r="AE92" s="351">
        <f>IFERROR((Tableau1315[[#This Row],[TOTAL LE3]]-Tableau1315[[#This Row],[TOTAL BN-1]])/Tableau1315[[#This Row],[TOTAL BN-1]],"")</f>
        <v>0.33466275670932377</v>
      </c>
      <c r="AF92" s="252">
        <f>Tableau1315[[#This Row],[TOTAL BN+1]]-Tableau1315[[#This Row],[TOTAL LE3]]</f>
        <v>91995.625000000116</v>
      </c>
      <c r="AG92" s="351">
        <f>IFERROR((Tableau1315[[#This Row],[TOTAL BN+1]]-Tableau1315[[#This Row],[TOTAL LE3]])/Tableau1315[[#This Row],[TOTAL LE3]],"")</f>
        <v>-0.13414919120231114</v>
      </c>
    </row>
    <row r="93" spans="1:34" hidden="1">
      <c r="A93" s="463" t="s">
        <v>497</v>
      </c>
      <c r="B93" s="464" t="str">
        <f>VLOOKUP(Tableau1315[[#This Row],[PARCS]],Tableau106[],3,FALSE)</f>
        <v>A895</v>
      </c>
      <c r="C93" s="464" t="str">
        <f>VLOOKUP(Tableau1315[[#This Row],[PARCS]],Tableau106[],2,FALSE)</f>
        <v>FR80E97E</v>
      </c>
      <c r="D93" s="465" t="str">
        <f>VLOOKUP(Tableau1315[[#This Row],[PARCS]],Tableau106[],8,FALSE)</f>
        <v>EOLIEN</v>
      </c>
      <c r="E93" s="465" t="str">
        <f>VLOOKUP(A93,Tableau106[[#Headers],[#Data]],6,FALSE)</f>
        <v>N</v>
      </c>
      <c r="F93" s="466" t="str">
        <f>VLOOKUP(Tableau1315[[#This Row],[PARCS]],Tableau106[],5,FALSE)</f>
        <v>LEPI</v>
      </c>
      <c r="G93" s="464" t="str">
        <f>VLOOKUP(Tableau1315[[#This Row],[PARCS]],Tableau106[],7,FALSE)</f>
        <v>GROUPE</v>
      </c>
      <c r="H93" s="464" t="str">
        <f>VLOOKUP(Tableau1315[[#This Row],[PARCS]],Tableau106[],9,FALSE)</f>
        <v>NiD</v>
      </c>
      <c r="I93" s="350">
        <f>IFERROR(VLOOKUP(Tableau1315[[#This Row],[PARCS]],Tableau15[],10,FALSE),"")</f>
        <v>-165240</v>
      </c>
      <c r="J93" s="20">
        <f>IFERROR(VLOOKUP(Tableau1315[[#This Row],[PARCS]],Tableau15[],18,FALSE),"")</f>
        <v>-123500</v>
      </c>
      <c r="K93" s="252">
        <f>IFERROR(VLOOKUP(Tableau1315[[#This Row],[PARCS]],Tableau15[],19,FALSE),"")</f>
        <v>0</v>
      </c>
      <c r="L93" s="20">
        <f>IFERROR(VLOOKUP(Tableau1315[[#This Row],[PARCS]],Tableau15[],28,FALSE),"")</f>
        <v>-6250</v>
      </c>
      <c r="M93" s="252">
        <f>IFERROR(VLOOKUP(Tableau1315[[#This Row],[PARCS]],Tableau15[],36,FALSE),"")</f>
        <v>0</v>
      </c>
      <c r="N93" s="252">
        <f>IFERROR(VLOOKUP(Tableau1315[[#This Row],[PARCS]],Tableau15[],37,FALSE),"")</f>
        <v>0</v>
      </c>
      <c r="O93" s="467">
        <f>SUM(Tableau1315[[#This Row],[CONTRAT O&amp;M FORFAIT GROUPE]:[CHARGES exceptionnels (BONUS, sinistres)]])</f>
        <v>-294990</v>
      </c>
      <c r="P93" s="354">
        <f>VLOOKUP(Tableau1315[[#This Row],[PARCS]],Tableau16[],10,FALSE)</f>
        <v>-169493</v>
      </c>
      <c r="Q93" s="350">
        <f>VLOOKUP(Tableau1315[[#This Row],[PARCS]],Tableau16[],18,FALSE)</f>
        <v>-186000</v>
      </c>
      <c r="R93" s="350">
        <f>VLOOKUP(Tableau1315[[#This Row],[PARCS]],Tableau16[],19,FALSE)</f>
        <v>0</v>
      </c>
      <c r="S93" s="20">
        <f>VLOOKUP(Tableau1315[[#This Row],[PARCS]],Tableau16[],28,FALSE)</f>
        <v>-17750</v>
      </c>
      <c r="T93" s="20">
        <f>VLOOKUP(Tableau1315[[#This Row],[PARCS]],Tableau16[],36,FALSE)</f>
        <v>0</v>
      </c>
      <c r="U93" s="20">
        <f>VLOOKUP(Tableau1315[[#This Row],[PARCS]],Tableau16[],37,FALSE)</f>
        <v>0</v>
      </c>
      <c r="V93" s="467">
        <f>SUM(Tableau1315[[#This Row],[CONTRAT O&amp;M FORFAIT GROUPE2]:[CHARGES exceptionnels (BONUS, sinistres)7]])</f>
        <v>-373243</v>
      </c>
      <c r="W93" s="354">
        <f>VLOOKUP(Tableau1315[[#This Row],[PARCS]],Tableau17[],10,FALSE)</f>
        <v>-265000</v>
      </c>
      <c r="X93" s="350">
        <f>VLOOKUP(Tableau1315[[#This Row],[PARCS]],Tableau17[],18,FALSE)</f>
        <v>-186900.00000000003</v>
      </c>
      <c r="Y93" s="350">
        <f>VLOOKUP(Tableau1315[[#This Row],[PARCS]],Tableau17[],19,FALSE)</f>
        <v>0</v>
      </c>
      <c r="Z93" s="350">
        <f>VLOOKUP(Tableau1315[[#This Row],[PARCS]],Tableau17[],28,FALSE)</f>
        <v>-4000</v>
      </c>
      <c r="AA93" s="350">
        <f>VLOOKUP(Tableau1315[[#This Row],[PARCS]],Tableau17[],36,FALSE)</f>
        <v>0</v>
      </c>
      <c r="AB93" s="252">
        <f>VLOOKUP(Tableau1315[[#This Row],[PARCS]],Tableau17[],37,FALSE)</f>
        <v>0</v>
      </c>
      <c r="AC93" s="468">
        <f>SUM(Tableau1315[[#This Row],[CONTRAT O&amp;M FORFAIT GROUPE22]:[CHARGES exceptionnels (BONUS, sinistres)77]])</f>
        <v>-455900</v>
      </c>
      <c r="AD93" s="252">
        <f>Tableau1315[[#This Row],[TOTAL LE3]]-Tableau1315[[#This Row],[TOTAL BN-1]]</f>
        <v>-78253</v>
      </c>
      <c r="AE93" s="351">
        <f>IFERROR((Tableau1315[[#This Row],[TOTAL LE3]]-Tableau1315[[#This Row],[TOTAL BN-1]])/Tableau1315[[#This Row],[TOTAL BN-1]],"")</f>
        <v>0.26527339909827452</v>
      </c>
      <c r="AF93" s="252">
        <f>Tableau1315[[#This Row],[TOTAL BN+1]]-Tableau1315[[#This Row],[TOTAL LE3]]</f>
        <v>-82657</v>
      </c>
      <c r="AG93" s="351">
        <f>IFERROR((Tableau1315[[#This Row],[TOTAL BN+1]]-Tableau1315[[#This Row],[TOTAL LE3]])/Tableau1315[[#This Row],[TOTAL LE3]],"")</f>
        <v>0.22145626307794117</v>
      </c>
    </row>
    <row r="94" spans="1:34" hidden="1">
      <c r="A94" s="463" t="s">
        <v>450</v>
      </c>
      <c r="B94" s="464" t="str">
        <f>VLOOKUP(Tableau1315[[#This Row],[PARCS]],Tableau106[],3,FALSE)</f>
        <v>A279</v>
      </c>
      <c r="C94" s="464" t="str">
        <f>VLOOKUP(Tableau1315[[#This Row],[PARCS]],Tableau106[],2,FALSE)</f>
        <v>FR51E07E</v>
      </c>
      <c r="D94" s="465" t="str">
        <f>VLOOKUP(Tableau1315[[#This Row],[PARCS]],Tableau106[],8,FALSE)</f>
        <v>EOLIEN</v>
      </c>
      <c r="E94" s="465" t="str">
        <f>VLOOKUP(A94,Tableau106[[#Headers],[#Data]],6,FALSE)</f>
        <v>N</v>
      </c>
      <c r="F94" s="466" t="str">
        <f>VLOOKUP(Tableau1315[[#This Row],[PARCS]],Tableau106[],5,FALSE)</f>
        <v>LORO</v>
      </c>
      <c r="G94" s="464" t="str">
        <f>VLOOKUP(Tableau1315[[#This Row],[PARCS]],Tableau106[],7,FALSE)</f>
        <v>GROUPE</v>
      </c>
      <c r="H94" s="464" t="str">
        <f>VLOOKUP(Tableau1315[[#This Row],[PARCS]],Tableau106[],9,FALSE)</f>
        <v>BaB</v>
      </c>
      <c r="I94" s="350">
        <f>IFERROR(VLOOKUP(Tableau1315[[#This Row],[PARCS]],Tableau15[],10,FALSE),"")</f>
        <v>-36152.642267716532</v>
      </c>
      <c r="J94" s="20">
        <f>IFERROR(VLOOKUP(Tableau1315[[#This Row],[PARCS]],Tableau15[],18,FALSE),"")</f>
        <v>-64395</v>
      </c>
      <c r="K94" s="252">
        <f>IFERROR(VLOOKUP(Tableau1315[[#This Row],[PARCS]],Tableau15[],19,FALSE),"")</f>
        <v>-557214.27480000001</v>
      </c>
      <c r="L94" s="20">
        <f>IFERROR(VLOOKUP(Tableau1315[[#This Row],[PARCS]],Tableau15[],28,FALSE),"")</f>
        <v>-23850</v>
      </c>
      <c r="M94" s="252">
        <f>IFERROR(VLOOKUP(Tableau1315[[#This Row],[PARCS]],Tableau15[],36,FALSE),"")</f>
        <v>-46225</v>
      </c>
      <c r="N94" s="252">
        <f>IFERROR(VLOOKUP(Tableau1315[[#This Row],[PARCS]],Tableau15[],37,FALSE),"")</f>
        <v>0</v>
      </c>
      <c r="O94" s="467">
        <f>SUM(Tableau1315[[#This Row],[CONTRAT O&amp;M FORFAIT GROUPE]:[CHARGES exceptionnels (BONUS, sinistres)]])</f>
        <v>-727836.9170677166</v>
      </c>
      <c r="P94" s="354">
        <f>VLOOKUP(Tableau1315[[#This Row],[PARCS]],Tableau16[],10,FALSE)</f>
        <v>-43472</v>
      </c>
      <c r="Q94" s="350">
        <f>VLOOKUP(Tableau1315[[#This Row],[PARCS]],Tableau16[],18,FALSE)</f>
        <v>-69055</v>
      </c>
      <c r="R94" s="350">
        <f>VLOOKUP(Tableau1315[[#This Row],[PARCS]],Tableau16[],19,FALSE)</f>
        <v>-574671</v>
      </c>
      <c r="S94" s="20">
        <f>VLOOKUP(Tableau1315[[#This Row],[PARCS]],Tableau16[],28,FALSE)</f>
        <v>-18047</v>
      </c>
      <c r="T94" s="20">
        <f>VLOOKUP(Tableau1315[[#This Row],[PARCS]],Tableau16[],36,FALSE)</f>
        <v>-68072.2</v>
      </c>
      <c r="U94" s="20">
        <f>VLOOKUP(Tableau1315[[#This Row],[PARCS]],Tableau16[],37,FALSE)</f>
        <v>0</v>
      </c>
      <c r="V94" s="467">
        <f>SUM(Tableau1315[[#This Row],[CONTRAT O&amp;M FORFAIT GROUPE2]:[CHARGES exceptionnels (BONUS, sinistres)7]])</f>
        <v>-773317.2</v>
      </c>
      <c r="W94" s="354">
        <f>VLOOKUP(Tableau1315[[#This Row],[PARCS]],Tableau17[],10,FALSE)</f>
        <v>-44558.799999999996</v>
      </c>
      <c r="X94" s="350">
        <f>VLOOKUP(Tableau1315[[#This Row],[PARCS]],Tableau17[],18,FALSE)</f>
        <v>-69965</v>
      </c>
      <c r="Y94" s="350">
        <f>VLOOKUP(Tableau1315[[#This Row],[PARCS]],Tableau17[],19,FALSE)</f>
        <v>-589037.77499999991</v>
      </c>
      <c r="Z94" s="350">
        <f>VLOOKUP(Tableau1315[[#This Row],[PARCS]],Tableau17[],28,FALSE)</f>
        <v>-10800</v>
      </c>
      <c r="AA94" s="350">
        <f>VLOOKUP(Tableau1315[[#This Row],[PARCS]],Tableau17[],36,FALSE)</f>
        <v>-53000</v>
      </c>
      <c r="AB94" s="252">
        <f>VLOOKUP(Tableau1315[[#This Row],[PARCS]],Tableau17[],37,FALSE)</f>
        <v>0</v>
      </c>
      <c r="AC94" s="468">
        <f>SUM(Tableau1315[[#This Row],[CONTRAT O&amp;M FORFAIT GROUPE22]:[CHARGES exceptionnels (BONUS, sinistres)77]])</f>
        <v>-767361.57499999995</v>
      </c>
      <c r="AD94" s="252">
        <f>Tableau1315[[#This Row],[TOTAL LE3]]-Tableau1315[[#This Row],[TOTAL BN-1]]</f>
        <v>-45480.282932283357</v>
      </c>
      <c r="AE94" s="351">
        <f>IFERROR((Tableau1315[[#This Row],[TOTAL LE3]]-Tableau1315[[#This Row],[TOTAL BN-1]])/Tableau1315[[#This Row],[TOTAL BN-1]],"")</f>
        <v>6.2486914122895414E-2</v>
      </c>
      <c r="AF94" s="252">
        <f>Tableau1315[[#This Row],[TOTAL BN+1]]-Tableau1315[[#This Row],[TOTAL LE3]]</f>
        <v>5955.625</v>
      </c>
      <c r="AG94" s="351">
        <f>IFERROR((Tableau1315[[#This Row],[TOTAL BN+1]]-Tableau1315[[#This Row],[TOTAL LE3]])/Tableau1315[[#This Row],[TOTAL LE3]],"")</f>
        <v>-7.7013998912735943E-3</v>
      </c>
    </row>
    <row r="95" spans="1:34" hidden="1">
      <c r="A95" s="463" t="s">
        <v>517</v>
      </c>
      <c r="B95" s="464" t="str">
        <f>VLOOKUP(Tableau1315[[#This Row],[PARCS]],Tableau106[],3,FALSE)</f>
        <v>A125</v>
      </c>
      <c r="C95" s="464" t="str">
        <f>VLOOKUP(Tableau1315[[#This Row],[PARCS]],Tableau106[],2,FALSE)</f>
        <v>FR81E99E</v>
      </c>
      <c r="D95" s="465" t="str">
        <f>VLOOKUP(Tableau1315[[#This Row],[PARCS]],Tableau106[],8,FALSE)</f>
        <v>EOLIEN</v>
      </c>
      <c r="E95" s="465" t="str">
        <f>VLOOKUP(A95,Tableau106[[#Headers],[#Data]],6,FALSE)</f>
        <v>S</v>
      </c>
      <c r="F95" s="466" t="str">
        <f>VLOOKUP(Tableau1315[[#This Row],[PARCS]],Tableau106[],5,FALSE)</f>
        <v>SAUV</v>
      </c>
      <c r="G95" s="464" t="str">
        <f>VLOOKUP(Tableau1315[[#This Row],[PARCS]],Tableau106[],7,FALSE)</f>
        <v>GROUPE</v>
      </c>
      <c r="H95" s="464" t="str">
        <f>VLOOKUP(Tableau1315[[#This Row],[PARCS]],Tableau106[],9,FALSE)</f>
        <v>ThC</v>
      </c>
      <c r="I95" s="350">
        <f>IFERROR(VLOOKUP(Tableau1315[[#This Row],[PARCS]],Tableau15[],10,FALSE),"")</f>
        <v>-12626.246851385387</v>
      </c>
      <c r="J95" s="20">
        <f>IFERROR(VLOOKUP(Tableau1315[[#This Row],[PARCS]],Tableau15[],18,FALSE),"")</f>
        <v>-17500</v>
      </c>
      <c r="K95" s="252">
        <f>IFERROR(VLOOKUP(Tableau1315[[#This Row],[PARCS]],Tableau15[],19,FALSE),"")</f>
        <v>-427619.55204400001</v>
      </c>
      <c r="L95" s="20">
        <f>IFERROR(VLOOKUP(Tableau1315[[#This Row],[PARCS]],Tableau15[],28,FALSE),"")</f>
        <v>-111500</v>
      </c>
      <c r="M95" s="252">
        <f>IFERROR(VLOOKUP(Tableau1315[[#This Row],[PARCS]],Tableau15[],36,FALSE),"")</f>
        <v>-12000</v>
      </c>
      <c r="N95" s="252">
        <f>IFERROR(VLOOKUP(Tableau1315[[#This Row],[PARCS]],Tableau15[],37,FALSE),"")</f>
        <v>0</v>
      </c>
      <c r="O95" s="467">
        <f>SUM(Tableau1315[[#This Row],[CONTRAT O&amp;M FORFAIT GROUPE]:[CHARGES exceptionnels (BONUS, sinistres)]])</f>
        <v>-581245.79889538535</v>
      </c>
      <c r="P95" s="354">
        <f>VLOOKUP(Tableau1315[[#This Row],[PARCS]],Tableau16[],10,FALSE)</f>
        <v>-10015</v>
      </c>
      <c r="Q95" s="252">
        <f>VLOOKUP(Tableau1315[[#This Row],[PARCS]],Tableau16[],18,FALSE)</f>
        <v>-22080</v>
      </c>
      <c r="R95" s="252">
        <f>VLOOKUP(Tableau1315[[#This Row],[PARCS]],Tableau16[],19,FALSE)</f>
        <v>-502654</v>
      </c>
      <c r="S95" s="252">
        <f>VLOOKUP(Tableau1315[[#This Row],[PARCS]],Tableau16[],28,FALSE)</f>
        <v>-88200</v>
      </c>
      <c r="T95" s="252">
        <f>VLOOKUP(Tableau1315[[#This Row],[PARCS]],Tableau16[],36,FALSE)</f>
        <v>-40000</v>
      </c>
      <c r="U95" s="252">
        <f>VLOOKUP(Tableau1315[[#This Row],[PARCS]],Tableau16[],37,FALSE)</f>
        <v>0</v>
      </c>
      <c r="V95" s="467">
        <f>SUM(Tableau1315[[#This Row],[CONTRAT O&amp;M FORFAIT GROUPE2]:[CHARGES exceptionnels (BONUS, sinistres)7]])</f>
        <v>-662949</v>
      </c>
      <c r="W95" s="354">
        <f>VLOOKUP(Tableau1315[[#This Row],[PARCS]],Tableau17[],10,FALSE)</f>
        <v>-10265.375</v>
      </c>
      <c r="X95" s="252">
        <f>VLOOKUP(Tableau1315[[#This Row],[PARCS]],Tableau17[],18,FALSE)</f>
        <v>-28980</v>
      </c>
      <c r="Y95" s="252">
        <f>VLOOKUP(Tableau1315[[#This Row],[PARCS]],Tableau17[],19,FALSE)</f>
        <v>-515220.35</v>
      </c>
      <c r="Z95" s="252">
        <f>VLOOKUP(Tableau1315[[#This Row],[PARCS]],Tableau17[],28,FALSE)</f>
        <v>-78200</v>
      </c>
      <c r="AA95" s="252">
        <f>VLOOKUP(Tableau1315[[#This Row],[PARCS]],Tableau17[],36,FALSE)</f>
        <v>-55047.1</v>
      </c>
      <c r="AB95" s="252">
        <f>VLOOKUP(Tableau1315[[#This Row],[PARCS]],Tableau17[],37,FALSE)</f>
        <v>0</v>
      </c>
      <c r="AC95" s="468">
        <f>SUM(Tableau1315[[#This Row],[CONTRAT O&amp;M FORFAIT GROUPE22]:[CHARGES exceptionnels (BONUS, sinistres)77]])</f>
        <v>-687712.82499999995</v>
      </c>
      <c r="AD95" s="252">
        <f>Tableau1315[[#This Row],[TOTAL LE3]]-Tableau1315[[#This Row],[TOTAL BN-1]]</f>
        <v>-81703.201104614651</v>
      </c>
      <c r="AE95" s="351">
        <f>IFERROR((Tableau1315[[#This Row],[TOTAL LE3]]-Tableau1315[[#This Row],[TOTAL BN-1]])/Tableau1315[[#This Row],[TOTAL BN-1]],"")</f>
        <v>0.14056566302911014</v>
      </c>
      <c r="AF95" s="252">
        <f>Tableau1315[[#This Row],[TOTAL BN+1]]-Tableau1315[[#This Row],[TOTAL LE3]]</f>
        <v>-24763.824999999953</v>
      </c>
      <c r="AG95" s="351">
        <f>IFERROR((Tableau1315[[#This Row],[TOTAL BN+1]]-Tableau1315[[#This Row],[TOTAL LE3]])/Tableau1315[[#This Row],[TOTAL LE3]],"")</f>
        <v>3.7354042316980571E-2</v>
      </c>
      <c r="AH95" s="6" t="s">
        <v>746</v>
      </c>
    </row>
    <row r="96" spans="1:34">
      <c r="A96" s="463" t="s">
        <v>544</v>
      </c>
      <c r="B96" s="464" t="str">
        <f>VLOOKUP(Tableau1315[[#This Row],[PARCS]],Tableau106[],3,FALSE)</f>
        <v>A958</v>
      </c>
      <c r="C96" s="464" t="str">
        <f>VLOOKUP(Tableau1315[[#This Row],[PARCS]],Tableau106[],2,FALSE)</f>
        <v>FR11E92E</v>
      </c>
      <c r="D96" s="465" t="str">
        <f>VLOOKUP(Tableau1315[[#This Row],[PARCS]],Tableau106[],8,FALSE)</f>
        <v>EOLIEN</v>
      </c>
      <c r="E96" s="465" t="str">
        <f>VLOOKUP(A96,Tableau106[[#Headers],[#Data]],6,FALSE)</f>
        <v>S</v>
      </c>
      <c r="F96" s="466" t="str">
        <f>VLOOKUP(Tableau1315[[#This Row],[PARCS]],Tableau106[],5,FALSE)</f>
        <v>CONI</v>
      </c>
      <c r="G96" s="464" t="str">
        <f>VLOOKUP(Tableau1315[[#This Row],[PARCS]],Tableau106[],7,FALSE)</f>
        <v>FUTUREN</v>
      </c>
      <c r="H96" s="464" t="str">
        <f>VLOOKUP(Tableau1315[[#This Row],[PARCS]],Tableau106[],9,FALSE)</f>
        <v>StE</v>
      </c>
      <c r="I96" s="350">
        <f>IFERROR(VLOOKUP(Tableau1315[[#This Row],[PARCS]],Tableau15[],10,FALSE),"")</f>
        <v>-12626.246851385387</v>
      </c>
      <c r="J96" s="20">
        <f>IFERROR(VLOOKUP(Tableau1315[[#This Row],[PARCS]],Tableau15[],18,FALSE),"")</f>
        <v>-12420</v>
      </c>
      <c r="K96" s="252">
        <f>IFERROR(VLOOKUP(Tableau1315[[#This Row],[PARCS]],Tableau15[],19,FALSE),"")</f>
        <v>-267680.84747600002</v>
      </c>
      <c r="L96" s="20">
        <f>IFERROR(VLOOKUP(Tableau1315[[#This Row],[PARCS]],Tableau15[],28,FALSE),"")</f>
        <v>-16600</v>
      </c>
      <c r="M96" s="252">
        <f>IFERROR(VLOOKUP(Tableau1315[[#This Row],[PARCS]],Tableau15[],36,FALSE),"")</f>
        <v>-10000</v>
      </c>
      <c r="N96" s="252">
        <f>IFERROR(VLOOKUP(Tableau1315[[#This Row],[PARCS]],Tableau15[],37,FALSE),"")</f>
        <v>0</v>
      </c>
      <c r="O96" s="467">
        <f>SUM(Tableau1315[[#This Row],[CONTRAT O&amp;M FORFAIT GROUPE]:[CHARGES exceptionnels (BONUS, sinistres)]])</f>
        <v>-319327.09432738542</v>
      </c>
      <c r="P96" s="354">
        <f>VLOOKUP(Tableau1315[[#This Row],[PARCS]],Tableau16[],10,FALSE)</f>
        <v>-6690</v>
      </c>
      <c r="Q96" s="350">
        <f>VLOOKUP(Tableau1315[[#This Row],[PARCS]],Tableau16[],18,FALSE)</f>
        <v>-12718</v>
      </c>
      <c r="R96" s="350">
        <f>VLOOKUP(Tableau1315[[#This Row],[PARCS]],Tableau16[],19,FALSE)</f>
        <v>-303796</v>
      </c>
      <c r="S96" s="20">
        <f>VLOOKUP(Tableau1315[[#This Row],[PARCS]],Tableau16[],28,FALSE)</f>
        <v>-28009</v>
      </c>
      <c r="T96" s="20">
        <f>VLOOKUP(Tableau1315[[#This Row],[PARCS]],Tableau16[],36,FALSE)</f>
        <v>-10071.720000000001</v>
      </c>
      <c r="U96" s="20">
        <f>VLOOKUP(Tableau1315[[#This Row],[PARCS]],Tableau16[],37,FALSE)</f>
        <v>0</v>
      </c>
      <c r="V96" s="467">
        <f>SUM(Tableau1315[[#This Row],[CONTRAT O&amp;M FORFAIT GROUPE2]:[CHARGES exceptionnels (BONUS, sinistres)7]])</f>
        <v>-361284.72</v>
      </c>
      <c r="W96" s="354">
        <f>VLOOKUP(Tableau1315[[#This Row],[PARCS]],Tableau17[],10,FALSE)</f>
        <v>-14490</v>
      </c>
      <c r="X96" s="350">
        <f>VLOOKUP(Tableau1315[[#This Row],[PARCS]],Tableau17[],18,FALSE)</f>
        <v>-8768</v>
      </c>
      <c r="Y96" s="350">
        <f>VLOOKUP(Tableau1315[[#This Row],[PARCS]],Tableau17[],19,FALSE)</f>
        <v>-311390.89999999997</v>
      </c>
      <c r="Z96" s="350">
        <f>VLOOKUP(Tableau1315[[#This Row],[PARCS]],Tableau17[],28,FALSE)</f>
        <v>-20300</v>
      </c>
      <c r="AA96" s="350">
        <f>VLOOKUP(Tableau1315[[#This Row],[PARCS]],Tableau17[],36,FALSE)</f>
        <v>-10047.099999999999</v>
      </c>
      <c r="AB96" s="252">
        <f>VLOOKUP(Tableau1315[[#This Row],[PARCS]],Tableau17[],37,FALSE)</f>
        <v>0</v>
      </c>
      <c r="AC96" s="468">
        <f>SUM(Tableau1315[[#This Row],[CONTRAT O&amp;M FORFAIT GROUPE22]:[CHARGES exceptionnels (BONUS, sinistres)77]])</f>
        <v>-364995.99999999994</v>
      </c>
      <c r="AD96" s="252">
        <f>Tableau1315[[#This Row],[TOTAL LE3]]-Tableau1315[[#This Row],[TOTAL BN-1]]</f>
        <v>-41957.625672614551</v>
      </c>
      <c r="AE96" s="351">
        <f>IFERROR((Tableau1315[[#This Row],[TOTAL LE3]]-Tableau1315[[#This Row],[TOTAL BN-1]])/Tableau1315[[#This Row],[TOTAL BN-1]],"")</f>
        <v>0.13139387924783516</v>
      </c>
      <c r="AF96" s="252">
        <f>Tableau1315[[#This Row],[TOTAL BN+1]]-Tableau1315[[#This Row],[TOTAL LE3]]</f>
        <v>-3711.2799999999697</v>
      </c>
      <c r="AG96" s="351">
        <f>IFERROR((Tableau1315[[#This Row],[TOTAL BN+1]]-Tableau1315[[#This Row],[TOTAL LE3]])/Tableau1315[[#This Row],[TOTAL LE3]],"")</f>
        <v>1.0272452153525811E-2</v>
      </c>
      <c r="AH96" s="6" t="s">
        <v>747</v>
      </c>
    </row>
    <row r="97" spans="1:34" hidden="1">
      <c r="A97" s="463" t="s">
        <v>537</v>
      </c>
      <c r="B97" s="464" t="str">
        <f>VLOOKUP(Tableau1315[[#This Row],[PARCS]],Tableau106[],3,FALSE)</f>
        <v>A389</v>
      </c>
      <c r="C97" s="464" t="str">
        <f>VLOOKUP(Tableau1315[[#This Row],[PARCS]],Tableau106[],2,FALSE)</f>
        <v>FR89S02E</v>
      </c>
      <c r="D97" s="465" t="str">
        <f>VLOOKUP(Tableau1315[[#This Row],[PARCS]],Tableau106[],8,FALSE)</f>
        <v>SOLAIRE</v>
      </c>
      <c r="E97" s="465" t="str">
        <f>VLOOKUP(A97,Tableau106[[#Headers],[#Data]],6,FALSE)</f>
        <v>S</v>
      </c>
      <c r="F97" s="466" t="str">
        <f>VLOOKUP(Tableau1315[[#This Row],[PARCS]],Tableau106[],5,FALSE)</f>
        <v>MA22</v>
      </c>
      <c r="G97" s="464" t="str">
        <f>VLOOKUP(Tableau1315[[#This Row],[PARCS]],Tableau106[],7,FALSE)</f>
        <v>GROUPE</v>
      </c>
      <c r="H97" s="464" t="str">
        <f>VLOOKUP(Tableau1315[[#This Row],[PARCS]],Tableau106[],9,FALSE)</f>
        <v>LoG</v>
      </c>
      <c r="I97" s="350">
        <f>IFERROR(VLOOKUP(Tableau1315[[#This Row],[PARCS]],Tableau15[],10,FALSE),"")</f>
        <v>-394158.4878</v>
      </c>
      <c r="J97" s="20">
        <f>IFERROR(VLOOKUP(Tableau1315[[#This Row],[PARCS]],Tableau15[],18,FALSE),"")</f>
        <v>-42000</v>
      </c>
      <c r="K97" s="252">
        <f>IFERROR(VLOOKUP(Tableau1315[[#This Row],[PARCS]],Tableau15[],19,FALSE),"")</f>
        <v>0</v>
      </c>
      <c r="L97" s="20">
        <f>IFERROR(VLOOKUP(Tableau1315[[#This Row],[PARCS]],Tableau15[],28,FALSE),"")</f>
        <v>-228000</v>
      </c>
      <c r="M97" s="252">
        <f>IFERROR(VLOOKUP(Tableau1315[[#This Row],[PARCS]],Tableau15[],36,FALSE),"")</f>
        <v>0</v>
      </c>
      <c r="N97" s="252">
        <f>IFERROR(VLOOKUP(Tableau1315[[#This Row],[PARCS]],Tableau15[],37,FALSE),"")</f>
        <v>-15000</v>
      </c>
      <c r="O97" s="467">
        <f>SUM(Tableau1315[[#This Row],[CONTRAT O&amp;M FORFAIT GROUPE]:[CHARGES exceptionnels (BONUS, sinistres)]])</f>
        <v>-679158.4878</v>
      </c>
      <c r="P97" s="354">
        <f>VLOOKUP(Tableau1315[[#This Row],[PARCS]],Tableau16[],10,FALSE)</f>
        <v>-396377</v>
      </c>
      <c r="Q97" s="252">
        <f>VLOOKUP(Tableau1315[[#This Row],[PARCS]],Tableau16[],18,FALSE)</f>
        <v>-170980</v>
      </c>
      <c r="R97" s="252">
        <f>VLOOKUP(Tableau1315[[#This Row],[PARCS]],Tableau16[],19,FALSE)</f>
        <v>0</v>
      </c>
      <c r="S97" s="252">
        <f>VLOOKUP(Tableau1315[[#This Row],[PARCS]],Tableau16[],28,FALSE)</f>
        <v>-185800</v>
      </c>
      <c r="T97" s="252">
        <f>VLOOKUP(Tableau1315[[#This Row],[PARCS]],Tableau16[],36,FALSE)</f>
        <v>0</v>
      </c>
      <c r="U97" s="252">
        <f>VLOOKUP(Tableau1315[[#This Row],[PARCS]],Tableau16[],37,FALSE)</f>
        <v>-15000</v>
      </c>
      <c r="V97" s="467">
        <f>SUM(Tableau1315[[#This Row],[CONTRAT O&amp;M FORFAIT GROUPE2]:[CHARGES exceptionnels (BONUS, sinistres)7]])</f>
        <v>-768157</v>
      </c>
      <c r="W97" s="354">
        <f>VLOOKUP(Tableau1315[[#This Row],[PARCS]],Tableau17[],10,FALSE)</f>
        <v>-406286.42499999999</v>
      </c>
      <c r="X97" s="252">
        <f>VLOOKUP(Tableau1315[[#This Row],[PARCS]],Tableau17[],18,FALSE)</f>
        <v>-78440</v>
      </c>
      <c r="Y97" s="252">
        <f>VLOOKUP(Tableau1315[[#This Row],[PARCS]],Tableau17[],19,FALSE)</f>
        <v>0</v>
      </c>
      <c r="Z97" s="252">
        <f>VLOOKUP(Tableau1315[[#This Row],[PARCS]],Tableau17[],28,FALSE)</f>
        <v>-35000</v>
      </c>
      <c r="AA97" s="252">
        <f>VLOOKUP(Tableau1315[[#This Row],[PARCS]],Tableau17[],36,FALSE)</f>
        <v>0</v>
      </c>
      <c r="AB97" s="252">
        <f>VLOOKUP(Tableau1315[[#This Row],[PARCS]],Tableau17[],37,FALSE)</f>
        <v>0</v>
      </c>
      <c r="AC97" s="468">
        <f>SUM(Tableau1315[[#This Row],[CONTRAT O&amp;M FORFAIT GROUPE22]:[CHARGES exceptionnels (BONUS, sinistres)77]])</f>
        <v>-519726.42499999999</v>
      </c>
      <c r="AD97" s="252">
        <f>Tableau1315[[#This Row],[TOTAL LE3]]-Tableau1315[[#This Row],[TOTAL BN-1]]</f>
        <v>-88998.512199999997</v>
      </c>
      <c r="AE97" s="351">
        <f>IFERROR((Tableau1315[[#This Row],[TOTAL LE3]]-Tableau1315[[#This Row],[TOTAL BN-1]])/Tableau1315[[#This Row],[TOTAL BN-1]],"")</f>
        <v>0.13104233223719713</v>
      </c>
      <c r="AF97" s="252">
        <f>Tableau1315[[#This Row],[TOTAL BN+1]]-Tableau1315[[#This Row],[TOTAL LE3]]</f>
        <v>248430.57500000001</v>
      </c>
      <c r="AG97" s="351">
        <f>IFERROR((Tableau1315[[#This Row],[TOTAL BN+1]]-Tableau1315[[#This Row],[TOTAL LE3]])/Tableau1315[[#This Row],[TOTAL LE3]],"")</f>
        <v>-0.32341119719015776</v>
      </c>
      <c r="AH97" s="6" t="s">
        <v>748</v>
      </c>
    </row>
    <row r="98" spans="1:34" hidden="1">
      <c r="A98" s="463" t="s">
        <v>622</v>
      </c>
      <c r="B98" s="464" t="str">
        <f>VLOOKUP(Tableau1315[[#This Row],[PARCS]],Tableau106[],3,FALSE)</f>
        <v>A049</v>
      </c>
      <c r="C98" s="464" t="str">
        <f>VLOOKUP(Tableau1315[[#This Row],[PARCS]],Tableau106[],2,FALSE)</f>
        <v>FR34E96E</v>
      </c>
      <c r="D98" s="465" t="str">
        <f>VLOOKUP(Tableau1315[[#This Row],[PARCS]],Tableau106[],8,FALSE)</f>
        <v>EOLIEN</v>
      </c>
      <c r="E98" s="465" t="str">
        <f>VLOOKUP(A98,Tableau106[[#Headers],[#Data]],6,FALSE)</f>
        <v>S</v>
      </c>
      <c r="F98" s="466" t="str">
        <f>VLOOKUP(Tableau1315[[#This Row],[PARCS]],Tableau106[],5,FALSE)</f>
        <v>CASH</v>
      </c>
      <c r="G98" s="464" t="str">
        <f>VLOOKUP(Tableau1315[[#This Row],[PARCS]],Tableau106[],7,FALSE)</f>
        <v>GROUPE</v>
      </c>
      <c r="H98" s="464" t="str">
        <f>VLOOKUP(Tableau1315[[#This Row],[PARCS]],Tableau106[],9,FALSE)</f>
        <v>OdP</v>
      </c>
      <c r="I98" s="350">
        <f>IFERROR(VLOOKUP(Tableau1315[[#This Row],[PARCS]],Tableau15[],10,FALSE),"")</f>
        <v>-430826.58</v>
      </c>
      <c r="J98" s="20">
        <f>IFERROR(VLOOKUP(Tableau1315[[#This Row],[PARCS]],Tableau15[],18,FALSE),"")</f>
        <v>-15525</v>
      </c>
      <c r="K98" s="252">
        <f>IFERROR(VLOOKUP(Tableau1315[[#This Row],[PARCS]],Tableau15[],19,FALSE),"")</f>
        <v>0</v>
      </c>
      <c r="L98" s="20">
        <f>IFERROR(VLOOKUP(Tableau1315[[#This Row],[PARCS]],Tableau15[],28,FALSE),"")</f>
        <v>-10750</v>
      </c>
      <c r="M98" s="252">
        <f>IFERROR(VLOOKUP(Tableau1315[[#This Row],[PARCS]],Tableau15[],36,FALSE),"")</f>
        <v>0</v>
      </c>
      <c r="N98" s="252">
        <f>IFERROR(VLOOKUP(Tableau1315[[#This Row],[PARCS]],Tableau15[],37,FALSE),"")</f>
        <v>0</v>
      </c>
      <c r="O98" s="467">
        <f>SUM(Tableau1315[[#This Row],[CONTRAT O&amp;M FORFAIT GROUPE]:[CHARGES exceptionnels (BONUS, sinistres)]])</f>
        <v>-457101.58</v>
      </c>
      <c r="P98" s="354">
        <f>VLOOKUP(Tableau1315[[#This Row],[PARCS]],Tableau16[],10,FALSE)</f>
        <v>-424551</v>
      </c>
      <c r="Q98" s="350">
        <f>VLOOKUP(Tableau1315[[#This Row],[PARCS]],Tableau16[],18,FALSE)</f>
        <v>-39145</v>
      </c>
      <c r="R98" s="350">
        <f>VLOOKUP(Tableau1315[[#This Row],[PARCS]],Tableau16[],19,FALSE)</f>
        <v>0</v>
      </c>
      <c r="S98" s="20">
        <f>VLOOKUP(Tableau1315[[#This Row],[PARCS]],Tableau16[],28,FALSE)</f>
        <v>-15625</v>
      </c>
      <c r="T98" s="20">
        <f>VLOOKUP(Tableau1315[[#This Row],[PARCS]],Tableau16[],36,FALSE)</f>
        <v>-33568.800000000003</v>
      </c>
      <c r="U98" s="20">
        <f>VLOOKUP(Tableau1315[[#This Row],[PARCS]],Tableau16[],37,FALSE)</f>
        <v>0</v>
      </c>
      <c r="V98" s="467">
        <f>SUM(Tableau1315[[#This Row],[CONTRAT O&amp;M FORFAIT GROUPE2]:[CHARGES exceptionnels (BONUS, sinistres)7]])</f>
        <v>-512889.8</v>
      </c>
      <c r="W98" s="354">
        <f>VLOOKUP(Tableau1315[[#This Row],[PARCS]],Tableau17[],10,FALSE)</f>
        <v>-435164.77499999997</v>
      </c>
      <c r="X98" s="350">
        <f>VLOOKUP(Tableau1315[[#This Row],[PARCS]],Tableau17[],18,FALSE)</f>
        <v>-37140</v>
      </c>
      <c r="Y98" s="350">
        <f>VLOOKUP(Tableau1315[[#This Row],[PARCS]],Tableau17[],19,FALSE)</f>
        <v>0</v>
      </c>
      <c r="Z98" s="350">
        <f>VLOOKUP(Tableau1315[[#This Row],[PARCS]],Tableau17[],28,FALSE)</f>
        <v>-7875</v>
      </c>
      <c r="AA98" s="350">
        <f>VLOOKUP(Tableau1315[[#This Row],[PARCS]],Tableau17[],36,FALSE)</f>
        <v>-90047.1</v>
      </c>
      <c r="AB98" s="252">
        <f>VLOOKUP(Tableau1315[[#This Row],[PARCS]],Tableau17[],37,FALSE)</f>
        <v>0</v>
      </c>
      <c r="AC98" s="468">
        <f>SUM(Tableau1315[[#This Row],[CONTRAT O&amp;M FORFAIT GROUPE22]:[CHARGES exceptionnels (BONUS, sinistres)77]])</f>
        <v>-570226.875</v>
      </c>
      <c r="AD98" s="252">
        <f>Tableau1315[[#This Row],[TOTAL LE3]]-Tableau1315[[#This Row],[TOTAL BN-1]]</f>
        <v>-55788.219999999972</v>
      </c>
      <c r="AE98" s="351">
        <f>IFERROR((Tableau1315[[#This Row],[TOTAL LE3]]-Tableau1315[[#This Row],[TOTAL BN-1]])/Tableau1315[[#This Row],[TOTAL BN-1]],"")</f>
        <v>0.12204775139915283</v>
      </c>
      <c r="AF98" s="252">
        <f>Tableau1315[[#This Row],[TOTAL BN+1]]-Tableau1315[[#This Row],[TOTAL LE3]]</f>
        <v>-57337.075000000012</v>
      </c>
      <c r="AG98" s="351">
        <f>IFERROR((Tableau1315[[#This Row],[TOTAL BN+1]]-Tableau1315[[#This Row],[TOTAL LE3]])/Tableau1315[[#This Row],[TOTAL LE3]],"")</f>
        <v>0.11179219200693796</v>
      </c>
      <c r="AH98" s="6" t="s">
        <v>749</v>
      </c>
    </row>
    <row r="99" spans="1:34" hidden="1">
      <c r="A99" s="463" t="s">
        <v>543</v>
      </c>
      <c r="B99" s="464" t="str">
        <f>VLOOKUP(Tableau1315[[#This Row],[PARCS]],Tableau106[],3,FALSE)</f>
        <v>A902</v>
      </c>
      <c r="C99" s="464" t="str">
        <f>VLOOKUP(Tableau1315[[#This Row],[PARCS]],Tableau106[],2,FALSE)</f>
        <v>FR17S01E</v>
      </c>
      <c r="D99" s="465" t="str">
        <f>VLOOKUP(Tableau1315[[#This Row],[PARCS]],Tableau106[],8,FALSE)</f>
        <v>SOLAIRE</v>
      </c>
      <c r="E99" s="465" t="str">
        <f>VLOOKUP(A99,Tableau106[[#Headers],[#Data]],6,FALSE)</f>
        <v>N</v>
      </c>
      <c r="F99" s="466" t="str">
        <f>VLOOKUP(Tableau1315[[#This Row],[PARCS]],Tableau106[],5,FALSE)</f>
        <v>MDR1</v>
      </c>
      <c r="G99" s="464" t="str">
        <f>VLOOKUP(Tableau1315[[#This Row],[PARCS]],Tableau106[],7,FALSE)</f>
        <v>GROUPE</v>
      </c>
      <c r="H99" s="464" t="str">
        <f>VLOOKUP(Tableau1315[[#This Row],[PARCS]],Tableau106[],9,FALSE)</f>
        <v>BaA</v>
      </c>
      <c r="I99" s="350">
        <f>IFERROR(VLOOKUP(Tableau1315[[#This Row],[PARCS]],Tableau15[],10,FALSE),"")</f>
        <v>-177886.50010192962</v>
      </c>
      <c r="J99" s="20">
        <f>IFERROR(VLOOKUP(Tableau1315[[#This Row],[PARCS]],Tableau15[],18,FALSE),"")</f>
        <v>-18750</v>
      </c>
      <c r="K99" s="252">
        <f>IFERROR(VLOOKUP(Tableau1315[[#This Row],[PARCS]],Tableau15[],19,FALSE),"")</f>
        <v>0</v>
      </c>
      <c r="L99" s="20">
        <f>IFERROR(VLOOKUP(Tableau1315[[#This Row],[PARCS]],Tableau15[],28,FALSE),"")</f>
        <v>-3000</v>
      </c>
      <c r="M99" s="252">
        <f>IFERROR(VLOOKUP(Tableau1315[[#This Row],[PARCS]],Tableau15[],36,FALSE),"")</f>
        <v>0</v>
      </c>
      <c r="N99" s="252">
        <f>IFERROR(VLOOKUP(Tableau1315[[#This Row],[PARCS]],Tableau15[],37,FALSE),"")</f>
        <v>0</v>
      </c>
      <c r="O99" s="467">
        <f>SUM(Tableau1315[[#This Row],[CONTRAT O&amp;M FORFAIT GROUPE]:[CHARGES exceptionnels (BONUS, sinistres)]])</f>
        <v>-199636.50010192962</v>
      </c>
      <c r="P99" s="354">
        <f>VLOOKUP(Tableau1315[[#This Row],[PARCS]],Tableau16[],10,FALSE)</f>
        <v>-178888</v>
      </c>
      <c r="Q99" s="252">
        <f>VLOOKUP(Tableau1315[[#This Row],[PARCS]],Tableau16[],18,FALSE)</f>
        <v>-16430</v>
      </c>
      <c r="R99" s="252">
        <f>VLOOKUP(Tableau1315[[#This Row],[PARCS]],Tableau16[],19,FALSE)</f>
        <v>0</v>
      </c>
      <c r="S99" s="252">
        <f>VLOOKUP(Tableau1315[[#This Row],[PARCS]],Tableau16[],28,FALSE)</f>
        <v>-10425</v>
      </c>
      <c r="T99" s="252">
        <f>VLOOKUP(Tableau1315[[#This Row],[PARCS]],Tableau16[],36,FALSE)</f>
        <v>-3000</v>
      </c>
      <c r="U99" s="252">
        <f>VLOOKUP(Tableau1315[[#This Row],[PARCS]],Tableau16[],37,FALSE)</f>
        <v>-14041</v>
      </c>
      <c r="V99" s="467">
        <f>SUM(Tableau1315[[#This Row],[CONTRAT O&amp;M FORFAIT GROUPE2]:[CHARGES exceptionnels (BONUS, sinistres)7]])</f>
        <v>-222784</v>
      </c>
      <c r="W99" s="354">
        <f>VLOOKUP(Tableau1315[[#This Row],[PARCS]],Tableau17[],10,FALSE)</f>
        <v>-183360.19999999998</v>
      </c>
      <c r="X99" s="252">
        <f>VLOOKUP(Tableau1315[[#This Row],[PARCS]],Tableau17[],18,FALSE)</f>
        <v>-10505</v>
      </c>
      <c r="Y99" s="252">
        <f>VLOOKUP(Tableau1315[[#This Row],[PARCS]],Tableau17[],19,FALSE)</f>
        <v>0</v>
      </c>
      <c r="Z99" s="252">
        <f>VLOOKUP(Tableau1315[[#This Row],[PARCS]],Tableau17[],28,FALSE)</f>
        <v>-1375</v>
      </c>
      <c r="AA99" s="252">
        <f>VLOOKUP(Tableau1315[[#This Row],[PARCS]],Tableau17[],36,FALSE)</f>
        <v>-9000</v>
      </c>
      <c r="AB99" s="252">
        <f>VLOOKUP(Tableau1315[[#This Row],[PARCS]],Tableau17[],37,FALSE)</f>
        <v>0</v>
      </c>
      <c r="AC99" s="468">
        <f>SUM(Tableau1315[[#This Row],[CONTRAT O&amp;M FORFAIT GROUPE22]:[CHARGES exceptionnels (BONUS, sinistres)77]])</f>
        <v>-204240.19999999998</v>
      </c>
      <c r="AD99" s="252">
        <f>Tableau1315[[#This Row],[TOTAL LE3]]-Tableau1315[[#This Row],[TOTAL BN-1]]</f>
        <v>-23147.499898070382</v>
      </c>
      <c r="AE99" s="351">
        <f>IFERROR((Tableau1315[[#This Row],[TOTAL LE3]]-Tableau1315[[#This Row],[TOTAL BN-1]])/Tableau1315[[#This Row],[TOTAL BN-1]],"")</f>
        <v>0.11594823534900593</v>
      </c>
      <c r="AF99" s="252">
        <f>Tableau1315[[#This Row],[TOTAL BN+1]]-Tableau1315[[#This Row],[TOTAL LE3]]</f>
        <v>18543.800000000017</v>
      </c>
      <c r="AG99" s="351">
        <f>IFERROR((Tableau1315[[#This Row],[TOTAL BN+1]]-Tableau1315[[#This Row],[TOTAL LE3]])/Tableau1315[[#This Row],[TOTAL LE3]],"")</f>
        <v>-8.3236677678828003E-2</v>
      </c>
    </row>
    <row r="100" spans="1:34" hidden="1">
      <c r="A100" s="463" t="s">
        <v>599</v>
      </c>
      <c r="B100" s="464" t="str">
        <f>VLOOKUP(Tableau1315[[#This Row],[PARCS]],Tableau106[],3,FALSE)</f>
        <v>A541</v>
      </c>
      <c r="C100" s="464" t="str">
        <f>VLOOKUP(Tableau1315[[#This Row],[PARCS]],Tableau106[],2,FALSE)</f>
        <v>FR85E02E</v>
      </c>
      <c r="D100" s="465" t="str">
        <f>VLOOKUP(Tableau1315[[#This Row],[PARCS]],Tableau106[],8,FALSE)</f>
        <v>EOLIEN</v>
      </c>
      <c r="E100" s="465" t="str">
        <f>VLOOKUP(A100,Tableau106[[#Headers],[#Data]],6,FALSE)</f>
        <v>N</v>
      </c>
      <c r="F100" s="466" t="str">
        <f>VLOOKUP(Tableau1315[[#This Row],[PARCS]],Tableau106[],5,FALSE)</f>
        <v>MACH</v>
      </c>
      <c r="G100" s="464" t="str">
        <f>VLOOKUP(Tableau1315[[#This Row],[PARCS]],Tableau106[],7,FALSE)</f>
        <v>EGM</v>
      </c>
      <c r="H100" s="464" t="str">
        <f>VLOOKUP(Tableau1315[[#This Row],[PARCS]],Tableau106[],9,FALSE)</f>
        <v>BoK</v>
      </c>
      <c r="I100" s="350">
        <f>IFERROR(VLOOKUP(Tableau1315[[#This Row],[PARCS]],Tableau15[],10,FALSE),"")</f>
        <v>-205342.87687010149</v>
      </c>
      <c r="J100" s="20">
        <f>IFERROR(VLOOKUP(Tableau1315[[#This Row],[PARCS]],Tableau15[],18,FALSE),"")</f>
        <v>-37255.026455026455</v>
      </c>
      <c r="K100" s="252">
        <f>IFERROR(VLOOKUP(Tableau1315[[#This Row],[PARCS]],Tableau15[],19,FALSE),"")</f>
        <v>0</v>
      </c>
      <c r="L100" s="20">
        <f>IFERROR(VLOOKUP(Tableau1315[[#This Row],[PARCS]],Tableau15[],28,FALSE),"")</f>
        <v>-5000</v>
      </c>
      <c r="M100" s="252">
        <f>IFERROR(VLOOKUP(Tableau1315[[#This Row],[PARCS]],Tableau15[],36,FALSE),"")</f>
        <v>0</v>
      </c>
      <c r="N100" s="252">
        <f>IFERROR(VLOOKUP(Tableau1315[[#This Row],[PARCS]],Tableau15[],37,FALSE),"")</f>
        <v>0</v>
      </c>
      <c r="O100" s="467">
        <f>SUM(Tableau1315[[#This Row],[CONTRAT O&amp;M FORFAIT GROUPE]:[CHARGES exceptionnels (BONUS, sinistres)]])</f>
        <v>-247597.90332512796</v>
      </c>
      <c r="P100" s="354">
        <f>VLOOKUP(Tableau1315[[#This Row],[PARCS]],Tableau16[],10,FALSE)</f>
        <v>-206499</v>
      </c>
      <c r="Q100" s="252">
        <f>VLOOKUP(Tableau1315[[#This Row],[PARCS]],Tableau16[],18,FALSE)</f>
        <v>-194800</v>
      </c>
      <c r="R100" s="252">
        <f>VLOOKUP(Tableau1315[[#This Row],[PARCS]],Tableau16[],19,FALSE)</f>
        <v>0</v>
      </c>
      <c r="S100" s="252">
        <f>VLOOKUP(Tableau1315[[#This Row],[PARCS]],Tableau16[],28,FALSE)</f>
        <v>-34000</v>
      </c>
      <c r="T100" s="252">
        <f>VLOOKUP(Tableau1315[[#This Row],[PARCS]],Tableau16[],36,FALSE)</f>
        <v>0</v>
      </c>
      <c r="U100" s="252">
        <f>VLOOKUP(Tableau1315[[#This Row],[PARCS]],Tableau16[],37,FALSE)</f>
        <v>0</v>
      </c>
      <c r="V100" s="467">
        <f>SUM(Tableau1315[[#This Row],[CONTRAT O&amp;M FORFAIT GROUPE2]:[CHARGES exceptionnels (BONUS, sinistres)7]])</f>
        <v>-435299</v>
      </c>
      <c r="W100" s="354">
        <f>VLOOKUP(Tableau1315[[#This Row],[PARCS]],Tableau17[],10,FALSE)</f>
        <v>-211661.47499999998</v>
      </c>
      <c r="X100" s="252">
        <f>VLOOKUP(Tableau1315[[#This Row],[PARCS]],Tableau17[],18,FALSE)</f>
        <v>-124800</v>
      </c>
      <c r="Y100" s="252">
        <f>VLOOKUP(Tableau1315[[#This Row],[PARCS]],Tableau17[],19,FALSE)</f>
        <v>0</v>
      </c>
      <c r="Z100" s="252">
        <f>VLOOKUP(Tableau1315[[#This Row],[PARCS]],Tableau17[],28,FALSE)</f>
        <v>-3000</v>
      </c>
      <c r="AA100" s="252">
        <f>VLOOKUP(Tableau1315[[#This Row],[PARCS]],Tableau17[],36,FALSE)</f>
        <v>0</v>
      </c>
      <c r="AB100" s="252">
        <f>VLOOKUP(Tableau1315[[#This Row],[PARCS]],Tableau17[],37,FALSE)</f>
        <v>0</v>
      </c>
      <c r="AC100" s="468">
        <f>SUM(Tableau1315[[#This Row],[CONTRAT O&amp;M FORFAIT GROUPE22]:[CHARGES exceptionnels (BONUS, sinistres)77]])</f>
        <v>-339461.47499999998</v>
      </c>
      <c r="AD100" s="252">
        <f>Tableau1315[[#This Row],[TOTAL LE3]]-Tableau1315[[#This Row],[TOTAL BN-1]]</f>
        <v>-187701.09667487204</v>
      </c>
      <c r="AE100" s="351">
        <f>IFERROR((Tableau1315[[#This Row],[TOTAL LE3]]-Tableau1315[[#This Row],[TOTAL BN-1]])/Tableau1315[[#This Row],[TOTAL BN-1]],"")</f>
        <v>0.75808839313310461</v>
      </c>
      <c r="AF100" s="252">
        <f>Tableau1315[[#This Row],[TOTAL BN+1]]-Tableau1315[[#This Row],[TOTAL LE3]]</f>
        <v>95837.525000000023</v>
      </c>
      <c r="AG100" s="351">
        <f>IFERROR((Tableau1315[[#This Row],[TOTAL BN+1]]-Tableau1315[[#This Row],[TOTAL LE3]])/Tableau1315[[#This Row],[TOTAL LE3]],"")</f>
        <v>-0.22016481774596317</v>
      </c>
    </row>
    <row r="101" spans="1:34">
      <c r="A101" s="463" t="s">
        <v>214</v>
      </c>
      <c r="B101" s="464" t="str">
        <f>VLOOKUP(Tableau1315[[#This Row],[PARCS]],Tableau106[],3,FALSE)</f>
        <v>F240</v>
      </c>
      <c r="C101" s="464" t="str">
        <f>VLOOKUP(Tableau1315[[#This Row],[PARCS]],Tableau106[],2,FALSE)</f>
        <v>FR80E93E</v>
      </c>
      <c r="D101" s="465" t="str">
        <f>VLOOKUP(Tableau1315[[#This Row],[PARCS]],Tableau106[],8,FALSE)</f>
        <v>EOLIEN</v>
      </c>
      <c r="E101" s="465" t="str">
        <f>VLOOKUP(A101,Tableau106[[#Headers],[#Data]],6,FALSE)</f>
        <v>N</v>
      </c>
      <c r="F101" s="466" t="str">
        <f>VLOOKUP(Tableau1315[[#This Row],[PARCS]],Tableau106[],5,FALSE)</f>
        <v>MAG1, MAG3</v>
      </c>
      <c r="G101" s="464" t="str">
        <f>VLOOKUP(Tableau1315[[#This Row],[PARCS]],Tableau106[],7,FALSE)</f>
        <v>FUTUREN</v>
      </c>
      <c r="H101" s="464" t="str">
        <f>VLOOKUP(Tableau1315[[#This Row],[PARCS]],Tableau106[],9,FALSE)</f>
        <v>AlY</v>
      </c>
      <c r="I101" s="350">
        <f>IFERROR(VLOOKUP(Tableau1315[[#This Row],[PARCS]],Tableau15[],10,FALSE),"")</f>
        <v>-11965.62</v>
      </c>
      <c r="J101" s="20">
        <f>IFERROR(VLOOKUP(Tableau1315[[#This Row],[PARCS]],Tableau15[],18,FALSE),"")</f>
        <v>-15000</v>
      </c>
      <c r="K101" s="252">
        <f>IFERROR(VLOOKUP(Tableau1315[[#This Row],[PARCS]],Tableau15[],19,FALSE),"")</f>
        <v>-199064.0025</v>
      </c>
      <c r="L101" s="20">
        <f>IFERROR(VLOOKUP(Tableau1315[[#This Row],[PARCS]],Tableau15[],28,FALSE),"")</f>
        <v>-7500</v>
      </c>
      <c r="M101" s="252">
        <f>IFERROR(VLOOKUP(Tableau1315[[#This Row],[PARCS]],Tableau15[],36,FALSE),"")</f>
        <v>0</v>
      </c>
      <c r="N101" s="252">
        <f>IFERROR(VLOOKUP(Tableau1315[[#This Row],[PARCS]],Tableau15[],37,FALSE),"")</f>
        <v>0</v>
      </c>
      <c r="O101" s="467">
        <f>SUM(Tableau1315[[#This Row],[CONTRAT O&amp;M FORFAIT GROUPE]:[CHARGES exceptionnels (BONUS, sinistres)]])</f>
        <v>-233529.6225</v>
      </c>
      <c r="P101" s="354">
        <f>VLOOKUP(Tableau1315[[#This Row],[PARCS]],Tableau16[],10,FALSE)</f>
        <v>-12033</v>
      </c>
      <c r="Q101" s="252">
        <f>VLOOKUP(Tableau1315[[#This Row],[PARCS]],Tableau16[],18,FALSE)</f>
        <v>-11880</v>
      </c>
      <c r="R101" s="252">
        <f>VLOOKUP(Tableau1315[[#This Row],[PARCS]],Tableau16[],19,FALSE)</f>
        <v>-218429</v>
      </c>
      <c r="S101" s="252">
        <f>VLOOKUP(Tableau1315[[#This Row],[PARCS]],Tableau16[],28,FALSE)</f>
        <v>-80823</v>
      </c>
      <c r="T101" s="252">
        <f>VLOOKUP(Tableau1315[[#This Row],[PARCS]],Tableau16[],36,FALSE)</f>
        <v>-20000</v>
      </c>
      <c r="U101" s="252">
        <f>VLOOKUP(Tableau1315[[#This Row],[PARCS]],Tableau16[],37,FALSE)</f>
        <v>-55700</v>
      </c>
      <c r="V101" s="467">
        <f>SUM(Tableau1315[[#This Row],[CONTRAT O&amp;M FORFAIT GROUPE2]:[CHARGES exceptionnels (BONUS, sinistres)7]])</f>
        <v>-398865</v>
      </c>
      <c r="W101" s="354">
        <f>VLOOKUP(Tableau1315[[#This Row],[PARCS]],Tableau17[],10,FALSE)</f>
        <v>-12333.824999999999</v>
      </c>
      <c r="X101" s="252">
        <f>VLOOKUP(Tableau1315[[#This Row],[PARCS]],Tableau17[],18,FALSE)</f>
        <v>-16990</v>
      </c>
      <c r="Y101" s="252">
        <f>VLOOKUP(Tableau1315[[#This Row],[PARCS]],Tableau17[],19,FALSE)</f>
        <v>-223889.72499999998</v>
      </c>
      <c r="Z101" s="252">
        <f>VLOOKUP(Tableau1315[[#This Row],[PARCS]],Tableau17[],28,FALSE)</f>
        <v>-6250</v>
      </c>
      <c r="AA101" s="252">
        <f>VLOOKUP(Tableau1315[[#This Row],[PARCS]],Tableau17[],36,FALSE)</f>
        <v>-35047.1</v>
      </c>
      <c r="AB101" s="252">
        <f>VLOOKUP(Tableau1315[[#This Row],[PARCS]],Tableau17[],37,FALSE)</f>
        <v>0</v>
      </c>
      <c r="AC101" s="468">
        <f>SUM(Tableau1315[[#This Row],[CONTRAT O&amp;M FORFAIT GROUPE22]:[CHARGES exceptionnels (BONUS, sinistres)77]])</f>
        <v>-294510.64999999997</v>
      </c>
      <c r="AD101" s="252">
        <f>Tableau1315[[#This Row],[TOTAL LE3]]-Tableau1315[[#This Row],[TOTAL BN-1]]</f>
        <v>-165335.3775</v>
      </c>
      <c r="AE101" s="351">
        <f>IFERROR((Tableau1315[[#This Row],[TOTAL LE3]]-Tableau1315[[#This Row],[TOTAL BN-1]])/Tableau1315[[#This Row],[TOTAL BN-1]],"")</f>
        <v>0.70798460482245673</v>
      </c>
      <c r="AF101" s="252">
        <f>Tableau1315[[#This Row],[TOTAL BN+1]]-Tableau1315[[#This Row],[TOTAL LE3]]</f>
        <v>104354.35000000003</v>
      </c>
      <c r="AG101" s="351">
        <f>IFERROR((Tableau1315[[#This Row],[TOTAL BN+1]]-Tableau1315[[#This Row],[TOTAL LE3]])/Tableau1315[[#This Row],[TOTAL LE3]],"")</f>
        <v>-0.26162824514560074</v>
      </c>
    </row>
    <row r="102" spans="1:34" hidden="1">
      <c r="A102" s="463" t="s">
        <v>466</v>
      </c>
      <c r="B102" s="464" t="str">
        <f>VLOOKUP(Tableau1315[[#This Row],[PARCS]],Tableau106[],3,FALSE)</f>
        <v>A047</v>
      </c>
      <c r="C102" s="464" t="str">
        <f>VLOOKUP(Tableau1315[[#This Row],[PARCS]],Tableau106[],2,FALSE)</f>
        <v>FR97S76E</v>
      </c>
      <c r="D102" s="465" t="str">
        <f>VLOOKUP(Tableau1315[[#This Row],[PARCS]],Tableau106[],8,FALSE)</f>
        <v>SOLAIRE DOM</v>
      </c>
      <c r="E102" s="465" t="str">
        <f>VLOOKUP(A102,Tableau106[[#Headers],[#Data]],6,FALSE)</f>
        <v>DOM</v>
      </c>
      <c r="F102" s="466" t="str">
        <f>VLOOKUP(Tableau1315[[#This Row],[PARCS]],Tableau106[],5,FALSE)</f>
        <v>CANO</v>
      </c>
      <c r="G102" s="464" t="str">
        <f>VLOOKUP(Tableau1315[[#This Row],[PARCS]],Tableau106[],7,FALSE)</f>
        <v>GROUPE</v>
      </c>
      <c r="H102" s="464" t="str">
        <f>VLOOKUP(Tableau1315[[#This Row],[PARCS]],Tableau106[],9,FALSE)</f>
        <v>DoJ</v>
      </c>
      <c r="I102" s="350">
        <f>IFERROR(VLOOKUP(Tableau1315[[#This Row],[PARCS]],Tableau15[],10,FALSE),"")</f>
        <v>0</v>
      </c>
      <c r="J102" s="20">
        <f>IFERROR(VLOOKUP(Tableau1315[[#This Row],[PARCS]],Tableau15[],18,FALSE),"")</f>
        <v>-841</v>
      </c>
      <c r="K102" s="252">
        <f>IFERROR(VLOOKUP(Tableau1315[[#This Row],[PARCS]],Tableau15[],19,FALSE),"")</f>
        <v>-31561.1</v>
      </c>
      <c r="L102" s="20">
        <f>IFERROR(VLOOKUP(Tableau1315[[#This Row],[PARCS]],Tableau15[],28,FALSE),"")</f>
        <v>-14720</v>
      </c>
      <c r="M102" s="252">
        <f>IFERROR(VLOOKUP(Tableau1315[[#This Row],[PARCS]],Tableau15[],36,FALSE),"")</f>
        <v>0</v>
      </c>
      <c r="N102" s="252">
        <f>IFERROR(VLOOKUP(Tableau1315[[#This Row],[PARCS]],Tableau15[],37,FALSE),"")</f>
        <v>0</v>
      </c>
      <c r="O102" s="467">
        <f>SUM(Tableau1315[[#This Row],[CONTRAT O&amp;M FORFAIT GROUPE]:[CHARGES exceptionnels (BONUS, sinistres)]])</f>
        <v>-47122.1</v>
      </c>
      <c r="P102" s="354">
        <f>VLOOKUP(Tableau1315[[#This Row],[PARCS]],Tableau16[],10,FALSE)</f>
        <v>0</v>
      </c>
      <c r="Q102" s="350">
        <f>VLOOKUP(Tableau1315[[#This Row],[PARCS]],Tableau16[],18,FALSE)</f>
        <v>-170.5</v>
      </c>
      <c r="R102" s="350">
        <f>VLOOKUP(Tableau1315[[#This Row],[PARCS]],Tableau16[],19,FALSE)</f>
        <v>-35312</v>
      </c>
      <c r="S102" s="20">
        <f>VLOOKUP(Tableau1315[[#This Row],[PARCS]],Tableau16[],28,FALSE)</f>
        <v>-15699.103999999999</v>
      </c>
      <c r="T102" s="20">
        <f>VLOOKUP(Tableau1315[[#This Row],[PARCS]],Tableau16[],36,FALSE)</f>
        <v>0</v>
      </c>
      <c r="U102" s="20">
        <f>VLOOKUP(Tableau1315[[#This Row],[PARCS]],Tableau16[],37,FALSE)</f>
        <v>0</v>
      </c>
      <c r="V102" s="467">
        <f>SUM(Tableau1315[[#This Row],[CONTRAT O&amp;M FORFAIT GROUPE2]:[CHARGES exceptionnels (BONUS, sinistres)7]])</f>
        <v>-51181.603999999999</v>
      </c>
      <c r="W102" s="354">
        <f>VLOOKUP(Tableau1315[[#This Row],[PARCS]],Tableau17[],10,FALSE)</f>
        <v>0</v>
      </c>
      <c r="X102" s="350">
        <f>VLOOKUP(Tableau1315[[#This Row],[PARCS]],Tableau17[],18,FALSE)</f>
        <v>-170.5</v>
      </c>
      <c r="Y102" s="350">
        <f>VLOOKUP(Tableau1315[[#This Row],[PARCS]],Tableau17[],19,FALSE)</f>
        <v>-36194.799999999996</v>
      </c>
      <c r="Z102" s="350">
        <f>VLOOKUP(Tableau1315[[#This Row],[PARCS]],Tableau17[],28,FALSE)</f>
        <v>-5169.6040000000003</v>
      </c>
      <c r="AA102" s="350">
        <f>VLOOKUP(Tableau1315[[#This Row],[PARCS]],Tableau17[],36,FALSE)</f>
        <v>0</v>
      </c>
      <c r="AB102" s="252">
        <f>VLOOKUP(Tableau1315[[#This Row],[PARCS]],Tableau17[],37,FALSE)</f>
        <v>0</v>
      </c>
      <c r="AC102" s="468">
        <f>SUM(Tableau1315[[#This Row],[CONTRAT O&amp;M FORFAIT GROUPE22]:[CHARGES exceptionnels (BONUS, sinistres)77]])</f>
        <v>-41534.903999999995</v>
      </c>
      <c r="AD102" s="252">
        <f>Tableau1315[[#This Row],[TOTAL LE3]]-Tableau1315[[#This Row],[TOTAL BN-1]]</f>
        <v>-4059.5040000000008</v>
      </c>
      <c r="AE102" s="351">
        <f>IFERROR((Tableau1315[[#This Row],[TOTAL LE3]]-Tableau1315[[#This Row],[TOTAL BN-1]])/Tableau1315[[#This Row],[TOTAL BN-1]],"")</f>
        <v>8.6148622408593861E-2</v>
      </c>
      <c r="AF102" s="252">
        <f>Tableau1315[[#This Row],[TOTAL BN+1]]-Tableau1315[[#This Row],[TOTAL LE3]]</f>
        <v>9646.7000000000044</v>
      </c>
      <c r="AG102" s="351">
        <f>IFERROR((Tableau1315[[#This Row],[TOTAL BN+1]]-Tableau1315[[#This Row],[TOTAL LE3]])/Tableau1315[[#This Row],[TOTAL LE3]],"")</f>
        <v>-0.18847982958877185</v>
      </c>
      <c r="AH102" s="6" t="s">
        <v>750</v>
      </c>
    </row>
    <row r="103" spans="1:34" hidden="1">
      <c r="A103" s="463" t="s">
        <v>501</v>
      </c>
      <c r="B103" s="464" t="str">
        <f>VLOOKUP(Tableau1315[[#This Row],[PARCS]],Tableau106[],3,FALSE)</f>
        <v>A194</v>
      </c>
      <c r="C103" s="464" t="str">
        <f>VLOOKUP(Tableau1315[[#This Row],[PARCS]],Tableau106[],2,FALSE)</f>
        <v>FR40S07E</v>
      </c>
      <c r="D103" s="465" t="str">
        <f>VLOOKUP(Tableau1315[[#This Row],[PARCS]],Tableau106[],8,FALSE)</f>
        <v>SOLAIRE</v>
      </c>
      <c r="E103" s="465" t="str">
        <f>VLOOKUP(A103,Tableau106[[#Headers],[#Data]],6,FALSE)</f>
        <v>S</v>
      </c>
      <c r="F103" s="466" t="str">
        <f>VLOOKUP(Tableau1315[[#This Row],[PARCS]],Tableau106[],5,FALSE)</f>
        <v>GAB4</v>
      </c>
      <c r="G103" s="464" t="str">
        <f>VLOOKUP(Tableau1315[[#This Row],[PARCS]],Tableau106[],7,FALSE)</f>
        <v>GROUPE</v>
      </c>
      <c r="H103" s="464" t="str">
        <f>VLOOKUP(Tableau1315[[#This Row],[PARCS]],Tableau106[],9,FALSE)</f>
        <v>BaA</v>
      </c>
      <c r="I103" s="350">
        <f>IFERROR(VLOOKUP(Tableau1315[[#This Row],[PARCS]],Tableau15[],10,FALSE),"")</f>
        <v>-291011.60462004662</v>
      </c>
      <c r="J103" s="20">
        <f>IFERROR(VLOOKUP(Tableau1315[[#This Row],[PARCS]],Tableau15[],18,FALSE),"")</f>
        <v>-13945</v>
      </c>
      <c r="K103" s="252">
        <f>IFERROR(VLOOKUP(Tableau1315[[#This Row],[PARCS]],Tableau15[],19,FALSE),"")</f>
        <v>0</v>
      </c>
      <c r="L103" s="20">
        <f>IFERROR(VLOOKUP(Tableau1315[[#This Row],[PARCS]],Tableau15[],28,FALSE),"")</f>
        <v>-3000</v>
      </c>
      <c r="M103" s="252">
        <f>IFERROR(VLOOKUP(Tableau1315[[#This Row],[PARCS]],Tableau15[],36,FALSE),"")</f>
        <v>0</v>
      </c>
      <c r="N103" s="252">
        <f>IFERROR(VLOOKUP(Tableau1315[[#This Row],[PARCS]],Tableau15[],37,FALSE),"")</f>
        <v>0</v>
      </c>
      <c r="O103" s="467">
        <f>SUM(Tableau1315[[#This Row],[CONTRAT O&amp;M FORFAIT GROUPE]:[CHARGES exceptionnels (BONUS, sinistres)]])</f>
        <v>-307956.60462004662</v>
      </c>
      <c r="P103" s="354">
        <f>VLOOKUP(Tableau1315[[#This Row],[PARCS]],Tableau16[],10,FALSE)</f>
        <v>-292650</v>
      </c>
      <c r="Q103" s="350">
        <f>VLOOKUP(Tableau1315[[#This Row],[PARCS]],Tableau16[],18,FALSE)</f>
        <v>-9362.5</v>
      </c>
      <c r="R103" s="350">
        <f>VLOOKUP(Tableau1315[[#This Row],[PARCS]],Tableau16[],19,FALSE)</f>
        <v>0</v>
      </c>
      <c r="S103" s="20">
        <f>VLOOKUP(Tableau1315[[#This Row],[PARCS]],Tableau16[],28,FALSE)</f>
        <v>-2972.5</v>
      </c>
      <c r="T103" s="20">
        <f>VLOOKUP(Tableau1315[[#This Row],[PARCS]],Tableau16[],36,FALSE)</f>
        <v>0</v>
      </c>
      <c r="U103" s="20">
        <f>VLOOKUP(Tableau1315[[#This Row],[PARCS]],Tableau16[],37,FALSE)</f>
        <v>-22970</v>
      </c>
      <c r="V103" s="467">
        <f>SUM(Tableau1315[[#This Row],[CONTRAT O&amp;M FORFAIT GROUPE2]:[CHARGES exceptionnels (BONUS, sinistres)7]])</f>
        <v>-327955</v>
      </c>
      <c r="W103" s="354">
        <f>VLOOKUP(Tableau1315[[#This Row],[PARCS]],Tableau17[],10,FALSE)</f>
        <v>-299966.25</v>
      </c>
      <c r="X103" s="350">
        <f>VLOOKUP(Tableau1315[[#This Row],[PARCS]],Tableau17[],18,FALSE)</f>
        <v>-26812.5</v>
      </c>
      <c r="Y103" s="350">
        <f>VLOOKUP(Tableau1315[[#This Row],[PARCS]],Tableau17[],19,FALSE)</f>
        <v>0</v>
      </c>
      <c r="Z103" s="350">
        <f>VLOOKUP(Tableau1315[[#This Row],[PARCS]],Tableau17[],28,FALSE)</f>
        <v>-2972.5</v>
      </c>
      <c r="AA103" s="350">
        <f>VLOOKUP(Tableau1315[[#This Row],[PARCS]],Tableau17[],36,FALSE)</f>
        <v>0</v>
      </c>
      <c r="AB103" s="252">
        <f>VLOOKUP(Tableau1315[[#This Row],[PARCS]],Tableau17[],37,FALSE)</f>
        <v>0</v>
      </c>
      <c r="AC103" s="468">
        <f>SUM(Tableau1315[[#This Row],[CONTRAT O&amp;M FORFAIT GROUPE22]:[CHARGES exceptionnels (BONUS, sinistres)77]])</f>
        <v>-329751.25</v>
      </c>
      <c r="AD103" s="252">
        <f>Tableau1315[[#This Row],[TOTAL LE3]]-Tableau1315[[#This Row],[TOTAL BN-1]]</f>
        <v>-19998.395379953377</v>
      </c>
      <c r="AE103" s="351">
        <f>IFERROR((Tableau1315[[#This Row],[TOTAL LE3]]-Tableau1315[[#This Row],[TOTAL BN-1]])/Tableau1315[[#This Row],[TOTAL BN-1]],"")</f>
        <v>6.493900465173387E-2</v>
      </c>
      <c r="AF103" s="252">
        <f>Tableau1315[[#This Row],[TOTAL BN+1]]-Tableau1315[[#This Row],[TOTAL LE3]]</f>
        <v>-1796.25</v>
      </c>
      <c r="AG103" s="351">
        <f>IFERROR((Tableau1315[[#This Row],[TOTAL BN+1]]-Tableau1315[[#This Row],[TOTAL LE3]])/Tableau1315[[#This Row],[TOTAL LE3]],"")</f>
        <v>5.4771233858303733E-3</v>
      </c>
    </row>
    <row r="104" spans="1:34" hidden="1">
      <c r="A104" s="463" t="s">
        <v>475</v>
      </c>
      <c r="B104" s="464" t="str">
        <f>VLOOKUP(Tableau1315[[#This Row],[PARCS]],Tableau106[],3,FALSE)</f>
        <v>A540</v>
      </c>
      <c r="C104" s="464" t="str">
        <f>VLOOKUP(Tableau1315[[#This Row],[PARCS]],Tableau106[],2,FALSE)</f>
        <v>FR56E04E</v>
      </c>
      <c r="D104" s="465" t="str">
        <f>VLOOKUP(Tableau1315[[#This Row],[PARCS]],Tableau106[],8,FALSE)</f>
        <v>EOLIEN</v>
      </c>
      <c r="E104" s="465" t="str">
        <f>VLOOKUP(A104,Tableau106[[#Headers],[#Data]],6,FALSE)</f>
        <v>N</v>
      </c>
      <c r="F104" s="466" t="str">
        <f>VLOOKUP(Tableau1315[[#This Row],[PARCS]],Tableau106[],5,FALSE)</f>
        <v>MAUR</v>
      </c>
      <c r="G104" s="464" t="str">
        <f>VLOOKUP(Tableau1315[[#This Row],[PARCS]],Tableau106[],7,FALSE)</f>
        <v>EGM</v>
      </c>
      <c r="H104" s="464" t="str">
        <f>VLOOKUP(Tableau1315[[#This Row],[PARCS]],Tableau106[],9,FALSE)</f>
        <v>DeN</v>
      </c>
      <c r="I104" s="350">
        <f>IFERROR(VLOOKUP(Tableau1315[[#This Row],[PARCS]],Tableau15[],10,FALSE),"")</f>
        <v>-256678.59608762685</v>
      </c>
      <c r="J104" s="20">
        <f>IFERROR(VLOOKUP(Tableau1315[[#This Row],[PARCS]],Tableau15[],18,FALSE),"")</f>
        <v>-46568.783068783072</v>
      </c>
      <c r="K104" s="252">
        <f>IFERROR(VLOOKUP(Tableau1315[[#This Row],[PARCS]],Tableau15[],19,FALSE),"")</f>
        <v>0</v>
      </c>
      <c r="L104" s="20">
        <f>IFERROR(VLOOKUP(Tableau1315[[#This Row],[PARCS]],Tableau15[],28,FALSE),"")</f>
        <v>-7000</v>
      </c>
      <c r="M104" s="252">
        <f>IFERROR(VLOOKUP(Tableau1315[[#This Row],[PARCS]],Tableau15[],36,FALSE),"")</f>
        <v>-12000</v>
      </c>
      <c r="N104" s="252">
        <f>IFERROR(VLOOKUP(Tableau1315[[#This Row],[PARCS]],Tableau15[],37,FALSE),"")</f>
        <v>0</v>
      </c>
      <c r="O104" s="467">
        <f>SUM(Tableau1315[[#This Row],[CONTRAT O&amp;M FORFAIT GROUPE]:[CHARGES exceptionnels (BONUS, sinistres)]])</f>
        <v>-322247.37915640994</v>
      </c>
      <c r="P104" s="354">
        <f>VLOOKUP(Tableau1315[[#This Row],[PARCS]],Tableau16[],10,FALSE)</f>
        <v>-258123</v>
      </c>
      <c r="Q104" s="252">
        <f>VLOOKUP(Tableau1315[[#This Row],[PARCS]],Tableau16[],18,FALSE)</f>
        <v>-191000</v>
      </c>
      <c r="R104" s="252">
        <f>VLOOKUP(Tableau1315[[#This Row],[PARCS]],Tableau16[],19,FALSE)</f>
        <v>0</v>
      </c>
      <c r="S104" s="252">
        <f>VLOOKUP(Tableau1315[[#This Row],[PARCS]],Tableau16[],28,FALSE)</f>
        <v>-48380.5</v>
      </c>
      <c r="T104" s="252">
        <f>VLOOKUP(Tableau1315[[#This Row],[PARCS]],Tableau16[],36,FALSE)</f>
        <v>-30000</v>
      </c>
      <c r="U104" s="252">
        <f>VLOOKUP(Tableau1315[[#This Row],[PARCS]],Tableau16[],37,FALSE)</f>
        <v>0</v>
      </c>
      <c r="V104" s="467">
        <f>SUM(Tableau1315[[#This Row],[CONTRAT O&amp;M FORFAIT GROUPE2]:[CHARGES exceptionnels (BONUS, sinistres)7]])</f>
        <v>-527503.5</v>
      </c>
      <c r="W104" s="354">
        <f>VLOOKUP(Tableau1315[[#This Row],[PARCS]],Tableau17[],10,FALSE)</f>
        <v>-264576.07499999995</v>
      </c>
      <c r="X104" s="252">
        <f>VLOOKUP(Tableau1315[[#This Row],[PARCS]],Tableau17[],18,FALSE)</f>
        <v>-156000</v>
      </c>
      <c r="Y104" s="252">
        <f>VLOOKUP(Tableau1315[[#This Row],[PARCS]],Tableau17[],19,FALSE)</f>
        <v>0</v>
      </c>
      <c r="Z104" s="252">
        <f>VLOOKUP(Tableau1315[[#This Row],[PARCS]],Tableau17[],28,FALSE)</f>
        <v>-4500</v>
      </c>
      <c r="AA104" s="252">
        <f>VLOOKUP(Tableau1315[[#This Row],[PARCS]],Tableau17[],36,FALSE)</f>
        <v>-45000</v>
      </c>
      <c r="AB104" s="252">
        <f>VLOOKUP(Tableau1315[[#This Row],[PARCS]],Tableau17[],37,FALSE)</f>
        <v>0</v>
      </c>
      <c r="AC104" s="468">
        <f>SUM(Tableau1315[[#This Row],[CONTRAT O&amp;M FORFAIT GROUPE22]:[CHARGES exceptionnels (BONUS, sinistres)77]])</f>
        <v>-470076.07499999995</v>
      </c>
      <c r="AD104" s="252">
        <f>Tableau1315[[#This Row],[TOTAL LE3]]-Tableau1315[[#This Row],[TOTAL BN-1]]</f>
        <v>-205256.12084359006</v>
      </c>
      <c r="AE104" s="351">
        <f>IFERROR((Tableau1315[[#This Row],[TOTAL LE3]]-Tableau1315[[#This Row],[TOTAL BN-1]])/Tableau1315[[#This Row],[TOTAL BN-1]],"")</f>
        <v>0.63695202543125862</v>
      </c>
      <c r="AF104" s="252">
        <f>Tableau1315[[#This Row],[TOTAL BN+1]]-Tableau1315[[#This Row],[TOTAL LE3]]</f>
        <v>57427.425000000047</v>
      </c>
      <c r="AG104" s="351">
        <f>IFERROR((Tableau1315[[#This Row],[TOTAL BN+1]]-Tableau1315[[#This Row],[TOTAL LE3]])/Tableau1315[[#This Row],[TOTAL LE3]],"")</f>
        <v>-0.10886643406157503</v>
      </c>
    </row>
    <row r="105" spans="1:34" hidden="1">
      <c r="A105" s="463" t="s">
        <v>604</v>
      </c>
      <c r="B105" s="464" t="str">
        <f>VLOOKUP(Tableau1315[[#This Row],[PARCS]],Tableau106[],3,FALSE)</f>
        <v>A066</v>
      </c>
      <c r="C105" s="464" t="str">
        <f>VLOOKUP(Tableau1315[[#This Row],[PARCS]],Tableau106[],2,FALSE)</f>
        <v>FR97S99E</v>
      </c>
      <c r="D105" s="465" t="str">
        <f>VLOOKUP(Tableau1315[[#This Row],[PARCS]],Tableau106[],8,FALSE)</f>
        <v>SOLAIRE DOM</v>
      </c>
      <c r="E105" s="465" t="str">
        <f>VLOOKUP(A105,Tableau106[[#Headers],[#Data]],6,FALSE)</f>
        <v>DOM</v>
      </c>
      <c r="F105" s="466" t="str">
        <f>VLOOKUP(Tableau1315[[#This Row],[PARCS]],Tableau106[],5,FALSE)</f>
        <v>SFR1</v>
      </c>
      <c r="G105" s="464" t="str">
        <f>VLOOKUP(Tableau1315[[#This Row],[PARCS]],Tableau106[],7,FALSE)</f>
        <v>GROUPE</v>
      </c>
      <c r="H105" s="464" t="str">
        <f>VLOOKUP(Tableau1315[[#This Row],[PARCS]],Tableau106[],9,FALSE)</f>
        <v>DoJ</v>
      </c>
      <c r="I105" s="350">
        <f>IFERROR(VLOOKUP(Tableau1315[[#This Row],[PARCS]],Tableau15[],10,FALSE),"")</f>
        <v>0</v>
      </c>
      <c r="J105" s="20">
        <f>IFERROR(VLOOKUP(Tableau1315[[#This Row],[PARCS]],Tableau15[],18,FALSE),"")</f>
        <v>-3600</v>
      </c>
      <c r="K105" s="252">
        <f>IFERROR(VLOOKUP(Tableau1315[[#This Row],[PARCS]],Tableau15[],19,FALSE),"")</f>
        <v>-120984</v>
      </c>
      <c r="L105" s="20">
        <f>IFERROR(VLOOKUP(Tableau1315[[#This Row],[PARCS]],Tableau15[],28,FALSE),"")</f>
        <v>-57020</v>
      </c>
      <c r="M105" s="252">
        <f>IFERROR(VLOOKUP(Tableau1315[[#This Row],[PARCS]],Tableau15[],36,FALSE),"")</f>
        <v>0</v>
      </c>
      <c r="N105" s="252">
        <f>IFERROR(VLOOKUP(Tableau1315[[#This Row],[PARCS]],Tableau15[],37,FALSE),"")</f>
        <v>0</v>
      </c>
      <c r="O105" s="467">
        <f>SUM(Tableau1315[[#This Row],[CONTRAT O&amp;M FORFAIT GROUPE]:[CHARGES exceptionnels (BONUS, sinistres)]])</f>
        <v>-181604</v>
      </c>
      <c r="P105" s="354">
        <f>VLOOKUP(Tableau1315[[#This Row],[PARCS]],Tableau16[],10,FALSE)</f>
        <v>0</v>
      </c>
      <c r="Q105" s="252">
        <f>VLOOKUP(Tableau1315[[#This Row],[PARCS]],Tableau16[],18,FALSE)</f>
        <v>-900</v>
      </c>
      <c r="R105" s="252">
        <f>VLOOKUP(Tableau1315[[#This Row],[PARCS]],Tableau16[],19,FALSE)</f>
        <v>-129200</v>
      </c>
      <c r="S105" s="252">
        <f>VLOOKUP(Tableau1315[[#This Row],[PARCS]],Tableau16[],28,FALSE)</f>
        <v>-62886.201999999997</v>
      </c>
      <c r="T105" s="252">
        <f>VLOOKUP(Tableau1315[[#This Row],[PARCS]],Tableau16[],36,FALSE)</f>
        <v>0</v>
      </c>
      <c r="U105" s="252">
        <f>VLOOKUP(Tableau1315[[#This Row],[PARCS]],Tableau16[],37,FALSE)</f>
        <v>0</v>
      </c>
      <c r="V105" s="467">
        <f>SUM(Tableau1315[[#This Row],[CONTRAT O&amp;M FORFAIT GROUPE2]:[CHARGES exceptionnels (BONUS, sinistres)7]])</f>
        <v>-192986.20199999999</v>
      </c>
      <c r="W105" s="354">
        <f>VLOOKUP(Tableau1315[[#This Row],[PARCS]],Tableau17[],10,FALSE)</f>
        <v>0</v>
      </c>
      <c r="X105" s="252">
        <f>VLOOKUP(Tableau1315[[#This Row],[PARCS]],Tableau17[],18,FALSE)</f>
        <v>-2500</v>
      </c>
      <c r="Y105" s="252">
        <f>VLOOKUP(Tableau1315[[#This Row],[PARCS]],Tableau17[],19,FALSE)</f>
        <v>-132430</v>
      </c>
      <c r="Z105" s="252">
        <f>VLOOKUP(Tableau1315[[#This Row],[PARCS]],Tableau17[],28,FALSE)</f>
        <v>-57768.995999999999</v>
      </c>
      <c r="AA105" s="252">
        <f>VLOOKUP(Tableau1315[[#This Row],[PARCS]],Tableau17[],36,FALSE)</f>
        <v>0</v>
      </c>
      <c r="AB105" s="252">
        <f>VLOOKUP(Tableau1315[[#This Row],[PARCS]],Tableau17[],37,FALSE)</f>
        <v>0</v>
      </c>
      <c r="AC105" s="468">
        <f>SUM(Tableau1315[[#This Row],[CONTRAT O&amp;M FORFAIT GROUPE22]:[CHARGES exceptionnels (BONUS, sinistres)77]])</f>
        <v>-192698.99599999998</v>
      </c>
      <c r="AD105" s="252">
        <f>Tableau1315[[#This Row],[TOTAL LE3]]-Tableau1315[[#This Row],[TOTAL BN-1]]</f>
        <v>-11382.20199999999</v>
      </c>
      <c r="AE105" s="351">
        <f>IFERROR((Tableau1315[[#This Row],[TOTAL LE3]]-Tableau1315[[#This Row],[TOTAL BN-1]])/Tableau1315[[#This Row],[TOTAL BN-1]],"")</f>
        <v>6.267594326116159E-2</v>
      </c>
      <c r="AF105" s="252">
        <f>Tableau1315[[#This Row],[TOTAL BN+1]]-Tableau1315[[#This Row],[TOTAL LE3]]</f>
        <v>287.20600000000559</v>
      </c>
      <c r="AG105" s="351">
        <f>IFERROR((Tableau1315[[#This Row],[TOTAL BN+1]]-Tableau1315[[#This Row],[TOTAL LE3]])/Tableau1315[[#This Row],[TOTAL LE3]],"")</f>
        <v>-1.4882203858284418E-3</v>
      </c>
      <c r="AH105" s="6" t="s">
        <v>751</v>
      </c>
    </row>
    <row r="106" spans="1:34">
      <c r="A106" s="463" t="s">
        <v>228</v>
      </c>
      <c r="B106" s="464" t="str">
        <f>VLOOKUP(Tableau1315[[#This Row],[PARCS]],Tableau106[],3,FALSE)</f>
        <v>F159</v>
      </c>
      <c r="C106" s="464" t="str">
        <f>VLOOKUP(Tableau1315[[#This Row],[PARCS]],Tableau106[],2,FALSE)</f>
        <v>FR02E13E</v>
      </c>
      <c r="D106" s="465" t="str">
        <f>VLOOKUP(Tableau1315[[#This Row],[PARCS]],Tableau106[],8,FALSE)</f>
        <v>EOLIEN</v>
      </c>
      <c r="E106" s="465" t="str">
        <f>VLOOKUP(A106,Tableau106[[#Headers],[#Data]],6,FALSE)</f>
        <v>N</v>
      </c>
      <c r="F106" s="466" t="str">
        <f>VLOOKUP(Tableau1315[[#This Row],[PARCS]],Tableau106[],5,FALSE)</f>
        <v>MAZU</v>
      </c>
      <c r="G106" s="464" t="str">
        <f>VLOOKUP(Tableau1315[[#This Row],[PARCS]],Tableau106[],7,FALSE)</f>
        <v>FUTUREN</v>
      </c>
      <c r="H106" s="464" t="str">
        <f>VLOOKUP(Tableau1315[[#This Row],[PARCS]],Tableau106[],9,FALSE)</f>
        <v>NiD</v>
      </c>
      <c r="I106" s="350">
        <f>IFERROR(VLOOKUP(Tableau1315[[#This Row],[PARCS]],Tableau15[],10,FALSE),"")</f>
        <v>-9781.5590551181085</v>
      </c>
      <c r="J106" s="20">
        <f>IFERROR(VLOOKUP(Tableau1315[[#This Row],[PARCS]],Tableau15[],18,FALSE),"")</f>
        <v>-14300</v>
      </c>
      <c r="K106" s="252">
        <f>IFERROR(VLOOKUP(Tableau1315[[#This Row],[PARCS]],Tableau15[],19,FALSE),"")</f>
        <v>-203328.29398800002</v>
      </c>
      <c r="L106" s="20">
        <f>IFERROR(VLOOKUP(Tableau1315[[#This Row],[PARCS]],Tableau15[],28,FALSE),"")</f>
        <v>-19732</v>
      </c>
      <c r="M106" s="252">
        <f>IFERROR(VLOOKUP(Tableau1315[[#This Row],[PARCS]],Tableau15[],36,FALSE),"")</f>
        <v>-25000</v>
      </c>
      <c r="N106" s="252">
        <f>IFERROR(VLOOKUP(Tableau1315[[#This Row],[PARCS]],Tableau15[],37,FALSE),"")</f>
        <v>0</v>
      </c>
      <c r="O106" s="467">
        <f>SUM(Tableau1315[[#This Row],[CONTRAT O&amp;M FORFAIT GROUPE]:[CHARGES exceptionnels (BONUS, sinistres)]])</f>
        <v>-272141.85304311814</v>
      </c>
      <c r="P106" s="354">
        <f>VLOOKUP(Tableau1315[[#This Row],[PARCS]],Tableau16[],10,FALSE)</f>
        <v>-9837</v>
      </c>
      <c r="Q106" s="252">
        <f>VLOOKUP(Tableau1315[[#This Row],[PARCS]],Tableau16[],18,FALSE)</f>
        <v>-10210</v>
      </c>
      <c r="R106" s="252">
        <f>VLOOKUP(Tableau1315[[#This Row],[PARCS]],Tableau16[],19,FALSE)</f>
        <v>-222802</v>
      </c>
      <c r="S106" s="252">
        <f>VLOOKUP(Tableau1315[[#This Row],[PARCS]],Tableau16[],28,FALSE)</f>
        <v>-10100</v>
      </c>
      <c r="T106" s="252">
        <f>VLOOKUP(Tableau1315[[#This Row],[PARCS]],Tableau16[],36,FALSE)</f>
        <v>-27900</v>
      </c>
      <c r="U106" s="252">
        <f>VLOOKUP(Tableau1315[[#This Row],[PARCS]],Tableau16[],37,FALSE)</f>
        <v>0</v>
      </c>
      <c r="V106" s="467">
        <f>SUM(Tableau1315[[#This Row],[CONTRAT O&amp;M FORFAIT GROUPE2]:[CHARGES exceptionnels (BONUS, sinistres)7]])</f>
        <v>-280849</v>
      </c>
      <c r="W106" s="354">
        <f>VLOOKUP(Tableau1315[[#This Row],[PARCS]],Tableau17[],10,FALSE)</f>
        <v>-10082.924999999999</v>
      </c>
      <c r="X106" s="252">
        <f>VLOOKUP(Tableau1315[[#This Row],[PARCS]],Tableau17[],18,FALSE)</f>
        <v>-16022</v>
      </c>
      <c r="Y106" s="252">
        <f>VLOOKUP(Tableau1315[[#This Row],[PARCS]],Tableau17[],19,FALSE)</f>
        <v>-228372.05</v>
      </c>
      <c r="Z106" s="252">
        <f>VLOOKUP(Tableau1315[[#This Row],[PARCS]],Tableau17[],28,FALSE)</f>
        <v>-6700</v>
      </c>
      <c r="AA106" s="252">
        <f>VLOOKUP(Tableau1315[[#This Row],[PARCS]],Tableau17[],36,FALSE)</f>
        <v>-15000</v>
      </c>
      <c r="AB106" s="252">
        <f>VLOOKUP(Tableau1315[[#This Row],[PARCS]],Tableau17[],37,FALSE)</f>
        <v>0</v>
      </c>
      <c r="AC106" s="468">
        <f>SUM(Tableau1315[[#This Row],[CONTRAT O&amp;M FORFAIT GROUPE22]:[CHARGES exceptionnels (BONUS, sinistres)77]])</f>
        <v>-276176.97499999998</v>
      </c>
      <c r="AD106" s="252">
        <f>Tableau1315[[#This Row],[TOTAL LE3]]-Tableau1315[[#This Row],[TOTAL BN-1]]</f>
        <v>-8707.1469568818575</v>
      </c>
      <c r="AE106" s="351">
        <f>IFERROR((Tableau1315[[#This Row],[TOTAL LE3]]-Tableau1315[[#This Row],[TOTAL BN-1]])/Tableau1315[[#This Row],[TOTAL BN-1]],"")</f>
        <v>3.1994883769319735E-2</v>
      </c>
      <c r="AF106" s="252">
        <f>Tableau1315[[#This Row],[TOTAL BN+1]]-Tableau1315[[#This Row],[TOTAL LE3]]</f>
        <v>4672.0250000000233</v>
      </c>
      <c r="AG106" s="351">
        <f>IFERROR((Tableau1315[[#This Row],[TOTAL BN+1]]-Tableau1315[[#This Row],[TOTAL LE3]])/Tableau1315[[#This Row],[TOTAL LE3]],"")</f>
        <v>-1.6635362775014415E-2</v>
      </c>
    </row>
    <row r="107" spans="1:34">
      <c r="A107" s="463" t="s">
        <v>556</v>
      </c>
      <c r="B107" s="464" t="str">
        <f>VLOOKUP(Tableau1315[[#This Row],[PARCS]],Tableau106[],3,FALSE)</f>
        <v>A160</v>
      </c>
      <c r="C107" s="464" t="str">
        <f>VLOOKUP(Tableau1315[[#This Row],[PARCS]],Tableau106[],2,FALSE)</f>
        <v>FR11E85E</v>
      </c>
      <c r="D107" s="465" t="str">
        <f>VLOOKUP(Tableau1315[[#This Row],[PARCS]],Tableau106[],8,FALSE)</f>
        <v>EOLIEN</v>
      </c>
      <c r="E107" s="465" t="str">
        <f>VLOOKUP(A107,Tableau106[[#Headers],[#Data]],6,FALSE)</f>
        <v>S</v>
      </c>
      <c r="F107" s="466" t="str">
        <f>VLOOKUP(Tableau1315[[#This Row],[PARCS]],Tableau106[],5,FALSE)</f>
        <v>LUC2</v>
      </c>
      <c r="G107" s="464" t="str">
        <f>VLOOKUP(Tableau1315[[#This Row],[PARCS]],Tableau106[],7,FALSE)</f>
        <v>FUTUREN</v>
      </c>
      <c r="H107" s="464" t="str">
        <f>VLOOKUP(Tableau1315[[#This Row],[PARCS]],Tableau106[],9,FALSE)</f>
        <v>StE</v>
      </c>
      <c r="I107" s="350">
        <f>IFERROR(VLOOKUP(Tableau1315[[#This Row],[PARCS]],Tableau15[],10,FALSE),"")</f>
        <v>-12626.246851385387</v>
      </c>
      <c r="J107" s="20">
        <f>IFERROR(VLOOKUP(Tableau1315[[#This Row],[PARCS]],Tableau15[],18,FALSE),"")</f>
        <v>-15525</v>
      </c>
      <c r="K107" s="252">
        <f>IFERROR(VLOOKUP(Tableau1315[[#This Row],[PARCS]],Tableau15[],19,FALSE),"")</f>
        <v>-332586.52451299998</v>
      </c>
      <c r="L107" s="20">
        <f>IFERROR(VLOOKUP(Tableau1315[[#This Row],[PARCS]],Tableau15[],28,FALSE),"")</f>
        <v>-16750</v>
      </c>
      <c r="M107" s="252">
        <f>IFERROR(VLOOKUP(Tableau1315[[#This Row],[PARCS]],Tableau15[],36,FALSE),"")</f>
        <v>-3500</v>
      </c>
      <c r="N107" s="252">
        <f>IFERROR(VLOOKUP(Tableau1315[[#This Row],[PARCS]],Tableau15[],37,FALSE),"")</f>
        <v>0</v>
      </c>
      <c r="O107" s="467">
        <f>SUM(Tableau1315[[#This Row],[CONTRAT O&amp;M FORFAIT GROUPE]:[CHARGES exceptionnels (BONUS, sinistres)]])</f>
        <v>-380987.77136438538</v>
      </c>
      <c r="P107" s="354">
        <f>VLOOKUP(Tableau1315[[#This Row],[PARCS]],Tableau16[],10,FALSE)</f>
        <v>-6690</v>
      </c>
      <c r="Q107" s="252">
        <f>VLOOKUP(Tableau1315[[#This Row],[PARCS]],Tableau16[],18,FALSE)</f>
        <v>-10985</v>
      </c>
      <c r="R107" s="252">
        <f>VLOOKUP(Tableau1315[[#This Row],[PARCS]],Tableau16[],19,FALSE)</f>
        <v>-377504</v>
      </c>
      <c r="S107" s="252">
        <f>VLOOKUP(Tableau1315[[#This Row],[PARCS]],Tableau16[],28,FALSE)</f>
        <v>-23625</v>
      </c>
      <c r="T107" s="252">
        <f>VLOOKUP(Tableau1315[[#This Row],[PARCS]],Tableau16[],36,FALSE)</f>
        <v>-8571.7200000000012</v>
      </c>
      <c r="U107" s="252">
        <f>VLOOKUP(Tableau1315[[#This Row],[PARCS]],Tableau16[],37,FALSE)</f>
        <v>0</v>
      </c>
      <c r="V107" s="467">
        <f>SUM(Tableau1315[[#This Row],[CONTRAT O&amp;M FORFAIT GROUPE2]:[CHARGES exceptionnels (BONUS, sinistres)7]])</f>
        <v>-427375.72</v>
      </c>
      <c r="W107" s="354">
        <f>VLOOKUP(Tableau1315[[#This Row],[PARCS]],Tableau17[],10,FALSE)</f>
        <v>-14490</v>
      </c>
      <c r="X107" s="252">
        <f>VLOOKUP(Tableau1315[[#This Row],[PARCS]],Tableau17[],18,FALSE)</f>
        <v>-10025</v>
      </c>
      <c r="Y107" s="252">
        <f>VLOOKUP(Tableau1315[[#This Row],[PARCS]],Tableau17[],19,FALSE)</f>
        <v>-386941.6</v>
      </c>
      <c r="Z107" s="252">
        <f>VLOOKUP(Tableau1315[[#This Row],[PARCS]],Tableau17[],28,FALSE)</f>
        <v>-19875</v>
      </c>
      <c r="AA107" s="252">
        <f>VLOOKUP(Tableau1315[[#This Row],[PARCS]],Tableau17[],36,FALSE)</f>
        <v>-8547.0999999999985</v>
      </c>
      <c r="AB107" s="252">
        <f>VLOOKUP(Tableau1315[[#This Row],[PARCS]],Tableau17[],37,FALSE)</f>
        <v>0</v>
      </c>
      <c r="AC107" s="468">
        <f>SUM(Tableau1315[[#This Row],[CONTRAT O&amp;M FORFAIT GROUPE22]:[CHARGES exceptionnels (BONUS, sinistres)77]])</f>
        <v>-439878.69999999995</v>
      </c>
      <c r="AD107" s="252">
        <f>Tableau1315[[#This Row],[TOTAL LE3]]-Tableau1315[[#This Row],[TOTAL BN-1]]</f>
        <v>-46387.948635614594</v>
      </c>
      <c r="AE107" s="351">
        <f>IFERROR((Tableau1315[[#This Row],[TOTAL LE3]]-Tableau1315[[#This Row],[TOTAL BN-1]])/Tableau1315[[#This Row],[TOTAL BN-1]],"")</f>
        <v>0.1217570539586902</v>
      </c>
      <c r="AF107" s="252">
        <f>Tableau1315[[#This Row],[TOTAL BN+1]]-Tableau1315[[#This Row],[TOTAL LE3]]</f>
        <v>-12502.979999999981</v>
      </c>
      <c r="AG107" s="351">
        <f>IFERROR((Tableau1315[[#This Row],[TOTAL BN+1]]-Tableau1315[[#This Row],[TOTAL LE3]])/Tableau1315[[#This Row],[TOTAL LE3]],"")</f>
        <v>2.9255241734368959E-2</v>
      </c>
      <c r="AH107" s="6" t="s">
        <v>752</v>
      </c>
    </row>
    <row r="108" spans="1:34" hidden="1">
      <c r="A108" s="463" t="s">
        <v>555</v>
      </c>
      <c r="B108" s="464" t="str">
        <f>VLOOKUP(Tableau1315[[#This Row],[PARCS]],Tableau106[],3,FALSE)</f>
        <v>A374</v>
      </c>
      <c r="C108" s="464" t="str">
        <f>VLOOKUP(Tableau1315[[#This Row],[PARCS]],Tableau106[],2,FALSE)</f>
        <v>FR68S02E</v>
      </c>
      <c r="D108" s="465" t="str">
        <f>VLOOKUP(Tableau1315[[#This Row],[PARCS]],Tableau106[],8,FALSE)</f>
        <v>SOLAIRE</v>
      </c>
      <c r="E108" s="465" t="str">
        <f>VLOOKUP(A108,Tableau106[[#Headers],[#Data]],6,FALSE)</f>
        <v>N</v>
      </c>
      <c r="F108" s="466" t="str">
        <f>VLOOKUP(Tableau1315[[#This Row],[PARCS]],Tableau106[],5,FALSE)</f>
        <v>OTTM</v>
      </c>
      <c r="G108" s="464" t="str">
        <f>VLOOKUP(Tableau1315[[#This Row],[PARCS]],Tableau106[],7,FALSE)</f>
        <v>GROUPE</v>
      </c>
      <c r="H108" s="464" t="str">
        <f>VLOOKUP(Tableau1315[[#This Row],[PARCS]],Tableau106[],9,FALSE)</f>
        <v>ZaA</v>
      </c>
      <c r="I108" s="350">
        <f>IFERROR(VLOOKUP(Tableau1315[[#This Row],[PARCS]],Tableau15[],10,FALSE),"")</f>
        <v>-77500</v>
      </c>
      <c r="J108" s="20">
        <f>IFERROR(VLOOKUP(Tableau1315[[#This Row],[PARCS]],Tableau15[],18,FALSE),"")</f>
        <v>-15500</v>
      </c>
      <c r="K108" s="252">
        <f>IFERROR(VLOOKUP(Tableau1315[[#This Row],[PARCS]],Tableau15[],19,FALSE),"")</f>
        <v>0</v>
      </c>
      <c r="L108" s="20">
        <f>IFERROR(VLOOKUP(Tableau1315[[#This Row],[PARCS]],Tableau15[],28,FALSE),"")</f>
        <v>-7750</v>
      </c>
      <c r="M108" s="252">
        <f>IFERROR(VLOOKUP(Tableau1315[[#This Row],[PARCS]],Tableau15[],36,FALSE),"")</f>
        <v>-18000</v>
      </c>
      <c r="N108" s="252">
        <f>IFERROR(VLOOKUP(Tableau1315[[#This Row],[PARCS]],Tableau15[],37,FALSE),"")</f>
        <v>0</v>
      </c>
      <c r="O108" s="467">
        <f>SUM(Tableau1315[[#This Row],[CONTRAT O&amp;M FORFAIT GROUPE]:[CHARGES exceptionnels (BONUS, sinistres)]])</f>
        <v>-118750</v>
      </c>
      <c r="P108" s="354">
        <f>VLOOKUP(Tableau1315[[#This Row],[PARCS]],Tableau16[],10,FALSE)</f>
        <v>-99344</v>
      </c>
      <c r="Q108" s="252">
        <f>VLOOKUP(Tableau1315[[#This Row],[PARCS]],Tableau16[],18,FALSE)</f>
        <v>-11921.279999999999</v>
      </c>
      <c r="R108" s="252">
        <f>VLOOKUP(Tableau1315[[#This Row],[PARCS]],Tableau16[],19,FALSE)</f>
        <v>0</v>
      </c>
      <c r="S108" s="252">
        <f>VLOOKUP(Tableau1315[[#This Row],[PARCS]],Tableau16[],28,FALSE)</f>
        <v>-6200</v>
      </c>
      <c r="T108" s="252">
        <f>VLOOKUP(Tableau1315[[#This Row],[PARCS]],Tableau16[],36,FALSE)</f>
        <v>-7385</v>
      </c>
      <c r="U108" s="252">
        <f>VLOOKUP(Tableau1315[[#This Row],[PARCS]],Tableau16[],37,FALSE)</f>
        <v>0</v>
      </c>
      <c r="V108" s="467">
        <f>SUM(Tableau1315[[#This Row],[CONTRAT O&amp;M FORFAIT GROUPE2]:[CHARGES exceptionnels (BONUS, sinistres)7]])</f>
        <v>-124850.28</v>
      </c>
      <c r="W108" s="354">
        <f>VLOOKUP(Tableau1315[[#This Row],[PARCS]],Tableau17[],10,FALSE)</f>
        <v>-101827.59999999999</v>
      </c>
      <c r="X108" s="252">
        <f>VLOOKUP(Tableau1315[[#This Row],[PARCS]],Tableau17[],18,FALSE)</f>
        <v>-3875</v>
      </c>
      <c r="Y108" s="252">
        <f>VLOOKUP(Tableau1315[[#This Row],[PARCS]],Tableau17[],19,FALSE)</f>
        <v>0</v>
      </c>
      <c r="Z108" s="252">
        <f>VLOOKUP(Tableau1315[[#This Row],[PARCS]],Tableau17[],28,FALSE)</f>
        <v>-3875</v>
      </c>
      <c r="AA108" s="252">
        <f>VLOOKUP(Tableau1315[[#This Row],[PARCS]],Tableau17[],36,FALSE)</f>
        <v>-8000</v>
      </c>
      <c r="AB108" s="252">
        <f>VLOOKUP(Tableau1315[[#This Row],[PARCS]],Tableau17[],37,FALSE)</f>
        <v>0</v>
      </c>
      <c r="AC108" s="468">
        <f>SUM(Tableau1315[[#This Row],[CONTRAT O&amp;M FORFAIT GROUPE22]:[CHARGES exceptionnels (BONUS, sinistres)77]])</f>
        <v>-117577.59999999999</v>
      </c>
      <c r="AD108" s="252">
        <f>Tableau1315[[#This Row],[TOTAL LE3]]-Tableau1315[[#This Row],[TOTAL BN-1]]</f>
        <v>-6100.2799999999988</v>
      </c>
      <c r="AE108" s="351">
        <f>IFERROR((Tableau1315[[#This Row],[TOTAL LE3]]-Tableau1315[[#This Row],[TOTAL BN-1]])/Tableau1315[[#This Row],[TOTAL BN-1]],"")</f>
        <v>5.1370778947368412E-2</v>
      </c>
      <c r="AF108" s="252">
        <f>Tableau1315[[#This Row],[TOTAL BN+1]]-Tableau1315[[#This Row],[TOTAL LE3]]</f>
        <v>7272.6800000000076</v>
      </c>
      <c r="AG108" s="351">
        <f>IFERROR((Tableau1315[[#This Row],[TOTAL BN+1]]-Tableau1315[[#This Row],[TOTAL LE3]])/Tableau1315[[#This Row],[TOTAL LE3]],"")</f>
        <v>-5.8251210970452029E-2</v>
      </c>
    </row>
    <row r="109" spans="1:34" hidden="1">
      <c r="A109" s="463" t="s">
        <v>513</v>
      </c>
      <c r="B109" s="464" t="str">
        <f>VLOOKUP(Tableau1315[[#This Row],[PARCS]],Tableau106[],3,FALSE)</f>
        <v>A540</v>
      </c>
      <c r="C109" s="464" t="str">
        <f>VLOOKUP(Tableau1315[[#This Row],[PARCS]],Tableau106[],2,FALSE)</f>
        <v>FR15E03E</v>
      </c>
      <c r="D109" s="465" t="str">
        <f>VLOOKUP(Tableau1315[[#This Row],[PARCS]],Tableau106[],8,FALSE)</f>
        <v>EOLIEN</v>
      </c>
      <c r="E109" s="465" t="str">
        <f>VLOOKUP(A109,Tableau106[[#Headers],[#Data]],6,FALSE)</f>
        <v>S</v>
      </c>
      <c r="F109" s="466" t="str">
        <f>VLOOKUP(Tableau1315[[#This Row],[PARCS]],Tableau106[],5,FALSE)</f>
        <v>MTL1</v>
      </c>
      <c r="G109" s="464" t="str">
        <f>VLOOKUP(Tableau1315[[#This Row],[PARCS]],Tableau106[],7,FALSE)</f>
        <v>EGM</v>
      </c>
      <c r="H109" s="464" t="str">
        <f>VLOOKUP(Tableau1315[[#This Row],[PARCS]],Tableau106[],9,FALSE)</f>
        <v>AuE</v>
      </c>
      <c r="I109" s="350">
        <f>IFERROR(VLOOKUP(Tableau1315[[#This Row],[PARCS]],Tableau15[],10,FALSE),"")</f>
        <v>-308014.31530515221</v>
      </c>
      <c r="J109" s="20">
        <f>IFERROR(VLOOKUP(Tableau1315[[#This Row],[PARCS]],Tableau15[],18,FALSE),"")</f>
        <v>-55882.539682539682</v>
      </c>
      <c r="K109" s="252">
        <f>IFERROR(VLOOKUP(Tableau1315[[#This Row],[PARCS]],Tableau15[],19,FALSE),"")</f>
        <v>0</v>
      </c>
      <c r="L109" s="20">
        <f>IFERROR(VLOOKUP(Tableau1315[[#This Row],[PARCS]],Tableau15[],28,FALSE),"")</f>
        <v>-10000</v>
      </c>
      <c r="M109" s="252">
        <f>IFERROR(VLOOKUP(Tableau1315[[#This Row],[PARCS]],Tableau15[],36,FALSE),"")</f>
        <v>-88000</v>
      </c>
      <c r="N109" s="252">
        <f>IFERROR(VLOOKUP(Tableau1315[[#This Row],[PARCS]],Tableau15[],37,FALSE),"")</f>
        <v>0</v>
      </c>
      <c r="O109" s="467">
        <f>SUM(Tableau1315[[#This Row],[CONTRAT O&amp;M FORFAIT GROUPE]:[CHARGES exceptionnels (BONUS, sinistres)]])</f>
        <v>-461896.85498769191</v>
      </c>
      <c r="P109" s="354">
        <f>VLOOKUP(Tableau1315[[#This Row],[PARCS]],Tableau16[],10,FALSE)</f>
        <v>-309748</v>
      </c>
      <c r="Q109" s="252">
        <f>VLOOKUP(Tableau1315[[#This Row],[PARCS]],Tableau16[],18,FALSE)</f>
        <v>-205050</v>
      </c>
      <c r="R109" s="252">
        <f>VLOOKUP(Tableau1315[[#This Row],[PARCS]],Tableau16[],19,FALSE)</f>
        <v>0</v>
      </c>
      <c r="S109" s="252">
        <f>VLOOKUP(Tableau1315[[#This Row],[PARCS]],Tableau16[],28,FALSE)</f>
        <v>-14659.181741997965</v>
      </c>
      <c r="T109" s="252">
        <f>VLOOKUP(Tableau1315[[#This Row],[PARCS]],Tableau16[],36,FALSE)</f>
        <v>-75561</v>
      </c>
      <c r="U109" s="252">
        <f>VLOOKUP(Tableau1315[[#This Row],[PARCS]],Tableau16[],37,FALSE)</f>
        <v>-35000</v>
      </c>
      <c r="V109" s="467">
        <f>SUM(Tableau1315[[#This Row],[CONTRAT O&amp;M FORFAIT GROUPE2]:[CHARGES exceptionnels (BONUS, sinistres)7]])</f>
        <v>-640018.18174199795</v>
      </c>
      <c r="W109" s="354">
        <f>VLOOKUP(Tableau1315[[#This Row],[PARCS]],Tableau17[],10,FALSE)</f>
        <v>-317491.69999999995</v>
      </c>
      <c r="X109" s="252">
        <f>VLOOKUP(Tableau1315[[#This Row],[PARCS]],Tableau17[],18,FALSE)</f>
        <v>-153200</v>
      </c>
      <c r="Y109" s="252">
        <f>VLOOKUP(Tableau1315[[#This Row],[PARCS]],Tableau17[],19,FALSE)</f>
        <v>0</v>
      </c>
      <c r="Z109" s="252">
        <f>VLOOKUP(Tableau1315[[#This Row],[PARCS]],Tableau17[],28,FALSE)</f>
        <v>-19939.181741997963</v>
      </c>
      <c r="AA109" s="252">
        <f>VLOOKUP(Tableau1315[[#This Row],[PARCS]],Tableau17[],36,FALSE)</f>
        <v>-92547.1</v>
      </c>
      <c r="AB109" s="252">
        <f>VLOOKUP(Tableau1315[[#This Row],[PARCS]],Tableau17[],37,FALSE)</f>
        <v>0</v>
      </c>
      <c r="AC109" s="468">
        <f>SUM(Tableau1315[[#This Row],[CONTRAT O&amp;M FORFAIT GROUPE22]:[CHARGES exceptionnels (BONUS, sinistres)77]])</f>
        <v>-583177.98174199788</v>
      </c>
      <c r="AD109" s="252">
        <f>Tableau1315[[#This Row],[TOTAL LE3]]-Tableau1315[[#This Row],[TOTAL BN-1]]</f>
        <v>-178121.32675430604</v>
      </c>
      <c r="AE109" s="351">
        <f>IFERROR((Tableau1315[[#This Row],[TOTAL LE3]]-Tableau1315[[#This Row],[TOTAL BN-1]])/Tableau1315[[#This Row],[TOTAL BN-1]],"")</f>
        <v>0.3856300921534796</v>
      </c>
      <c r="AF109" s="252">
        <f>Tableau1315[[#This Row],[TOTAL BN+1]]-Tableau1315[[#This Row],[TOTAL LE3]]</f>
        <v>56840.20000000007</v>
      </c>
      <c r="AG109" s="351">
        <f>IFERROR((Tableau1315[[#This Row],[TOTAL BN+1]]-Tableau1315[[#This Row],[TOTAL LE3]])/Tableau1315[[#This Row],[TOTAL LE3]],"")</f>
        <v>-8.8810289490984032E-2</v>
      </c>
      <c r="AH109" s="6" t="s">
        <v>753</v>
      </c>
    </row>
    <row r="110" spans="1:34">
      <c r="A110" s="463" t="s">
        <v>236</v>
      </c>
      <c r="B110" s="464" t="str">
        <f>VLOOKUP(Tableau1315[[#This Row],[PARCS]],Tableau106[],3,FALSE)</f>
        <v>F140</v>
      </c>
      <c r="C110" s="464" t="str">
        <f>VLOOKUP(Tableau1315[[#This Row],[PARCS]],Tableau106[],2,FALSE)</f>
        <v>FR57E06E</v>
      </c>
      <c r="D110" s="465" t="str">
        <f>VLOOKUP(Tableau1315[[#This Row],[PARCS]],Tableau106[],8,FALSE)</f>
        <v>EOLIEN</v>
      </c>
      <c r="E110" s="465" t="str">
        <f>VLOOKUP(A110,Tableau106[[#Headers],[#Data]],6,FALSE)</f>
        <v>N</v>
      </c>
      <c r="F110" s="466" t="str">
        <f>VLOOKUP(Tableau1315[[#This Row],[PARCS]],Tableau106[],5,FALSE)</f>
        <v>MOTT</v>
      </c>
      <c r="G110" s="464" t="str">
        <f>VLOOKUP(Tableau1315[[#This Row],[PARCS]],Tableau106[],7,FALSE)</f>
        <v>FUTUREN</v>
      </c>
      <c r="H110" s="464" t="str">
        <f>VLOOKUP(Tableau1315[[#This Row],[PARCS]],Tableau106[],9,FALSE)</f>
        <v>NiL</v>
      </c>
      <c r="I110" s="350">
        <f>IFERROR(VLOOKUP(Tableau1315[[#This Row],[PARCS]],Tableau15[],10,FALSE),"")</f>
        <v>-12331.971874015746</v>
      </c>
      <c r="J110" s="20">
        <f>IFERROR(VLOOKUP(Tableau1315[[#This Row],[PARCS]],Tableau15[],18,FALSE),"")</f>
        <v>-15400</v>
      </c>
      <c r="K110" s="252">
        <f>IFERROR(VLOOKUP(Tableau1315[[#This Row],[PARCS]],Tableau15[],19,FALSE),"")</f>
        <v>-289344.02</v>
      </c>
      <c r="L110" s="20">
        <f>IFERROR(VLOOKUP(Tableau1315[[#This Row],[PARCS]],Tableau15[],28,FALSE),"")</f>
        <v>-9700</v>
      </c>
      <c r="M110" s="252">
        <f>IFERROR(VLOOKUP(Tableau1315[[#This Row],[PARCS]],Tableau15[],36,FALSE),"")</f>
        <v>0</v>
      </c>
      <c r="N110" s="252">
        <f>IFERROR(VLOOKUP(Tableau1315[[#This Row],[PARCS]],Tableau15[],37,FALSE),"")</f>
        <v>0</v>
      </c>
      <c r="O110" s="467">
        <f>SUM(Tableau1315[[#This Row],[CONTRAT O&amp;M FORFAIT GROUPE]:[CHARGES exceptionnels (BONUS, sinistres)]])</f>
        <v>-326775.99187401577</v>
      </c>
      <c r="P110" s="354">
        <f>VLOOKUP(Tableau1315[[#This Row],[PARCS]],Tableau16[],10,FALSE)</f>
        <v>-12401</v>
      </c>
      <c r="Q110" s="252">
        <f>VLOOKUP(Tableau1315[[#This Row],[PARCS]],Tableau16[],18,FALSE)</f>
        <v>-24808</v>
      </c>
      <c r="R110" s="252">
        <f>VLOOKUP(Tableau1315[[#This Row],[PARCS]],Tableau16[],19,FALSE)</f>
        <v>-320132.08333333331</v>
      </c>
      <c r="S110" s="252">
        <f>VLOOKUP(Tableau1315[[#This Row],[PARCS]],Tableau16[],28,FALSE)</f>
        <v>-77889.55</v>
      </c>
      <c r="T110" s="252">
        <f>VLOOKUP(Tableau1315[[#This Row],[PARCS]],Tableau16[],36,FALSE)</f>
        <v>-70330</v>
      </c>
      <c r="U110" s="252">
        <f>VLOOKUP(Tableau1315[[#This Row],[PARCS]],Tableau16[],37,FALSE)</f>
        <v>0</v>
      </c>
      <c r="V110" s="467">
        <f>SUM(Tableau1315[[#This Row],[CONTRAT O&amp;M FORFAIT GROUPE2]:[CHARGES exceptionnels (BONUS, sinistres)7]])</f>
        <v>-505560.6333333333</v>
      </c>
      <c r="W110" s="354">
        <f>VLOOKUP(Tableau1315[[#This Row],[PARCS]],Tableau17[],10,FALSE)</f>
        <v>-12711.025</v>
      </c>
      <c r="X110" s="252">
        <f>VLOOKUP(Tableau1315[[#This Row],[PARCS]],Tableau17[],18,FALSE)</f>
        <v>-26500</v>
      </c>
      <c r="Y110" s="252">
        <f>VLOOKUP(Tableau1315[[#This Row],[PARCS]],Tableau17[],19,FALSE)</f>
        <v>-326254.42499999999</v>
      </c>
      <c r="Z110" s="252">
        <f>VLOOKUP(Tableau1315[[#This Row],[PARCS]],Tableau17[],28,FALSE)</f>
        <v>-9000</v>
      </c>
      <c r="AA110" s="252">
        <f>VLOOKUP(Tableau1315[[#This Row],[PARCS]],Tableau17[],36,FALSE)</f>
        <v>-15000</v>
      </c>
      <c r="AB110" s="252">
        <f>VLOOKUP(Tableau1315[[#This Row],[PARCS]],Tableau17[],37,FALSE)</f>
        <v>0</v>
      </c>
      <c r="AC110" s="468">
        <f>SUM(Tableau1315[[#This Row],[CONTRAT O&amp;M FORFAIT GROUPE22]:[CHARGES exceptionnels (BONUS, sinistres)77]])</f>
        <v>-389465.45</v>
      </c>
      <c r="AD110" s="252">
        <f>Tableau1315[[#This Row],[TOTAL LE3]]-Tableau1315[[#This Row],[TOTAL BN-1]]</f>
        <v>-178784.64145931753</v>
      </c>
      <c r="AE110" s="351">
        <f>IFERROR((Tableau1315[[#This Row],[TOTAL LE3]]-Tableau1315[[#This Row],[TOTAL BN-1]])/Tableau1315[[#This Row],[TOTAL BN-1]],"")</f>
        <v>0.54711681979453874</v>
      </c>
      <c r="AF110" s="252">
        <f>Tableau1315[[#This Row],[TOTAL BN+1]]-Tableau1315[[#This Row],[TOTAL LE3]]</f>
        <v>116095.18333333329</v>
      </c>
      <c r="AG110" s="351">
        <f>IFERROR((Tableau1315[[#This Row],[TOTAL BN+1]]-Tableau1315[[#This Row],[TOTAL LE3]])/Tableau1315[[#This Row],[TOTAL LE3]],"")</f>
        <v>-0.22963651771673407</v>
      </c>
    </row>
    <row r="111" spans="1:34">
      <c r="A111" s="463" t="s">
        <v>238</v>
      </c>
      <c r="B111" s="464" t="str">
        <f>VLOOKUP(Tableau1315[[#This Row],[PARCS]],Tableau106[],3,FALSE)</f>
        <v>F036</v>
      </c>
      <c r="C111" s="464" t="str">
        <f>VLOOKUP(Tableau1315[[#This Row],[PARCS]],Tableau106[],2,FALSE)</f>
        <v>FR80E95E</v>
      </c>
      <c r="D111" s="465" t="str">
        <f>VLOOKUP(Tableau1315[[#This Row],[PARCS]],Tableau106[],8,FALSE)</f>
        <v>EOLIEN</v>
      </c>
      <c r="E111" s="465" t="str">
        <f>VLOOKUP(A111,Tableau106[[#Headers],[#Data]],6,FALSE)</f>
        <v>N</v>
      </c>
      <c r="F111" s="466" t="str">
        <f>VLOOKUP(Tableau1315[[#This Row],[PARCS]],Tableau106[],5,FALSE)</f>
        <v>MODF</v>
      </c>
      <c r="G111" s="464" t="str">
        <f>VLOOKUP(Tableau1315[[#This Row],[PARCS]],Tableau106[],7,FALSE)</f>
        <v>FUTUREN</v>
      </c>
      <c r="H111" s="464" t="str">
        <f>VLOOKUP(Tableau1315[[#This Row],[PARCS]],Tableau106[],9,FALSE)</f>
        <v>NiD</v>
      </c>
      <c r="I111" s="350">
        <f>IFERROR(VLOOKUP(Tableau1315[[#This Row],[PARCS]],Tableau15[],10,FALSE),"")</f>
        <v>-9678.5952755905491</v>
      </c>
      <c r="J111" s="20">
        <f>IFERROR(VLOOKUP(Tableau1315[[#This Row],[PARCS]],Tableau15[],18,FALSE),"")</f>
        <v>-12000</v>
      </c>
      <c r="K111" s="252">
        <f>IFERROR(VLOOKUP(Tableau1315[[#This Row],[PARCS]],Tableau15[],19,FALSE),"")</f>
        <v>-377345.52970000001</v>
      </c>
      <c r="L111" s="20">
        <f>IFERROR(VLOOKUP(Tableau1315[[#This Row],[PARCS]],Tableau15[],28,FALSE),"")</f>
        <v>-8000</v>
      </c>
      <c r="M111" s="252">
        <f>IFERROR(VLOOKUP(Tableau1315[[#This Row],[PARCS]],Tableau15[],36,FALSE),"")</f>
        <v>0</v>
      </c>
      <c r="N111" s="252">
        <f>IFERROR(VLOOKUP(Tableau1315[[#This Row],[PARCS]],Tableau15[],37,FALSE),"")</f>
        <v>0</v>
      </c>
      <c r="O111" s="467">
        <f>SUM(Tableau1315[[#This Row],[CONTRAT O&amp;M FORFAIT GROUPE]:[CHARGES exceptionnels (BONUS, sinistres)]])</f>
        <v>-407024.12497559056</v>
      </c>
      <c r="P111" s="354">
        <f>VLOOKUP(Tableau1315[[#This Row],[PARCS]],Tableau16[],10,FALSE)</f>
        <v>-9733</v>
      </c>
      <c r="Q111" s="252">
        <f>VLOOKUP(Tableau1315[[#This Row],[PARCS]],Tableau16[],18,FALSE)</f>
        <v>-7370</v>
      </c>
      <c r="R111" s="252">
        <f>VLOOKUP(Tableau1315[[#This Row],[PARCS]],Tableau16[],19,FALSE)</f>
        <v>-338306</v>
      </c>
      <c r="S111" s="252">
        <f>VLOOKUP(Tableau1315[[#This Row],[PARCS]],Tableau16[],28,FALSE)</f>
        <v>-7000</v>
      </c>
      <c r="T111" s="252">
        <f>VLOOKUP(Tableau1315[[#This Row],[PARCS]],Tableau16[],36,FALSE)</f>
        <v>0</v>
      </c>
      <c r="U111" s="252">
        <f>VLOOKUP(Tableau1315[[#This Row],[PARCS]],Tableau16[],37,FALSE)</f>
        <v>0</v>
      </c>
      <c r="V111" s="467">
        <f>SUM(Tableau1315[[#This Row],[CONTRAT O&amp;M FORFAIT GROUPE2]:[CHARGES exceptionnels (BONUS, sinistres)7]])</f>
        <v>-362409</v>
      </c>
      <c r="W111" s="354">
        <f>VLOOKUP(Tableau1315[[#This Row],[PARCS]],Tableau17[],10,FALSE)</f>
        <v>-9976.3249999999989</v>
      </c>
      <c r="X111" s="252">
        <f>VLOOKUP(Tableau1315[[#This Row],[PARCS]],Tableau17[],18,FALSE)</f>
        <v>-12760</v>
      </c>
      <c r="Y111" s="252">
        <f>VLOOKUP(Tableau1315[[#This Row],[PARCS]],Tableau17[],19,FALSE)</f>
        <v>-346763.64999999997</v>
      </c>
      <c r="Z111" s="252">
        <f>VLOOKUP(Tableau1315[[#This Row],[PARCS]],Tableau17[],28,FALSE)</f>
        <v>-5000</v>
      </c>
      <c r="AA111" s="252">
        <f>VLOOKUP(Tableau1315[[#This Row],[PARCS]],Tableau17[],36,FALSE)</f>
        <v>0</v>
      </c>
      <c r="AB111" s="252">
        <f>VLOOKUP(Tableau1315[[#This Row],[PARCS]],Tableau17[],37,FALSE)</f>
        <v>0</v>
      </c>
      <c r="AC111" s="468">
        <f>SUM(Tableau1315[[#This Row],[CONTRAT O&amp;M FORFAIT GROUPE22]:[CHARGES exceptionnels (BONUS, sinistres)77]])</f>
        <v>-374499.97499999998</v>
      </c>
      <c r="AD111" s="252">
        <f>Tableau1315[[#This Row],[TOTAL LE3]]-Tableau1315[[#This Row],[TOTAL BN-1]]</f>
        <v>44615.124975590559</v>
      </c>
      <c r="AE111" s="351">
        <f>IFERROR((Tableau1315[[#This Row],[TOTAL LE3]]-Tableau1315[[#This Row],[TOTAL BN-1]])/Tableau1315[[#This Row],[TOTAL BN-1]],"")</f>
        <v>-0.10961297436181737</v>
      </c>
      <c r="AF111" s="252">
        <f>Tableau1315[[#This Row],[TOTAL BN+1]]-Tableau1315[[#This Row],[TOTAL LE3]]</f>
        <v>-12090.974999999977</v>
      </c>
      <c r="AG111" s="351">
        <f>IFERROR((Tableau1315[[#This Row],[TOTAL BN+1]]-Tableau1315[[#This Row],[TOTAL LE3]])/Tableau1315[[#This Row],[TOTAL LE3]],"")</f>
        <v>3.3362789003584283E-2</v>
      </c>
    </row>
    <row r="112" spans="1:34">
      <c r="A112" s="463" t="s">
        <v>240</v>
      </c>
      <c r="B112" s="464" t="str">
        <f>VLOOKUP(Tableau1315[[#This Row],[PARCS]],Tableau106[],3,FALSE)</f>
        <v>F208</v>
      </c>
      <c r="C112" s="464" t="str">
        <f>VLOOKUP(Tableau1315[[#This Row],[PARCS]],Tableau106[],2,FALSE)</f>
        <v>FR17E05E</v>
      </c>
      <c r="D112" s="465" t="str">
        <f>VLOOKUP(Tableau1315[[#This Row],[PARCS]],Tableau106[],8,FALSE)</f>
        <v>EOLIEN</v>
      </c>
      <c r="E112" s="465" t="str">
        <f>VLOOKUP(A112,Tableau106[[#Headers],[#Data]],6,FALSE)</f>
        <v>S</v>
      </c>
      <c r="F112" s="466" t="str">
        <f>VLOOKUP(Tableau1315[[#This Row],[PARCS]],Tableau106[],5,FALSE)</f>
        <v>NAC1, NAC2</v>
      </c>
      <c r="G112" s="464" t="str">
        <f>VLOOKUP(Tableau1315[[#This Row],[PARCS]],Tableau106[],7,FALSE)</f>
        <v>FUTUREN</v>
      </c>
      <c r="H112" s="464" t="str">
        <f>VLOOKUP(Tableau1315[[#This Row],[PARCS]],Tableau106[],9,FALSE)</f>
        <v>NoS</v>
      </c>
      <c r="I112" s="350">
        <f>IFERROR(VLOOKUP(Tableau1315[[#This Row],[PARCS]],Tableau15[],10,FALSE),"")</f>
        <v>0</v>
      </c>
      <c r="J112" s="20">
        <f>IFERROR(VLOOKUP(Tableau1315[[#This Row],[PARCS]],Tableau15[],18,FALSE),"")</f>
        <v>-21000</v>
      </c>
      <c r="K112" s="252">
        <f>IFERROR(VLOOKUP(Tableau1315[[#This Row],[PARCS]],Tableau15[],19,FALSE),"")</f>
        <v>-418178.46639999998</v>
      </c>
      <c r="L112" s="20">
        <f>IFERROR(VLOOKUP(Tableau1315[[#This Row],[PARCS]],Tableau15[],28,FALSE),"")</f>
        <v>-28457.5</v>
      </c>
      <c r="M112" s="252">
        <f>IFERROR(VLOOKUP(Tableau1315[[#This Row],[PARCS]],Tableau15[],36,FALSE),"")</f>
        <v>-20000</v>
      </c>
      <c r="N112" s="252">
        <f>IFERROR(VLOOKUP(Tableau1315[[#This Row],[PARCS]],Tableau15[],37,FALSE),"")</f>
        <v>0</v>
      </c>
      <c r="O112" s="467">
        <f>SUM(Tableau1315[[#This Row],[CONTRAT O&amp;M FORFAIT GROUPE]:[CHARGES exceptionnels (BONUS, sinistres)]])</f>
        <v>-487635.96639999998</v>
      </c>
      <c r="P112" s="354">
        <f>VLOOKUP(Tableau1315[[#This Row],[PARCS]],Tableau16[],10,FALSE)</f>
        <v>-6855</v>
      </c>
      <c r="Q112" s="252">
        <f>VLOOKUP(Tableau1315[[#This Row],[PARCS]],Tableau16[],18,FALSE)</f>
        <v>-5250</v>
      </c>
      <c r="R112" s="252">
        <f>VLOOKUP(Tableau1315[[#This Row],[PARCS]],Tableau16[],19,FALSE)</f>
        <v>-433726</v>
      </c>
      <c r="S112" s="252">
        <f>VLOOKUP(Tableau1315[[#This Row],[PARCS]],Tableau16[],28,FALSE)</f>
        <v>-23207.5</v>
      </c>
      <c r="T112" s="252">
        <f>VLOOKUP(Tableau1315[[#This Row],[PARCS]],Tableau16[],36,FALSE)</f>
        <v>-16000</v>
      </c>
      <c r="U112" s="252">
        <f>VLOOKUP(Tableau1315[[#This Row],[PARCS]],Tableau16[],37,FALSE)</f>
        <v>0</v>
      </c>
      <c r="V112" s="467">
        <f>SUM(Tableau1315[[#This Row],[CONTRAT O&amp;M FORFAIT GROUPE2]:[CHARGES exceptionnels (BONUS, sinistres)7]])</f>
        <v>-485038.5</v>
      </c>
      <c r="W112" s="354">
        <f>VLOOKUP(Tableau1315[[#This Row],[PARCS]],Tableau17[],10,FALSE)</f>
        <v>-7026.3749999999991</v>
      </c>
      <c r="X112" s="252">
        <f>VLOOKUP(Tableau1315[[#This Row],[PARCS]],Tableau17[],18,FALSE)</f>
        <v>-5250</v>
      </c>
      <c r="Y112" s="252">
        <f>VLOOKUP(Tableau1315[[#This Row],[PARCS]],Tableau17[],19,FALSE)</f>
        <v>-444569.14999999997</v>
      </c>
      <c r="Z112" s="252">
        <f>VLOOKUP(Tableau1315[[#This Row],[PARCS]],Tableau17[],28,FALSE)</f>
        <v>-24881</v>
      </c>
      <c r="AA112" s="252">
        <f>VLOOKUP(Tableau1315[[#This Row],[PARCS]],Tableau17[],36,FALSE)</f>
        <v>-16000</v>
      </c>
      <c r="AB112" s="252">
        <f>VLOOKUP(Tableau1315[[#This Row],[PARCS]],Tableau17[],37,FALSE)</f>
        <v>0</v>
      </c>
      <c r="AC112" s="468">
        <f>SUM(Tableau1315[[#This Row],[CONTRAT O&amp;M FORFAIT GROUPE22]:[CHARGES exceptionnels (BONUS, sinistres)77]])</f>
        <v>-497726.52499999997</v>
      </c>
      <c r="AD112" s="252">
        <f>Tableau1315[[#This Row],[TOTAL LE3]]-Tableau1315[[#This Row],[TOTAL BN-1]]</f>
        <v>2597.4663999999757</v>
      </c>
      <c r="AE112" s="351">
        <f>IFERROR((Tableau1315[[#This Row],[TOTAL LE3]]-Tableau1315[[#This Row],[TOTAL BN-1]])/Tableau1315[[#This Row],[TOTAL BN-1]],"")</f>
        <v>-5.3266505733281285E-3</v>
      </c>
      <c r="AF112" s="252">
        <f>Tableau1315[[#This Row],[TOTAL BN+1]]-Tableau1315[[#This Row],[TOTAL LE3]]</f>
        <v>-12688.024999999965</v>
      </c>
      <c r="AG112" s="351">
        <f>IFERROR((Tableau1315[[#This Row],[TOTAL BN+1]]-Tableau1315[[#This Row],[TOTAL LE3]])/Tableau1315[[#This Row],[TOTAL LE3]],"")</f>
        <v>2.6158799765379378E-2</v>
      </c>
    </row>
    <row r="113" spans="1:34" hidden="1">
      <c r="A113" s="463" t="s">
        <v>562</v>
      </c>
      <c r="B113" s="464" t="str">
        <f>VLOOKUP(Tableau1315[[#This Row],[PARCS]],Tableau106[],3,FALSE)</f>
        <v>A166</v>
      </c>
      <c r="C113" s="464" t="str">
        <f>VLOOKUP(Tableau1315[[#This Row],[PARCS]],Tableau106[],2,FALSE)</f>
        <v>FR97S86E</v>
      </c>
      <c r="D113" s="465" t="str">
        <f>VLOOKUP(Tableau1315[[#This Row],[PARCS]],Tableau106[],8,FALSE)</f>
        <v>SOLAIRE DOM</v>
      </c>
      <c r="E113" s="465" t="str">
        <f>VLOOKUP(A113,Tableau106[[#Headers],[#Data]],6,FALSE)</f>
        <v>DOM</v>
      </c>
      <c r="F113" s="466" t="str">
        <f>VLOOKUP(Tableau1315[[#This Row],[PARCS]],Tableau106[],5,FALSE)</f>
        <v>PIER</v>
      </c>
      <c r="G113" s="464" t="str">
        <f>VLOOKUP(Tableau1315[[#This Row],[PARCS]],Tableau106[],7,FALSE)</f>
        <v>GROUPE</v>
      </c>
      <c r="H113" s="464" t="str">
        <f>VLOOKUP(Tableau1315[[#This Row],[PARCS]],Tableau106[],9,FALSE)</f>
        <v>BéK</v>
      </c>
      <c r="I113" s="350">
        <f>IFERROR(VLOOKUP(Tableau1315[[#This Row],[PARCS]],Tableau15[],10,FALSE),"")</f>
        <v>0</v>
      </c>
      <c r="J113" s="20">
        <f>IFERROR(VLOOKUP(Tableau1315[[#This Row],[PARCS]],Tableau15[],18,FALSE),"")</f>
        <v>-3456</v>
      </c>
      <c r="K113" s="252">
        <f>IFERROR(VLOOKUP(Tableau1315[[#This Row],[PARCS]],Tableau15[],19,FALSE),"")</f>
        <v>-213620.99992</v>
      </c>
      <c r="L113" s="20">
        <f>IFERROR(VLOOKUP(Tableau1315[[#This Row],[PARCS]],Tableau15[],28,FALSE),"")</f>
        <v>-27328</v>
      </c>
      <c r="M113" s="252">
        <f>IFERROR(VLOOKUP(Tableau1315[[#This Row],[PARCS]],Tableau15[],36,FALSE),"")</f>
        <v>0</v>
      </c>
      <c r="N113" s="252">
        <f>IFERROR(VLOOKUP(Tableau1315[[#This Row],[PARCS]],Tableau15[],37,FALSE),"")</f>
        <v>0</v>
      </c>
      <c r="O113" s="467">
        <f>SUM(Tableau1315[[#This Row],[CONTRAT O&amp;M FORFAIT GROUPE]:[CHARGES exceptionnels (BONUS, sinistres)]])</f>
        <v>-244404.99992</v>
      </c>
      <c r="P113" s="354">
        <f>VLOOKUP(Tableau1315[[#This Row],[PARCS]],Tableau16[],10,FALSE)</f>
        <v>0</v>
      </c>
      <c r="Q113" s="252">
        <f>VLOOKUP(Tableau1315[[#This Row],[PARCS]],Tableau16[],18,FALSE)</f>
        <v>-864</v>
      </c>
      <c r="R113" s="252">
        <f>VLOOKUP(Tableau1315[[#This Row],[PARCS]],Tableau16[],19,FALSE)</f>
        <v>-229321</v>
      </c>
      <c r="S113" s="252">
        <f>VLOOKUP(Tableau1315[[#This Row],[PARCS]],Tableau16[],28,FALSE)</f>
        <v>-24800</v>
      </c>
      <c r="T113" s="252">
        <f>VLOOKUP(Tableau1315[[#This Row],[PARCS]],Tableau16[],36,FALSE)</f>
        <v>0</v>
      </c>
      <c r="U113" s="252">
        <f>VLOOKUP(Tableau1315[[#This Row],[PARCS]],Tableau16[],37,FALSE)</f>
        <v>0</v>
      </c>
      <c r="V113" s="467">
        <f>SUM(Tableau1315[[#This Row],[CONTRAT O&amp;M FORFAIT GROUPE2]:[CHARGES exceptionnels (BONUS, sinistres)7]])</f>
        <v>-254985</v>
      </c>
      <c r="W113" s="354">
        <f>VLOOKUP(Tableau1315[[#This Row],[PARCS]],Tableau17[],10,FALSE)</f>
        <v>0</v>
      </c>
      <c r="X113" s="252">
        <f>VLOOKUP(Tableau1315[[#This Row],[PARCS]],Tableau17[],18,FALSE)</f>
        <v>-864</v>
      </c>
      <c r="Y113" s="252">
        <f>VLOOKUP(Tableau1315[[#This Row],[PARCS]],Tableau17[],19,FALSE)</f>
        <v>-235054.02499999997</v>
      </c>
      <c r="Z113" s="252">
        <f>VLOOKUP(Tableau1315[[#This Row],[PARCS]],Tableau17[],28,FALSE)</f>
        <v>-10664</v>
      </c>
      <c r="AA113" s="252">
        <f>VLOOKUP(Tableau1315[[#This Row],[PARCS]],Tableau17[],36,FALSE)</f>
        <v>0</v>
      </c>
      <c r="AB113" s="252">
        <f>VLOOKUP(Tableau1315[[#This Row],[PARCS]],Tableau17[],37,FALSE)</f>
        <v>0</v>
      </c>
      <c r="AC113" s="468">
        <f>SUM(Tableau1315[[#This Row],[CONTRAT O&amp;M FORFAIT GROUPE22]:[CHARGES exceptionnels (BONUS, sinistres)77]])</f>
        <v>-246582.02499999997</v>
      </c>
      <c r="AD113" s="252">
        <f>Tableau1315[[#This Row],[TOTAL LE3]]-Tableau1315[[#This Row],[TOTAL BN-1]]</f>
        <v>-10580.000079999998</v>
      </c>
      <c r="AE113" s="351">
        <f>IFERROR((Tableau1315[[#This Row],[TOTAL LE3]]-Tableau1315[[#This Row],[TOTAL BN-1]])/Tableau1315[[#This Row],[TOTAL BN-1]],"")</f>
        <v>4.3288803762047023E-2</v>
      </c>
      <c r="AF113" s="252">
        <f>Tableau1315[[#This Row],[TOTAL BN+1]]-Tableau1315[[#This Row],[TOTAL LE3]]</f>
        <v>8402.9750000000349</v>
      </c>
      <c r="AG113" s="351">
        <f>IFERROR((Tableau1315[[#This Row],[TOTAL BN+1]]-Tableau1315[[#This Row],[TOTAL LE3]])/Tableau1315[[#This Row],[TOTAL LE3]],"")</f>
        <v>-3.2954781653822908E-2</v>
      </c>
    </row>
    <row r="114" spans="1:34" hidden="1">
      <c r="A114" s="463" t="s">
        <v>478</v>
      </c>
      <c r="B114" s="464" t="str">
        <f>VLOOKUP(Tableau1315[[#This Row],[PARCS]],Tableau106[],3,FALSE)</f>
        <v>A530</v>
      </c>
      <c r="C114" s="464" t="str">
        <f>VLOOKUP(Tableau1315[[#This Row],[PARCS]],Tableau106[],2,FALSE)</f>
        <v>FR57E02E</v>
      </c>
      <c r="D114" s="465" t="str">
        <f>VLOOKUP(Tableau1315[[#This Row],[PARCS]],Tableau106[],8,FALSE)</f>
        <v>EOLIEN</v>
      </c>
      <c r="E114" s="465" t="str">
        <f>VLOOKUP(A114,Tableau106[[#Headers],[#Data]],6,FALSE)</f>
        <v>N</v>
      </c>
      <c r="F114" s="466" t="str">
        <f>VLOOKUP(Tableau1315[[#This Row],[PARCS]],Tableau106[],5,FALSE)</f>
        <v>NIED</v>
      </c>
      <c r="G114" s="464" t="str">
        <f>VLOOKUP(Tableau1315[[#This Row],[PARCS]],Tableau106[],7,FALSE)</f>
        <v>GROUPE</v>
      </c>
      <c r="H114" s="464" t="str">
        <f>VLOOKUP(Tableau1315[[#This Row],[PARCS]],Tableau106[],9,FALSE)</f>
        <v>HuB</v>
      </c>
      <c r="I114" s="350">
        <f>IFERROR(VLOOKUP(Tableau1315[[#This Row],[PARCS]],Tableau15[],10,FALSE),"")</f>
        <v>-12626.246851385387</v>
      </c>
      <c r="J114" s="20">
        <f>IFERROR(VLOOKUP(Tableau1315[[#This Row],[PARCS]],Tableau15[],18,FALSE),"")</f>
        <v>-30200</v>
      </c>
      <c r="K114" s="252">
        <f>IFERROR(VLOOKUP(Tableau1315[[#This Row],[PARCS]],Tableau15[],19,FALSE),"")</f>
        <v>-363257.591312</v>
      </c>
      <c r="L114" s="20">
        <f>IFERROR(VLOOKUP(Tableau1315[[#This Row],[PARCS]],Tableau15[],28,FALSE),"")</f>
        <v>-9400</v>
      </c>
      <c r="M114" s="252">
        <f>IFERROR(VLOOKUP(Tableau1315[[#This Row],[PARCS]],Tableau15[],36,FALSE),"")</f>
        <v>-8000</v>
      </c>
      <c r="N114" s="252">
        <f>IFERROR(VLOOKUP(Tableau1315[[#This Row],[PARCS]],Tableau15[],37,FALSE),"")</f>
        <v>0</v>
      </c>
      <c r="O114" s="467">
        <f>SUM(Tableau1315[[#This Row],[CONTRAT O&amp;M FORFAIT GROUPE]:[CHARGES exceptionnels (BONUS, sinistres)]])</f>
        <v>-423483.8381633854</v>
      </c>
      <c r="P114" s="354">
        <f>VLOOKUP(Tableau1315[[#This Row],[PARCS]],Tableau16[],10,FALSE)</f>
        <v>-10234</v>
      </c>
      <c r="Q114" s="252">
        <f>VLOOKUP(Tableau1315[[#This Row],[PARCS]],Tableau16[],18,FALSE)</f>
        <v>-10460</v>
      </c>
      <c r="R114" s="252">
        <f>VLOOKUP(Tableau1315[[#This Row],[PARCS]],Tableau16[],19,FALSE)</f>
        <v>-377851</v>
      </c>
      <c r="S114" s="252">
        <f>VLOOKUP(Tableau1315[[#This Row],[PARCS]],Tableau16[],28,FALSE)</f>
        <v>-6400</v>
      </c>
      <c r="T114" s="252">
        <f>VLOOKUP(Tableau1315[[#This Row],[PARCS]],Tableau16[],36,FALSE)</f>
        <v>0</v>
      </c>
      <c r="U114" s="252">
        <f>VLOOKUP(Tableau1315[[#This Row],[PARCS]],Tableau16[],37,FALSE)</f>
        <v>0</v>
      </c>
      <c r="V114" s="467">
        <f>SUM(Tableau1315[[#This Row],[CONTRAT O&amp;M FORFAIT GROUPE2]:[CHARGES exceptionnels (BONUS, sinistres)7]])</f>
        <v>-404945</v>
      </c>
      <c r="W114" s="354">
        <f>VLOOKUP(Tableau1315[[#This Row],[PARCS]],Tableau17[],10,FALSE)</f>
        <v>-10489.849999999999</v>
      </c>
      <c r="X114" s="252">
        <f>VLOOKUP(Tableau1315[[#This Row],[PARCS]],Tableau17[],18,FALSE)</f>
        <v>-10530</v>
      </c>
      <c r="Y114" s="252">
        <f>VLOOKUP(Tableau1315[[#This Row],[PARCS]],Tableau17[],19,FALSE)</f>
        <v>-387297.27499999997</v>
      </c>
      <c r="Z114" s="252">
        <f>VLOOKUP(Tableau1315[[#This Row],[PARCS]],Tableau17[],28,FALSE)</f>
        <v>-6400</v>
      </c>
      <c r="AA114" s="252">
        <f>VLOOKUP(Tableau1315[[#This Row],[PARCS]],Tableau17[],36,FALSE)</f>
        <v>0</v>
      </c>
      <c r="AB114" s="252">
        <f>VLOOKUP(Tableau1315[[#This Row],[PARCS]],Tableau17[],37,FALSE)</f>
        <v>0</v>
      </c>
      <c r="AC114" s="468">
        <f>SUM(Tableau1315[[#This Row],[CONTRAT O&amp;M FORFAIT GROUPE22]:[CHARGES exceptionnels (BONUS, sinistres)77]])</f>
        <v>-414717.12499999994</v>
      </c>
      <c r="AD114" s="252">
        <f>Tableau1315[[#This Row],[TOTAL LE3]]-Tableau1315[[#This Row],[TOTAL BN-1]]</f>
        <v>18538.838163385401</v>
      </c>
      <c r="AE114" s="351">
        <f>IFERROR((Tableau1315[[#This Row],[TOTAL LE3]]-Tableau1315[[#This Row],[TOTAL BN-1]])/Tableau1315[[#This Row],[TOTAL BN-1]],"")</f>
        <v>-4.3776967366185256E-2</v>
      </c>
      <c r="AF114" s="252">
        <f>Tableau1315[[#This Row],[TOTAL BN+1]]-Tableau1315[[#This Row],[TOTAL LE3]]</f>
        <v>-9772.1249999999418</v>
      </c>
      <c r="AG114" s="351">
        <f>IFERROR((Tableau1315[[#This Row],[TOTAL BN+1]]-Tableau1315[[#This Row],[TOTAL LE3]])/Tableau1315[[#This Row],[TOTAL LE3]],"")</f>
        <v>2.4131980886293057E-2</v>
      </c>
    </row>
    <row r="115" spans="1:34" hidden="1">
      <c r="A115" s="463" t="s">
        <v>589</v>
      </c>
      <c r="B115" s="464" t="str">
        <f>VLOOKUP(Tableau1315[[#This Row],[PARCS]],Tableau106[],3,FALSE)</f>
        <v>A135</v>
      </c>
      <c r="C115" s="464" t="str">
        <f>VLOOKUP(Tableau1315[[#This Row],[PARCS]],Tableau106[],2,FALSE)</f>
        <v>FR04S98E</v>
      </c>
      <c r="D115" s="465" t="str">
        <f>VLOOKUP(Tableau1315[[#This Row],[PARCS]],Tableau106[],8,FALSE)</f>
        <v>SOLAIRE</v>
      </c>
      <c r="E115" s="465" t="str">
        <f>VLOOKUP(A115,Tableau106[[#Headers],[#Data]],6,FALSE)</f>
        <v>S</v>
      </c>
      <c r="F115" s="466" t="str">
        <f>VLOOKUP(Tableau1315[[#This Row],[PARCS]],Tableau106[],5,FALSE)</f>
        <v>STUL</v>
      </c>
      <c r="G115" s="464" t="str">
        <f>VLOOKUP(Tableau1315[[#This Row],[PARCS]],Tableau106[],7,FALSE)</f>
        <v>GROUPE</v>
      </c>
      <c r="H115" s="464" t="str">
        <f>VLOOKUP(Tableau1315[[#This Row],[PARCS]],Tableau106[],9,FALSE)</f>
        <v>ArB</v>
      </c>
      <c r="I115" s="350">
        <f>IFERROR(VLOOKUP(Tableau1315[[#This Row],[PARCS]],Tableau15[],10,FALSE),"")</f>
        <v>-172044.12875136238</v>
      </c>
      <c r="J115" s="20">
        <f>IFERROR(VLOOKUP(Tableau1315[[#This Row],[PARCS]],Tableau15[],18,FALSE),"")</f>
        <v>-5235</v>
      </c>
      <c r="K115" s="252">
        <f>IFERROR(VLOOKUP(Tableau1315[[#This Row],[PARCS]],Tableau15[],19,FALSE),"")</f>
        <v>0</v>
      </c>
      <c r="L115" s="20">
        <f>IFERROR(VLOOKUP(Tableau1315[[#This Row],[PARCS]],Tableau15[],28,FALSE),"")</f>
        <v>-2617.5</v>
      </c>
      <c r="M115" s="252">
        <f>IFERROR(VLOOKUP(Tableau1315[[#This Row],[PARCS]],Tableau15[],36,FALSE),"")</f>
        <v>-7000</v>
      </c>
      <c r="N115" s="252">
        <f>IFERROR(VLOOKUP(Tableau1315[[#This Row],[PARCS]],Tableau15[],37,FALSE),"")</f>
        <v>-13000</v>
      </c>
      <c r="O115" s="467">
        <f>SUM(Tableau1315[[#This Row],[CONTRAT O&amp;M FORFAIT GROUPE]:[CHARGES exceptionnels (BONUS, sinistres)]])</f>
        <v>-199896.62875136238</v>
      </c>
      <c r="P115" s="354">
        <f>VLOOKUP(Tableau1315[[#This Row],[PARCS]],Tableau16[],10,FALSE)</f>
        <v>-173010</v>
      </c>
      <c r="Q115" s="252">
        <f>VLOOKUP(Tableau1315[[#This Row],[PARCS]],Tableau16[],18,FALSE)</f>
        <v>-16858.75</v>
      </c>
      <c r="R115" s="252">
        <f>VLOOKUP(Tableau1315[[#This Row],[PARCS]],Tableau16[],19,FALSE)</f>
        <v>0</v>
      </c>
      <c r="S115" s="252">
        <f>VLOOKUP(Tableau1315[[#This Row],[PARCS]],Tableau16[],28,FALSE)</f>
        <v>-6308.75</v>
      </c>
      <c r="T115" s="252">
        <f>VLOOKUP(Tableau1315[[#This Row],[PARCS]],Tableau16[],36,FALSE)</f>
        <v>0</v>
      </c>
      <c r="U115" s="252">
        <f>VLOOKUP(Tableau1315[[#This Row],[PARCS]],Tableau16[],37,FALSE)</f>
        <v>-12000</v>
      </c>
      <c r="V115" s="467">
        <f>SUM(Tableau1315[[#This Row],[CONTRAT O&amp;M FORFAIT GROUPE2]:[CHARGES exceptionnels (BONUS, sinistres)7]])</f>
        <v>-208177.5</v>
      </c>
      <c r="W115" s="354">
        <f>VLOOKUP(Tableau1315[[#This Row],[PARCS]],Tableau17[],10,FALSE)</f>
        <v>-177335.24999999997</v>
      </c>
      <c r="X115" s="252">
        <f>VLOOKUP(Tableau1315[[#This Row],[PARCS]],Tableau17[],18,FALSE)</f>
        <v>-14178.750000000002</v>
      </c>
      <c r="Y115" s="252">
        <f>VLOOKUP(Tableau1315[[#This Row],[PARCS]],Tableau17[],19,FALSE)</f>
        <v>0</v>
      </c>
      <c r="Z115" s="252">
        <f>VLOOKUP(Tableau1315[[#This Row],[PARCS]],Tableau17[],28,FALSE)</f>
        <v>-21308.75</v>
      </c>
      <c r="AA115" s="252">
        <f>VLOOKUP(Tableau1315[[#This Row],[PARCS]],Tableau17[],36,FALSE)</f>
        <v>-2000</v>
      </c>
      <c r="AB115" s="252">
        <f>VLOOKUP(Tableau1315[[#This Row],[PARCS]],Tableau17[],37,FALSE)</f>
        <v>0</v>
      </c>
      <c r="AC115" s="468">
        <f>SUM(Tableau1315[[#This Row],[CONTRAT O&amp;M FORFAIT GROUPE22]:[CHARGES exceptionnels (BONUS, sinistres)77]])</f>
        <v>-214822.74999999997</v>
      </c>
      <c r="AD115" s="252">
        <f>Tableau1315[[#This Row],[TOTAL LE3]]-Tableau1315[[#This Row],[TOTAL BN-1]]</f>
        <v>-8280.8712486376171</v>
      </c>
      <c r="AE115" s="351">
        <f>IFERROR((Tableau1315[[#This Row],[TOTAL LE3]]-Tableau1315[[#This Row],[TOTAL BN-1]])/Tableau1315[[#This Row],[TOTAL BN-1]],"")</f>
        <v>4.1425767409702649E-2</v>
      </c>
      <c r="AF115" s="252">
        <f>Tableau1315[[#This Row],[TOTAL BN+1]]-Tableau1315[[#This Row],[TOTAL LE3]]</f>
        <v>-6645.2499999999709</v>
      </c>
      <c r="AG115" s="351">
        <f>IFERROR((Tableau1315[[#This Row],[TOTAL BN+1]]-Tableau1315[[#This Row],[TOTAL LE3]])/Tableau1315[[#This Row],[TOTAL LE3]],"")</f>
        <v>3.192107696557011E-2</v>
      </c>
      <c r="AH115" s="6" t="s">
        <v>754</v>
      </c>
    </row>
    <row r="116" spans="1:34" hidden="1">
      <c r="A116" s="463" t="s">
        <v>495</v>
      </c>
      <c r="B116" s="464" t="str">
        <f>VLOOKUP(Tableau1315[[#This Row],[PARCS]],Tableau106[],3,FALSE)</f>
        <v>A366</v>
      </c>
      <c r="C116" s="464" t="str">
        <f>VLOOKUP(Tableau1315[[#This Row],[PARCS]],Tableau106[],2,FALSE)</f>
        <v>FR48E96E</v>
      </c>
      <c r="D116" s="465" t="str">
        <f>VLOOKUP(Tableau1315[[#This Row],[PARCS]],Tableau106[],8,FALSE)</f>
        <v>EOLIEN</v>
      </c>
      <c r="E116" s="465" t="str">
        <f>VLOOKUP(A116,Tableau106[[#Headers],[#Data]],6,FALSE)</f>
        <v>S</v>
      </c>
      <c r="F116" s="466" t="str">
        <f>VLOOKUP(Tableau1315[[#This Row],[PARCS]],Tableau106[],5,FALSE)</f>
        <v>TAIL</v>
      </c>
      <c r="G116" s="464" t="str">
        <f>VLOOKUP(Tableau1315[[#This Row],[PARCS]],Tableau106[],7,FALSE)</f>
        <v>GROUPE</v>
      </c>
      <c r="H116" s="464" t="str">
        <f>VLOOKUP(Tableau1315[[#This Row],[PARCS]],Tableau106[],9,FALSE)</f>
        <v>StE</v>
      </c>
      <c r="I116" s="350">
        <f>IFERROR(VLOOKUP(Tableau1315[[#This Row],[PARCS]],Tableau15[],10,FALSE),"")</f>
        <v>-26157.9</v>
      </c>
      <c r="J116" s="20">
        <f>IFERROR(VLOOKUP(Tableau1315[[#This Row],[PARCS]],Tableau15[],18,FALSE),"")</f>
        <v>-39693</v>
      </c>
      <c r="K116" s="252">
        <f>IFERROR(VLOOKUP(Tableau1315[[#This Row],[PARCS]],Tableau15[],19,FALSE),"")</f>
        <v>-254707.46388200001</v>
      </c>
      <c r="L116" s="20">
        <f>IFERROR(VLOOKUP(Tableau1315[[#This Row],[PARCS]],Tableau15[],28,FALSE),"")</f>
        <v>-101590</v>
      </c>
      <c r="M116" s="252">
        <f>IFERROR(VLOOKUP(Tableau1315[[#This Row],[PARCS]],Tableau15[],36,FALSE),"")</f>
        <v>-46000</v>
      </c>
      <c r="N116" s="252">
        <f>IFERROR(VLOOKUP(Tableau1315[[#This Row],[PARCS]],Tableau15[],37,FALSE),"")</f>
        <v>0</v>
      </c>
      <c r="O116" s="467">
        <f>SUM(Tableau1315[[#This Row],[CONTRAT O&amp;M FORFAIT GROUPE]:[CHARGES exceptionnels (BONUS, sinistres)]])</f>
        <v>-468148.36388199998</v>
      </c>
      <c r="P116" s="354">
        <f>VLOOKUP(Tableau1315[[#This Row],[PARCS]],Tableau16[],10,FALSE)</f>
        <v>0</v>
      </c>
      <c r="Q116" s="252">
        <f>VLOOKUP(Tableau1315[[#This Row],[PARCS]],Tableau16[],18,FALSE)</f>
        <v>-21963</v>
      </c>
      <c r="R116" s="252">
        <f>VLOOKUP(Tableau1315[[#This Row],[PARCS]],Tableau16[],19,FALSE)</f>
        <v>-279087</v>
      </c>
      <c r="S116" s="252">
        <f>VLOOKUP(Tableau1315[[#This Row],[PARCS]],Tableau16[],28,FALSE)</f>
        <v>-88000</v>
      </c>
      <c r="T116" s="252">
        <f>VLOOKUP(Tableau1315[[#This Row],[PARCS]],Tableau16[],36,FALSE)</f>
        <v>-133062.72</v>
      </c>
      <c r="U116" s="252">
        <f>VLOOKUP(Tableau1315[[#This Row],[PARCS]],Tableau16[],37,FALSE)</f>
        <v>0</v>
      </c>
      <c r="V116" s="467">
        <f>SUM(Tableau1315[[#This Row],[CONTRAT O&amp;M FORFAIT GROUPE2]:[CHARGES exceptionnels (BONUS, sinistres)7]])</f>
        <v>-522112.72</v>
      </c>
      <c r="W116" s="354">
        <f>VLOOKUP(Tableau1315[[#This Row],[PARCS]],Tableau17[],10,FALSE)</f>
        <v>0</v>
      </c>
      <c r="X116" s="252">
        <f>VLOOKUP(Tableau1315[[#This Row],[PARCS]],Tableau17[],18,FALSE)</f>
        <v>-21963</v>
      </c>
      <c r="Y116" s="252">
        <f>VLOOKUP(Tableau1315[[#This Row],[PARCS]],Tableau17[],19,FALSE)</f>
        <v>-286064.17499999999</v>
      </c>
      <c r="Z116" s="252">
        <f>VLOOKUP(Tableau1315[[#This Row],[PARCS]],Tableau17[],28,FALSE)</f>
        <v>-39795</v>
      </c>
      <c r="AA116" s="252">
        <f>VLOOKUP(Tableau1315[[#This Row],[PARCS]],Tableau17[],36,FALSE)</f>
        <v>-101047.1</v>
      </c>
      <c r="AB116" s="252">
        <f>VLOOKUP(Tableau1315[[#This Row],[PARCS]],Tableau17[],37,FALSE)</f>
        <v>0</v>
      </c>
      <c r="AC116" s="468">
        <f>SUM(Tableau1315[[#This Row],[CONTRAT O&amp;M FORFAIT GROUPE22]:[CHARGES exceptionnels (BONUS, sinistres)77]])</f>
        <v>-448869.27500000002</v>
      </c>
      <c r="AD116" s="252">
        <f>Tableau1315[[#This Row],[TOTAL LE3]]-Tableau1315[[#This Row],[TOTAL BN-1]]</f>
        <v>-53964.356117999996</v>
      </c>
      <c r="AE116" s="351">
        <f>IFERROR((Tableau1315[[#This Row],[TOTAL LE3]]-Tableau1315[[#This Row],[TOTAL BN-1]])/Tableau1315[[#This Row],[TOTAL BN-1]],"")</f>
        <v>0.1152719101066902</v>
      </c>
      <c r="AF116" s="252">
        <f>Tableau1315[[#This Row],[TOTAL BN+1]]-Tableau1315[[#This Row],[TOTAL LE3]]</f>
        <v>73243.444999999949</v>
      </c>
      <c r="AG116" s="351">
        <f>IFERROR((Tableau1315[[#This Row],[TOTAL BN+1]]-Tableau1315[[#This Row],[TOTAL LE3]])/Tableau1315[[#This Row],[TOTAL LE3]],"")</f>
        <v>-0.1402828205372969</v>
      </c>
      <c r="AH116" s="6" t="s">
        <v>749</v>
      </c>
    </row>
    <row r="117" spans="1:34" hidden="1">
      <c r="A117" s="463" t="s">
        <v>502</v>
      </c>
      <c r="B117" s="464" t="str">
        <f>VLOOKUP(Tableau1315[[#This Row],[PARCS]],Tableau106[],3,FALSE)</f>
        <v>A197</v>
      </c>
      <c r="C117" s="464" t="str">
        <f>VLOOKUP(Tableau1315[[#This Row],[PARCS]],Tableau106[],2,FALSE)</f>
        <v>FR40S10E</v>
      </c>
      <c r="D117" s="465" t="str">
        <f>VLOOKUP(Tableau1315[[#This Row],[PARCS]],Tableau106[],8,FALSE)</f>
        <v>SOLAIRE</v>
      </c>
      <c r="E117" s="465" t="str">
        <f>VLOOKUP(A117,Tableau106[[#Headers],[#Data]],6,FALSE)</f>
        <v>S</v>
      </c>
      <c r="F117" s="466" t="str">
        <f>VLOOKUP(Tableau1315[[#This Row],[PARCS]],Tableau106[],5,FALSE)</f>
        <v>GAB7</v>
      </c>
      <c r="G117" s="464" t="str">
        <f>VLOOKUP(Tableau1315[[#This Row],[PARCS]],Tableau106[],7,FALSE)</f>
        <v>GROUPE</v>
      </c>
      <c r="H117" s="464" t="str">
        <f>VLOOKUP(Tableau1315[[#This Row],[PARCS]],Tableau106[],9,FALSE)</f>
        <v>BaA</v>
      </c>
      <c r="I117" s="350">
        <f>IFERROR(VLOOKUP(Tableau1315[[#This Row],[PARCS]],Tableau15[],10,FALSE),"")</f>
        <v>-63779.880728047625</v>
      </c>
      <c r="J117" s="20">
        <f>IFERROR(VLOOKUP(Tableau1315[[#This Row],[PARCS]],Tableau15[],18,FALSE),"")</f>
        <v>-7445</v>
      </c>
      <c r="K117" s="252">
        <f>IFERROR(VLOOKUP(Tableau1315[[#This Row],[PARCS]],Tableau15[],19,FALSE),"")</f>
        <v>0</v>
      </c>
      <c r="L117" s="20">
        <f>IFERROR(VLOOKUP(Tableau1315[[#This Row],[PARCS]],Tableau15[],28,FALSE),"")</f>
        <v>-1000</v>
      </c>
      <c r="M117" s="252">
        <f>IFERROR(VLOOKUP(Tableau1315[[#This Row],[PARCS]],Tableau15[],36,FALSE),"")</f>
        <v>-20000</v>
      </c>
      <c r="N117" s="252">
        <f>IFERROR(VLOOKUP(Tableau1315[[#This Row],[PARCS]],Tableau15[],37,FALSE),"")</f>
        <v>-5000</v>
      </c>
      <c r="O117" s="467">
        <f>SUM(Tableau1315[[#This Row],[CONTRAT O&amp;M FORFAIT GROUPE]:[CHARGES exceptionnels (BONUS, sinistres)]])</f>
        <v>-97224.880728047632</v>
      </c>
      <c r="P117" s="354">
        <f>VLOOKUP(Tableau1315[[#This Row],[PARCS]],Tableau16[],10,FALSE)</f>
        <v>-64139</v>
      </c>
      <c r="Q117" s="350">
        <f>VLOOKUP(Tableau1315[[#This Row],[PARCS]],Tableau16[],18,FALSE)</f>
        <v>-4712.5</v>
      </c>
      <c r="R117" s="350">
        <f>VLOOKUP(Tableau1315[[#This Row],[PARCS]],Tableau16[],19,FALSE)</f>
        <v>0</v>
      </c>
      <c r="S117" s="20">
        <f>VLOOKUP(Tableau1315[[#This Row],[PARCS]],Tableau16[],28,FALSE)</f>
        <v>-723</v>
      </c>
      <c r="T117" s="20">
        <f>VLOOKUP(Tableau1315[[#This Row],[PARCS]],Tableau16[],36,FALSE)</f>
        <v>-26490</v>
      </c>
      <c r="U117" s="20">
        <f>VLOOKUP(Tableau1315[[#This Row],[PARCS]],Tableau16[],37,FALSE)</f>
        <v>-5003</v>
      </c>
      <c r="V117" s="467">
        <f>SUM(Tableau1315[[#This Row],[CONTRAT O&amp;M FORFAIT GROUPE2]:[CHARGES exceptionnels (BONUS, sinistres)7]])</f>
        <v>-101067.5</v>
      </c>
      <c r="W117" s="354">
        <f>VLOOKUP(Tableau1315[[#This Row],[PARCS]],Tableau17[],10,FALSE)</f>
        <v>-65742.474999999991</v>
      </c>
      <c r="X117" s="350">
        <f>VLOOKUP(Tableau1315[[#This Row],[PARCS]],Tableau17[],18,FALSE)</f>
        <v>-13812.5</v>
      </c>
      <c r="Y117" s="350">
        <f>VLOOKUP(Tableau1315[[#This Row],[PARCS]],Tableau17[],19,FALSE)</f>
        <v>0</v>
      </c>
      <c r="Z117" s="350">
        <f>VLOOKUP(Tableau1315[[#This Row],[PARCS]],Tableau17[],28,FALSE)</f>
        <v>-722.5</v>
      </c>
      <c r="AA117" s="350">
        <f>VLOOKUP(Tableau1315[[#This Row],[PARCS]],Tableau17[],36,FALSE)</f>
        <v>-20000</v>
      </c>
      <c r="AB117" s="252">
        <f>VLOOKUP(Tableau1315[[#This Row],[PARCS]],Tableau17[],37,FALSE)</f>
        <v>0</v>
      </c>
      <c r="AC117" s="468">
        <f>SUM(Tableau1315[[#This Row],[CONTRAT O&amp;M FORFAIT GROUPE22]:[CHARGES exceptionnels (BONUS, sinistres)77]])</f>
        <v>-100277.47499999999</v>
      </c>
      <c r="AD117" s="252">
        <f>Tableau1315[[#This Row],[TOTAL LE3]]-Tableau1315[[#This Row],[TOTAL BN-1]]</f>
        <v>-3842.6192719523679</v>
      </c>
      <c r="AE117" s="351">
        <f>IFERROR((Tableau1315[[#This Row],[TOTAL LE3]]-Tableau1315[[#This Row],[TOTAL BN-1]])/Tableau1315[[#This Row],[TOTAL BN-1]],"")</f>
        <v>3.9523003198129313E-2</v>
      </c>
      <c r="AF117" s="252">
        <f>Tableau1315[[#This Row],[TOTAL BN+1]]-Tableau1315[[#This Row],[TOTAL LE3]]</f>
        <v>790.02500000000873</v>
      </c>
      <c r="AG117" s="351">
        <f>IFERROR((Tableau1315[[#This Row],[TOTAL BN+1]]-Tableau1315[[#This Row],[TOTAL LE3]])/Tableau1315[[#This Row],[TOTAL LE3]],"")</f>
        <v>-7.8168056002177622E-3</v>
      </c>
    </row>
    <row r="118" spans="1:34" hidden="1">
      <c r="A118" s="463" t="s">
        <v>480</v>
      </c>
      <c r="B118" s="464" t="str">
        <f>VLOOKUP(Tableau1315[[#This Row],[PARCS]],Tableau106[],3,FALSE)</f>
        <v>A540</v>
      </c>
      <c r="C118" s="464" t="str">
        <f>VLOOKUP(Tableau1315[[#This Row],[PARCS]],Tableau106[],2,FALSE)</f>
        <v>FR35E02E</v>
      </c>
      <c r="D118" s="465" t="str">
        <f>VLOOKUP(Tableau1315[[#This Row],[PARCS]],Tableau106[],8,FALSE)</f>
        <v>EOLIEN</v>
      </c>
      <c r="E118" s="465" t="str">
        <f>VLOOKUP(A118,Tableau106[[#Headers],[#Data]],6,FALSE)</f>
        <v>N</v>
      </c>
      <c r="F118" s="466" t="str">
        <f>VLOOKUP(Tableau1315[[#This Row],[PARCS]],Tableau106[],5,FALSE)</f>
        <v>NOUR</v>
      </c>
      <c r="G118" s="464" t="str">
        <f>VLOOKUP(Tableau1315[[#This Row],[PARCS]],Tableau106[],7,FALSE)</f>
        <v>EGM</v>
      </c>
      <c r="H118" s="464" t="str">
        <f>VLOOKUP(Tableau1315[[#This Row],[PARCS]],Tableau106[],9,FALSE)</f>
        <v>MaA</v>
      </c>
      <c r="I118" s="350">
        <f>IFERROR(VLOOKUP(Tableau1315[[#This Row],[PARCS]],Tableau15[],10,FALSE),"")</f>
        <v>-256678.59608762685</v>
      </c>
      <c r="J118" s="20">
        <f>IFERROR(VLOOKUP(Tableau1315[[#This Row],[PARCS]],Tableau15[],18,FALSE),"")</f>
        <v>-46568.783068783072</v>
      </c>
      <c r="K118" s="252">
        <f>IFERROR(VLOOKUP(Tableau1315[[#This Row],[PARCS]],Tableau15[],19,FALSE),"")</f>
        <v>-41000</v>
      </c>
      <c r="L118" s="20">
        <f>IFERROR(VLOOKUP(Tableau1315[[#This Row],[PARCS]],Tableau15[],28,FALSE),"")</f>
        <v>-7000</v>
      </c>
      <c r="M118" s="252">
        <f>IFERROR(VLOOKUP(Tableau1315[[#This Row],[PARCS]],Tableau15[],36,FALSE),"")</f>
        <v>-12000</v>
      </c>
      <c r="N118" s="252">
        <f>IFERROR(VLOOKUP(Tableau1315[[#This Row],[PARCS]],Tableau15[],37,FALSE),"")</f>
        <v>0</v>
      </c>
      <c r="O118" s="467">
        <f>SUM(Tableau1315[[#This Row],[CONTRAT O&amp;M FORFAIT GROUPE]:[CHARGES exceptionnels (BONUS, sinistres)]])</f>
        <v>-363247.37915640994</v>
      </c>
      <c r="P118" s="354">
        <f>VLOOKUP(Tableau1315[[#This Row],[PARCS]],Tableau16[],10,FALSE)</f>
        <v>-258123</v>
      </c>
      <c r="Q118" s="350">
        <f>VLOOKUP(Tableau1315[[#This Row],[PARCS]],Tableau16[],18,FALSE)</f>
        <v>-221000</v>
      </c>
      <c r="R118" s="350">
        <f>VLOOKUP(Tableau1315[[#This Row],[PARCS]],Tableau16[],19,FALSE)</f>
        <v>-60000</v>
      </c>
      <c r="S118" s="20">
        <f>VLOOKUP(Tableau1315[[#This Row],[PARCS]],Tableau16[],28,FALSE)</f>
        <v>-8250</v>
      </c>
      <c r="T118" s="20">
        <f>VLOOKUP(Tableau1315[[#This Row],[PARCS]],Tableau16[],36,FALSE)</f>
        <v>0</v>
      </c>
      <c r="U118" s="20">
        <f>VLOOKUP(Tableau1315[[#This Row],[PARCS]],Tableau16[],37,FALSE)</f>
        <v>0</v>
      </c>
      <c r="V118" s="467">
        <f>SUM(Tableau1315[[#This Row],[CONTRAT O&amp;M FORFAIT GROUPE2]:[CHARGES exceptionnels (BONUS, sinistres)7]])</f>
        <v>-547373</v>
      </c>
      <c r="W118" s="354">
        <f>VLOOKUP(Tableau1315[[#This Row],[PARCS]],Tableau17[],10,FALSE)</f>
        <v>-264576.07499999995</v>
      </c>
      <c r="X118" s="350">
        <f>VLOOKUP(Tableau1315[[#This Row],[PARCS]],Tableau17[],18,FALSE)</f>
        <v>-86350.000000000015</v>
      </c>
      <c r="Y118" s="350">
        <f>VLOOKUP(Tableau1315[[#This Row],[PARCS]],Tableau17[],19,FALSE)</f>
        <v>-61499.999999999993</v>
      </c>
      <c r="Z118" s="350">
        <f>VLOOKUP(Tableau1315[[#This Row],[PARCS]],Tableau17[],28,FALSE)</f>
        <v>-4500</v>
      </c>
      <c r="AA118" s="350">
        <f>VLOOKUP(Tableau1315[[#This Row],[PARCS]],Tableau17[],36,FALSE)</f>
        <v>-12000</v>
      </c>
      <c r="AB118" s="252">
        <f>VLOOKUP(Tableau1315[[#This Row],[PARCS]],Tableau17[],37,FALSE)</f>
        <v>0</v>
      </c>
      <c r="AC118" s="468">
        <f>SUM(Tableau1315[[#This Row],[CONTRAT O&amp;M FORFAIT GROUPE22]:[CHARGES exceptionnels (BONUS, sinistres)77]])</f>
        <v>-428926.07499999995</v>
      </c>
      <c r="AD118" s="252">
        <f>Tableau1315[[#This Row],[TOTAL LE3]]-Tableau1315[[#This Row],[TOTAL BN-1]]</f>
        <v>-184125.62084359006</v>
      </c>
      <c r="AE118" s="351">
        <f>IFERROR((Tableau1315[[#This Row],[TOTAL LE3]]-Tableau1315[[#This Row],[TOTAL BN-1]])/Tableau1315[[#This Row],[TOTAL BN-1]],"")</f>
        <v>0.50688767878021712</v>
      </c>
      <c r="AF118" s="252">
        <f>Tableau1315[[#This Row],[TOTAL BN+1]]-Tableau1315[[#This Row],[TOTAL LE3]]</f>
        <v>118446.92500000005</v>
      </c>
      <c r="AG118" s="351">
        <f>IFERROR((Tableau1315[[#This Row],[TOTAL BN+1]]-Tableau1315[[#This Row],[TOTAL LE3]])/Tableau1315[[#This Row],[TOTAL LE3]],"")</f>
        <v>-0.21639161047402786</v>
      </c>
    </row>
    <row r="119" spans="1:34" hidden="1">
      <c r="A119" s="463" t="s">
        <v>529</v>
      </c>
      <c r="B119" s="464" t="str">
        <f>VLOOKUP(Tableau1315[[#This Row],[PARCS]],Tableau106[],3,FALSE)</f>
        <v>A540</v>
      </c>
      <c r="C119" s="464" t="str">
        <f>VLOOKUP(Tableau1315[[#This Row],[PARCS]],Tableau106[],2,FALSE)</f>
        <v>FR80E01E</v>
      </c>
      <c r="D119" s="465" t="str">
        <f>VLOOKUP(Tableau1315[[#This Row],[PARCS]],Tableau106[],8,FALSE)</f>
        <v>EOLIEN</v>
      </c>
      <c r="E119" s="465" t="str">
        <f>VLOOKUP(A119,Tableau106[[#Headers],[#Data]],6,FALSE)</f>
        <v>N</v>
      </c>
      <c r="F119" s="466" t="str">
        <f>VLOOKUP(Tableau1315[[#This Row],[PARCS]],Tableau106[],5,FALSE)</f>
        <v>NURL</v>
      </c>
      <c r="G119" s="464" t="str">
        <f>VLOOKUP(Tableau1315[[#This Row],[PARCS]],Tableau106[],7,FALSE)</f>
        <v>EGM</v>
      </c>
      <c r="H119" s="464" t="str">
        <f>VLOOKUP(Tableau1315[[#This Row],[PARCS]],Tableau106[],9,FALSE)</f>
        <v>NoS</v>
      </c>
      <c r="I119" s="350">
        <f>IFERROR(VLOOKUP(Tableau1315[[#This Row],[PARCS]],Tableau15[],10,FALSE),"")</f>
        <v>-205342.87687010149</v>
      </c>
      <c r="J119" s="20">
        <f>IFERROR(VLOOKUP(Tableau1315[[#This Row],[PARCS]],Tableau15[],18,FALSE),"")</f>
        <v>-37255.026455026455</v>
      </c>
      <c r="K119" s="252">
        <f>IFERROR(VLOOKUP(Tableau1315[[#This Row],[PARCS]],Tableau15[],19,FALSE),"")</f>
        <v>0</v>
      </c>
      <c r="L119" s="20">
        <f>IFERROR(VLOOKUP(Tableau1315[[#This Row],[PARCS]],Tableau15[],28,FALSE),"")</f>
        <v>-5000</v>
      </c>
      <c r="M119" s="252">
        <f>IFERROR(VLOOKUP(Tableau1315[[#This Row],[PARCS]],Tableau15[],36,FALSE),"")</f>
        <v>0</v>
      </c>
      <c r="N119" s="252">
        <f>IFERROR(VLOOKUP(Tableau1315[[#This Row],[PARCS]],Tableau15[],37,FALSE),"")</f>
        <v>0</v>
      </c>
      <c r="O119" s="467">
        <f>SUM(Tableau1315[[#This Row],[CONTRAT O&amp;M FORFAIT GROUPE]:[CHARGES exceptionnels (BONUS, sinistres)]])</f>
        <v>-247597.90332512796</v>
      </c>
      <c r="P119" s="354">
        <f>VLOOKUP(Tableau1315[[#This Row],[PARCS]],Tableau16[],10,FALSE)</f>
        <v>-206499</v>
      </c>
      <c r="Q119" s="252">
        <f>VLOOKUP(Tableau1315[[#This Row],[PARCS]],Tableau16[],18,FALSE)</f>
        <v>-216800</v>
      </c>
      <c r="R119" s="252">
        <f>VLOOKUP(Tableau1315[[#This Row],[PARCS]],Tableau16[],19,FALSE)</f>
        <v>0</v>
      </c>
      <c r="S119" s="252">
        <f>VLOOKUP(Tableau1315[[#This Row],[PARCS]],Tableau16[],28,FALSE)</f>
        <v>-6240</v>
      </c>
      <c r="T119" s="252">
        <f>VLOOKUP(Tableau1315[[#This Row],[PARCS]],Tableau16[],36,FALSE)</f>
        <v>0</v>
      </c>
      <c r="U119" s="252">
        <f>VLOOKUP(Tableau1315[[#This Row],[PARCS]],Tableau16[],37,FALSE)</f>
        <v>0</v>
      </c>
      <c r="V119" s="467">
        <f>SUM(Tableau1315[[#This Row],[CONTRAT O&amp;M FORFAIT GROUPE2]:[CHARGES exceptionnels (BONUS, sinistres)7]])</f>
        <v>-429539</v>
      </c>
      <c r="W119" s="354">
        <f>VLOOKUP(Tableau1315[[#This Row],[PARCS]],Tableau17[],10,FALSE)</f>
        <v>-211661.47499999998</v>
      </c>
      <c r="X119" s="252">
        <f>VLOOKUP(Tableau1315[[#This Row],[PARCS]],Tableau17[],18,FALSE)</f>
        <v>-124800</v>
      </c>
      <c r="Y119" s="252">
        <f>VLOOKUP(Tableau1315[[#This Row],[PARCS]],Tableau17[],19,FALSE)</f>
        <v>0</v>
      </c>
      <c r="Z119" s="252">
        <f>VLOOKUP(Tableau1315[[#This Row],[PARCS]],Tableau17[],28,FALSE)</f>
        <v>-3408</v>
      </c>
      <c r="AA119" s="252">
        <f>VLOOKUP(Tableau1315[[#This Row],[PARCS]],Tableau17[],36,FALSE)</f>
        <v>0</v>
      </c>
      <c r="AB119" s="252">
        <f>VLOOKUP(Tableau1315[[#This Row],[PARCS]],Tableau17[],37,FALSE)</f>
        <v>0</v>
      </c>
      <c r="AC119" s="468">
        <f>SUM(Tableau1315[[#This Row],[CONTRAT O&amp;M FORFAIT GROUPE22]:[CHARGES exceptionnels (BONUS, sinistres)77]])</f>
        <v>-339869.47499999998</v>
      </c>
      <c r="AD119" s="252">
        <f>Tableau1315[[#This Row],[TOTAL LE3]]-Tableau1315[[#This Row],[TOTAL BN-1]]</f>
        <v>-181941.09667487204</v>
      </c>
      <c r="AE119" s="351">
        <f>IFERROR((Tableau1315[[#This Row],[TOTAL LE3]]-Tableau1315[[#This Row],[TOTAL BN-1]])/Tableau1315[[#This Row],[TOTAL BN-1]],"")</f>
        <v>0.73482486818945281</v>
      </c>
      <c r="AF119" s="252">
        <f>Tableau1315[[#This Row],[TOTAL BN+1]]-Tableau1315[[#This Row],[TOTAL LE3]]</f>
        <v>89669.525000000023</v>
      </c>
      <c r="AG119" s="351">
        <f>IFERROR((Tableau1315[[#This Row],[TOTAL BN+1]]-Tableau1315[[#This Row],[TOTAL LE3]])/Tableau1315[[#This Row],[TOTAL LE3]],"")</f>
        <v>-0.20875758662193661</v>
      </c>
    </row>
    <row r="120" spans="1:34" hidden="1">
      <c r="A120" s="463" t="s">
        <v>615</v>
      </c>
      <c r="B120" s="464" t="str">
        <f>VLOOKUP(Tableau1315[[#This Row],[PARCS]],Tableau106[],3,FALSE)</f>
        <v>A391</v>
      </c>
      <c r="C120" s="464" t="str">
        <f>VLOOKUP(Tableau1315[[#This Row],[PARCS]],Tableau106[],2,FALSE)</f>
        <v>FR54S01E</v>
      </c>
      <c r="D120" s="465" t="str">
        <f>VLOOKUP(Tableau1315[[#This Row],[PARCS]],Tableau106[],8,FALSE)</f>
        <v>SOLAIRE</v>
      </c>
      <c r="E120" s="465" t="str">
        <f>VLOOKUP(A120,Tableau106[[#Headers],[#Data]],6,FALSE)</f>
        <v>S</v>
      </c>
      <c r="F120" s="466" t="str">
        <f>VLOOKUP(Tableau1315[[#This Row],[PARCS]],Tableau106[],5,FALSE)</f>
        <v>TOUL</v>
      </c>
      <c r="G120" s="464" t="str">
        <f>VLOOKUP(Tableau1315[[#This Row],[PARCS]],Tableau106[],7,FALSE)</f>
        <v>GROUPE</v>
      </c>
      <c r="H120" s="464" t="str">
        <f>VLOOKUP(Tableau1315[[#This Row],[PARCS]],Tableau106[],9,FALSE)</f>
        <v>LoG</v>
      </c>
      <c r="I120" s="350">
        <f>IFERROR(VLOOKUP(Tableau1315[[#This Row],[PARCS]],Tableau15[],10,FALSE),"")</f>
        <v>-1101533.7</v>
      </c>
      <c r="J120" s="20">
        <f>IFERROR(VLOOKUP(Tableau1315[[#This Row],[PARCS]],Tableau15[],18,FALSE),"")</f>
        <v>-5000</v>
      </c>
      <c r="K120" s="252">
        <f>IFERROR(VLOOKUP(Tableau1315[[#This Row],[PARCS]],Tableau15[],19,FALSE),"")</f>
        <v>-132353</v>
      </c>
      <c r="L120" s="20">
        <f>IFERROR(VLOOKUP(Tableau1315[[#This Row],[PARCS]],Tableau15[],28,FALSE),"")</f>
        <v>-62800</v>
      </c>
      <c r="M120" s="252">
        <f>IFERROR(VLOOKUP(Tableau1315[[#This Row],[PARCS]],Tableau15[],36,FALSE),"")</f>
        <v>-8000</v>
      </c>
      <c r="N120" s="252">
        <f>IFERROR(VLOOKUP(Tableau1315[[#This Row],[PARCS]],Tableau15[],37,FALSE),"")</f>
        <v>0</v>
      </c>
      <c r="O120" s="467">
        <f>SUM(Tableau1315[[#This Row],[CONTRAT O&amp;M FORFAIT GROUPE]:[CHARGES exceptionnels (BONUS, sinistres)]])</f>
        <v>-1309686.7</v>
      </c>
      <c r="P120" s="354">
        <f>VLOOKUP(Tableau1315[[#This Row],[PARCS]],Tableau16[],10,FALSE)</f>
        <v>-1137734</v>
      </c>
      <c r="Q120" s="252">
        <f>VLOOKUP(Tableau1315[[#This Row],[PARCS]],Tableau16[],18,FALSE)</f>
        <v>-93532.5</v>
      </c>
      <c r="R120" s="252">
        <f>VLOOKUP(Tableau1315[[#This Row],[PARCS]],Tableau16[],19,FALSE)</f>
        <v>0</v>
      </c>
      <c r="S120" s="252">
        <f>VLOOKUP(Tableau1315[[#This Row],[PARCS]],Tableau16[],28,FALSE)</f>
        <v>-87932.5</v>
      </c>
      <c r="T120" s="252">
        <f>VLOOKUP(Tableau1315[[#This Row],[PARCS]],Tableau16[],36,FALSE)</f>
        <v>-8000</v>
      </c>
      <c r="U120" s="252">
        <f>VLOOKUP(Tableau1315[[#This Row],[PARCS]],Tableau16[],37,FALSE)</f>
        <v>0</v>
      </c>
      <c r="V120" s="467">
        <f>SUM(Tableau1315[[#This Row],[CONTRAT O&amp;M FORFAIT GROUPE2]:[CHARGES exceptionnels (BONUS, sinistres)7]])</f>
        <v>-1327199</v>
      </c>
      <c r="W120" s="354">
        <f>VLOOKUP(Tableau1315[[#This Row],[PARCS]],Tableau17[],10,FALSE)</f>
        <v>-1166177.3499999999</v>
      </c>
      <c r="X120" s="252">
        <f>VLOOKUP(Tableau1315[[#This Row],[PARCS]],Tableau17[],18,FALSE)</f>
        <v>-67812.5</v>
      </c>
      <c r="Y120" s="252">
        <f>VLOOKUP(Tableau1315[[#This Row],[PARCS]],Tableau17[],19,FALSE)</f>
        <v>0</v>
      </c>
      <c r="Z120" s="252">
        <f>VLOOKUP(Tableau1315[[#This Row],[PARCS]],Tableau17[],28,FALSE)</f>
        <v>-100732.5</v>
      </c>
      <c r="AA120" s="252">
        <f>VLOOKUP(Tableau1315[[#This Row],[PARCS]],Tableau17[],36,FALSE)</f>
        <v>-33000</v>
      </c>
      <c r="AB120" s="252">
        <f>VLOOKUP(Tableau1315[[#This Row],[PARCS]],Tableau17[],37,FALSE)</f>
        <v>0</v>
      </c>
      <c r="AC120" s="468">
        <f>SUM(Tableau1315[[#This Row],[CONTRAT O&amp;M FORFAIT GROUPE22]:[CHARGES exceptionnels (BONUS, sinistres)77]])</f>
        <v>-1367722.3499999999</v>
      </c>
      <c r="AD120" s="252">
        <f>Tableau1315[[#This Row],[TOTAL LE3]]-Tableau1315[[#This Row],[TOTAL BN-1]]</f>
        <v>-17512.300000000047</v>
      </c>
      <c r="AE120" s="351">
        <f>IFERROR((Tableau1315[[#This Row],[TOTAL LE3]]-Tableau1315[[#This Row],[TOTAL BN-1]])/Tableau1315[[#This Row],[TOTAL BN-1]],"")</f>
        <v>1.3371365838868218E-2</v>
      </c>
      <c r="AF120" s="252">
        <f>Tableau1315[[#This Row],[TOTAL BN+1]]-Tableau1315[[#This Row],[TOTAL LE3]]</f>
        <v>-40523.34999999986</v>
      </c>
      <c r="AG120" s="351">
        <f>IFERROR((Tableau1315[[#This Row],[TOTAL BN+1]]-Tableau1315[[#This Row],[TOTAL LE3]])/Tableau1315[[#This Row],[TOTAL LE3]],"")</f>
        <v>3.0532987140586949E-2</v>
      </c>
      <c r="AH120" s="6" t="s">
        <v>755</v>
      </c>
    </row>
    <row r="121" spans="1:34" hidden="1">
      <c r="A121" s="463" t="s">
        <v>286</v>
      </c>
      <c r="B121" s="464" t="str">
        <f>VLOOKUP(Tableau1315[[#This Row],[PARCS]],Tableau106[],3,FALSE)</f>
        <v>A539</v>
      </c>
      <c r="C121" s="464" t="str">
        <f>VLOOKUP(Tableau1315[[#This Row],[PARCS]],Tableau106[],2,FALSE)</f>
        <v>FR11E87E</v>
      </c>
      <c r="D121" s="465" t="str">
        <f>VLOOKUP(Tableau1315[[#This Row],[PARCS]],Tableau106[],8,FALSE)</f>
        <v>EOLIEN</v>
      </c>
      <c r="E121" s="465" t="str">
        <f>VLOOKUP(A121,Tableau106[[#Headers],[#Data]],6,FALSE)</f>
        <v>S</v>
      </c>
      <c r="F121" s="466" t="str">
        <f>VLOOKUP(Tableau1315[[#This Row],[PARCS]],Tableau106[],5,FALSE)</f>
        <v>POUZ</v>
      </c>
      <c r="G121" s="464" t="str">
        <f>VLOOKUP(Tableau1315[[#This Row],[PARCS]],Tableau106[],7,FALSE)</f>
        <v>GROUPE</v>
      </c>
      <c r="H121" s="464" t="str">
        <f>VLOOKUP(Tableau1315[[#This Row],[PARCS]],Tableau106[],9,FALSE)</f>
        <v>SaH</v>
      </c>
      <c r="I121" s="350">
        <f>IFERROR(VLOOKUP(Tableau1315[[#This Row],[PARCS]],Tableau15[],10,FALSE),"")</f>
        <v>-235902.54</v>
      </c>
      <c r="J121" s="20">
        <f>IFERROR(VLOOKUP(Tableau1315[[#This Row],[PARCS]],Tableau15[],18,FALSE),"")</f>
        <v>-6885</v>
      </c>
      <c r="K121" s="252">
        <f>IFERROR(VLOOKUP(Tableau1315[[#This Row],[PARCS]],Tableau15[],19,FALSE),"")</f>
        <v>0</v>
      </c>
      <c r="L121" s="20">
        <f>IFERROR(VLOOKUP(Tableau1315[[#This Row],[PARCS]],Tableau15[],28,FALSE),"")</f>
        <v>-17550</v>
      </c>
      <c r="M121" s="252">
        <f>IFERROR(VLOOKUP(Tableau1315[[#This Row],[PARCS]],Tableau15[],36,FALSE),"")</f>
        <v>-40000</v>
      </c>
      <c r="N121" s="252">
        <f>IFERROR(VLOOKUP(Tableau1315[[#This Row],[PARCS]],Tableau15[],37,FALSE),"")</f>
        <v>0</v>
      </c>
      <c r="O121" s="467">
        <f>SUM(Tableau1315[[#This Row],[CONTRAT O&amp;M FORFAIT GROUPE]:[CHARGES exceptionnels (BONUS, sinistres)]])</f>
        <v>-300337.54000000004</v>
      </c>
      <c r="P121" s="354">
        <f>VLOOKUP(Tableau1315[[#This Row],[PARCS]],Tableau16[],10,FALSE)</f>
        <v>-244494</v>
      </c>
      <c r="Q121" s="252">
        <f>VLOOKUP(Tableau1315[[#This Row],[PARCS]],Tableau16[],18,FALSE)</f>
        <v>-25969</v>
      </c>
      <c r="R121" s="252">
        <f>VLOOKUP(Tableau1315[[#This Row],[PARCS]],Tableau16[],19,FALSE)</f>
        <v>0</v>
      </c>
      <c r="S121" s="252">
        <f>VLOOKUP(Tableau1315[[#This Row],[PARCS]],Tableau16[],28,FALSE)</f>
        <v>-31275</v>
      </c>
      <c r="T121" s="252">
        <f>VLOOKUP(Tableau1315[[#This Row],[PARCS]],Tableau16[],36,FALSE)</f>
        <v>-29495.599999999999</v>
      </c>
      <c r="U121" s="252">
        <f>VLOOKUP(Tableau1315[[#This Row],[PARCS]],Tableau16[],37,FALSE)</f>
        <v>0</v>
      </c>
      <c r="V121" s="467">
        <f>SUM(Tableau1315[[#This Row],[CONTRAT O&amp;M FORFAIT GROUPE2]:[CHARGES exceptionnels (BONUS, sinistres)7]])</f>
        <v>-331233.59999999998</v>
      </c>
      <c r="W121" s="354">
        <f>VLOOKUP(Tableau1315[[#This Row],[PARCS]],Tableau17[],10,FALSE)</f>
        <v>-260606.34999999998</v>
      </c>
      <c r="X121" s="252">
        <f>VLOOKUP(Tableau1315[[#This Row],[PARCS]],Tableau17[],18,FALSE)</f>
        <v>-17190</v>
      </c>
      <c r="Y121" s="252">
        <f>VLOOKUP(Tableau1315[[#This Row],[PARCS]],Tableau17[],19,FALSE)</f>
        <v>0</v>
      </c>
      <c r="Z121" s="252">
        <f>VLOOKUP(Tableau1315[[#This Row],[PARCS]],Tableau17[],28,FALSE)</f>
        <v>-7275</v>
      </c>
      <c r="AA121" s="252">
        <f>VLOOKUP(Tableau1315[[#This Row],[PARCS]],Tableau17[],36,FALSE)</f>
        <v>-48825</v>
      </c>
      <c r="AB121" s="252">
        <f>VLOOKUP(Tableau1315[[#This Row],[PARCS]],Tableau17[],37,FALSE)</f>
        <v>0</v>
      </c>
      <c r="AC121" s="468">
        <f>SUM(Tableau1315[[#This Row],[CONTRAT O&amp;M FORFAIT GROUPE22]:[CHARGES exceptionnels (BONUS, sinistres)77]])</f>
        <v>-333896.34999999998</v>
      </c>
      <c r="AD121" s="252">
        <f>Tableau1315[[#This Row],[TOTAL LE3]]-Tableau1315[[#This Row],[TOTAL BN-1]]</f>
        <v>-30896.059999999939</v>
      </c>
      <c r="AE121" s="351">
        <f>IFERROR((Tableau1315[[#This Row],[TOTAL LE3]]-Tableau1315[[#This Row],[TOTAL BN-1]])/Tableau1315[[#This Row],[TOTAL BN-1]],"")</f>
        <v>0.10287112293721236</v>
      </c>
      <c r="AF121" s="252">
        <f>Tableau1315[[#This Row],[TOTAL BN+1]]-Tableau1315[[#This Row],[TOTAL LE3]]</f>
        <v>-2662.75</v>
      </c>
      <c r="AG121" s="351">
        <f>IFERROR((Tableau1315[[#This Row],[TOTAL BN+1]]-Tableau1315[[#This Row],[TOTAL LE3]])/Tableau1315[[#This Row],[TOTAL LE3]],"")</f>
        <v>8.0388885668603669E-3</v>
      </c>
      <c r="AH121" s="6" t="s">
        <v>756</v>
      </c>
    </row>
    <row r="122" spans="1:34" hidden="1">
      <c r="A122" s="463" t="s">
        <v>492</v>
      </c>
      <c r="B122" s="464" t="str">
        <f>VLOOKUP(Tableau1315[[#This Row],[PARCS]],Tableau106[],3,FALSE)</f>
        <v>A540</v>
      </c>
      <c r="C122" s="464" t="str">
        <f>VLOOKUP(Tableau1315[[#This Row],[PARCS]],Tableau106[],2,FALSE)</f>
        <v>FR79E01E</v>
      </c>
      <c r="D122" s="465" t="str">
        <f>VLOOKUP(Tableau1315[[#This Row],[PARCS]],Tableau106[],8,FALSE)</f>
        <v>EOLIEN</v>
      </c>
      <c r="E122" s="465" t="str">
        <f>VLOOKUP(A122,Tableau106[[#Headers],[#Data]],6,FALSE)</f>
        <v>N</v>
      </c>
      <c r="F122" s="466" t="str">
        <f>VLOOKUP(Tableau1315[[#This Row],[PARCS]],Tableau106[],5,FALSE)</f>
        <v>PAMP</v>
      </c>
      <c r="G122" s="464" t="str">
        <f>VLOOKUP(Tableau1315[[#This Row],[PARCS]],Tableau106[],7,FALSE)</f>
        <v>EGM</v>
      </c>
      <c r="H122" s="464" t="str">
        <f>VLOOKUP(Tableau1315[[#This Row],[PARCS]],Tableau106[],9,FALSE)</f>
        <v>DeN</v>
      </c>
      <c r="I122" s="350">
        <f>IFERROR(VLOOKUP(Tableau1315[[#This Row],[PARCS]],Tableau15[],10,FALSE),"")</f>
        <v>-256678.59608762685</v>
      </c>
      <c r="J122" s="20">
        <f>IFERROR(VLOOKUP(Tableau1315[[#This Row],[PARCS]],Tableau15[],18,FALSE),"")</f>
        <v>-55882.539682539682</v>
      </c>
      <c r="K122" s="252">
        <f>IFERROR(VLOOKUP(Tableau1315[[#This Row],[PARCS]],Tableau15[],19,FALSE),"")</f>
        <v>0</v>
      </c>
      <c r="L122" s="20">
        <f>IFERROR(VLOOKUP(Tableau1315[[#This Row],[PARCS]],Tableau15[],28,FALSE),"")</f>
        <v>-8000</v>
      </c>
      <c r="M122" s="252">
        <f>IFERROR(VLOOKUP(Tableau1315[[#This Row],[PARCS]],Tableau15[],36,FALSE),"")</f>
        <v>-11652</v>
      </c>
      <c r="N122" s="252">
        <f>IFERROR(VLOOKUP(Tableau1315[[#This Row],[PARCS]],Tableau15[],37,FALSE),"")</f>
        <v>0</v>
      </c>
      <c r="O122" s="467">
        <f>SUM(Tableau1315[[#This Row],[CONTRAT O&amp;M FORFAIT GROUPE]:[CHARGES exceptionnels (BONUS, sinistres)]])</f>
        <v>-332213.13577016653</v>
      </c>
      <c r="P122" s="354">
        <f>VLOOKUP(Tableau1315[[#This Row],[PARCS]],Tableau16[],10,FALSE)</f>
        <v>-258123</v>
      </c>
      <c r="Q122" s="252">
        <f>VLOOKUP(Tableau1315[[#This Row],[PARCS]],Tableau16[],18,FALSE)</f>
        <v>-173700</v>
      </c>
      <c r="R122" s="252">
        <f>VLOOKUP(Tableau1315[[#This Row],[PARCS]],Tableau16[],19,FALSE)</f>
        <v>0</v>
      </c>
      <c r="S122" s="252">
        <f>VLOOKUP(Tableau1315[[#This Row],[PARCS]],Tableau16[],28,FALSE)</f>
        <v>-9170</v>
      </c>
      <c r="T122" s="252">
        <f>VLOOKUP(Tableau1315[[#This Row],[PARCS]],Tableau16[],36,FALSE)</f>
        <v>-38465.410000000003</v>
      </c>
      <c r="U122" s="252">
        <f>VLOOKUP(Tableau1315[[#This Row],[PARCS]],Tableau16[],37,FALSE)</f>
        <v>0</v>
      </c>
      <c r="V122" s="467">
        <f>SUM(Tableau1315[[#This Row],[CONTRAT O&amp;M FORFAIT GROUPE2]:[CHARGES exceptionnels (BONUS, sinistres)7]])</f>
        <v>-479458.41000000003</v>
      </c>
      <c r="W122" s="354">
        <f>VLOOKUP(Tableau1315[[#This Row],[PARCS]],Tableau17[],10,FALSE)</f>
        <v>-264576.07499999995</v>
      </c>
      <c r="X122" s="252">
        <f>VLOOKUP(Tableau1315[[#This Row],[PARCS]],Tableau17[],18,FALSE)</f>
        <v>-157200</v>
      </c>
      <c r="Y122" s="252">
        <f>VLOOKUP(Tableau1315[[#This Row],[PARCS]],Tableau17[],19,FALSE)</f>
        <v>0</v>
      </c>
      <c r="Z122" s="252">
        <f>VLOOKUP(Tableau1315[[#This Row],[PARCS]],Tableau17[],28,FALSE)</f>
        <v>-5000</v>
      </c>
      <c r="AA122" s="252">
        <f>VLOOKUP(Tableau1315[[#This Row],[PARCS]],Tableau17[],36,FALSE)</f>
        <v>-11652</v>
      </c>
      <c r="AB122" s="252">
        <f>VLOOKUP(Tableau1315[[#This Row],[PARCS]],Tableau17[],37,FALSE)</f>
        <v>0</v>
      </c>
      <c r="AC122" s="468">
        <f>SUM(Tableau1315[[#This Row],[CONTRAT O&amp;M FORFAIT GROUPE22]:[CHARGES exceptionnels (BONUS, sinistres)77]])</f>
        <v>-438428.07499999995</v>
      </c>
      <c r="AD122" s="252">
        <f>Tableau1315[[#This Row],[TOTAL LE3]]-Tableau1315[[#This Row],[TOTAL BN-1]]</f>
        <v>-147245.27422983351</v>
      </c>
      <c r="AE122" s="351">
        <f>IFERROR((Tableau1315[[#This Row],[TOTAL LE3]]-Tableau1315[[#This Row],[TOTAL BN-1]])/Tableau1315[[#This Row],[TOTAL BN-1]],"")</f>
        <v>0.4432253224679879</v>
      </c>
      <c r="AF122" s="252">
        <f>Tableau1315[[#This Row],[TOTAL BN+1]]-Tableau1315[[#This Row],[TOTAL LE3]]</f>
        <v>41030.335000000079</v>
      </c>
      <c r="AG122" s="351">
        <f>IFERROR((Tableau1315[[#This Row],[TOTAL BN+1]]-Tableau1315[[#This Row],[TOTAL LE3]])/Tableau1315[[#This Row],[TOTAL LE3]],"")</f>
        <v>-8.5576421529450442E-2</v>
      </c>
    </row>
    <row r="123" spans="1:34" hidden="1">
      <c r="A123" s="463" t="s">
        <v>534</v>
      </c>
      <c r="B123" s="464" t="str">
        <f>VLOOKUP(Tableau1315[[#This Row],[PARCS]],Tableau106[],3,FALSE)</f>
        <v>A418</v>
      </c>
      <c r="C123" s="464" t="str">
        <f>VLOOKUP(Tableau1315[[#This Row],[PARCS]],Tableau106[],2,FALSE)</f>
        <v>FR51E08E</v>
      </c>
      <c r="D123" s="465" t="str">
        <f>VLOOKUP(Tableau1315[[#This Row],[PARCS]],Tableau106[],8,FALSE)</f>
        <v>EOLIEN</v>
      </c>
      <c r="E123" s="465" t="str">
        <f>VLOOKUP(A123,Tableau106[[#Headers],[#Data]],6,FALSE)</f>
        <v>N</v>
      </c>
      <c r="F123" s="466" t="str">
        <f>VLOOKUP(Tableau1315[[#This Row],[PARCS]],Tableau106[],5,FALSE)</f>
        <v>PAAN</v>
      </c>
      <c r="G123" s="464" t="str">
        <f>VLOOKUP(Tableau1315[[#This Row],[PARCS]],Tableau106[],7,FALSE)</f>
        <v>GROUPE</v>
      </c>
      <c r="H123" s="464" t="str">
        <f>VLOOKUP(Tableau1315[[#This Row],[PARCS]],Tableau106[],9,FALSE)</f>
        <v>AlY</v>
      </c>
      <c r="I123" s="350">
        <f>IFERROR(VLOOKUP(Tableau1315[[#This Row],[PARCS]],Tableau15[],10,FALSE),"")</f>
        <v>-368698.91040000005</v>
      </c>
      <c r="J123" s="20">
        <f>IFERROR(VLOOKUP(Tableau1315[[#This Row],[PARCS]],Tableau15[],18,FALSE),"")</f>
        <v>-29160</v>
      </c>
      <c r="K123" s="252">
        <f>IFERROR(VLOOKUP(Tableau1315[[#This Row],[PARCS]],Tableau15[],19,FALSE),"")</f>
        <v>0</v>
      </c>
      <c r="L123" s="20">
        <f>IFERROR(VLOOKUP(Tableau1315[[#This Row],[PARCS]],Tableau15[],28,FALSE),"")</f>
        <v>-11286</v>
      </c>
      <c r="M123" s="252">
        <f>IFERROR(VLOOKUP(Tableau1315[[#This Row],[PARCS]],Tableau15[],36,FALSE),"")</f>
        <v>-24960</v>
      </c>
      <c r="N123" s="252">
        <f>IFERROR(VLOOKUP(Tableau1315[[#This Row],[PARCS]],Tableau15[],37,FALSE),"")</f>
        <v>0</v>
      </c>
      <c r="O123" s="467">
        <f>SUM(Tableau1315[[#This Row],[CONTRAT O&amp;M FORFAIT GROUPE]:[CHARGES exceptionnels (BONUS, sinistres)]])</f>
        <v>-434104.91040000005</v>
      </c>
      <c r="P123" s="354">
        <f>VLOOKUP(Tableau1315[[#This Row],[PARCS]],Tableau16[],10,FALSE)</f>
        <v>-313522.95591000002</v>
      </c>
      <c r="Q123" s="252">
        <f>VLOOKUP(Tableau1315[[#This Row],[PARCS]],Tableau16[],18,FALSE)</f>
        <v>-20404</v>
      </c>
      <c r="R123" s="252">
        <f>VLOOKUP(Tableau1315[[#This Row],[PARCS]],Tableau16[],19,FALSE)</f>
        <v>0</v>
      </c>
      <c r="S123" s="252">
        <f>VLOOKUP(Tableau1315[[#This Row],[PARCS]],Tableau16[],28,FALSE)</f>
        <v>-32721</v>
      </c>
      <c r="T123" s="252">
        <f>VLOOKUP(Tableau1315[[#This Row],[PARCS]],Tableau16[],36,FALSE)</f>
        <v>-12960</v>
      </c>
      <c r="U123" s="252">
        <f>VLOOKUP(Tableau1315[[#This Row],[PARCS]],Tableau16[],37,FALSE)</f>
        <v>0</v>
      </c>
      <c r="V123" s="467">
        <f>SUM(Tableau1315[[#This Row],[CONTRAT O&amp;M FORFAIT GROUPE2]:[CHARGES exceptionnels (BONUS, sinistres)7]])</f>
        <v>-379607.95591000002</v>
      </c>
      <c r="W123" s="354">
        <f>VLOOKUP(Tableau1315[[#This Row],[PARCS]],Tableau17[],10,FALSE)</f>
        <v>-321361.02980775002</v>
      </c>
      <c r="X123" s="252">
        <f>VLOOKUP(Tableau1315[[#This Row],[PARCS]],Tableau17[],18,FALSE)</f>
        <v>-20544</v>
      </c>
      <c r="Y123" s="252">
        <f>VLOOKUP(Tableau1315[[#This Row],[PARCS]],Tableau17[],19,FALSE)</f>
        <v>0</v>
      </c>
      <c r="Z123" s="252">
        <f>VLOOKUP(Tableau1315[[#This Row],[PARCS]],Tableau17[],28,FALSE)</f>
        <v>-125900</v>
      </c>
      <c r="AA123" s="252">
        <f>VLOOKUP(Tableau1315[[#This Row],[PARCS]],Tableau17[],36,FALSE)</f>
        <v>-18007.099999999999</v>
      </c>
      <c r="AB123" s="252">
        <f>VLOOKUP(Tableau1315[[#This Row],[PARCS]],Tableau17[],37,FALSE)</f>
        <v>0</v>
      </c>
      <c r="AC123" s="468">
        <f>SUM(Tableau1315[[#This Row],[CONTRAT O&amp;M FORFAIT GROUPE22]:[CHARGES exceptionnels (BONUS, sinistres)77]])</f>
        <v>-485812.12980775</v>
      </c>
      <c r="AD123" s="252">
        <f>Tableau1315[[#This Row],[TOTAL LE3]]-Tableau1315[[#This Row],[TOTAL BN-1]]</f>
        <v>54496.954490000033</v>
      </c>
      <c r="AE123" s="351">
        <f>IFERROR((Tableau1315[[#This Row],[TOTAL LE3]]-Tableau1315[[#This Row],[TOTAL BN-1]])/Tableau1315[[#This Row],[TOTAL BN-1]],"")</f>
        <v>-0.12553867322022355</v>
      </c>
      <c r="AF123" s="252">
        <f>Tableau1315[[#This Row],[TOTAL BN+1]]-Tableau1315[[#This Row],[TOTAL LE3]]</f>
        <v>-106204.17389774998</v>
      </c>
      <c r="AG123" s="351">
        <f>IFERROR((Tableau1315[[#This Row],[TOTAL BN+1]]-Tableau1315[[#This Row],[TOTAL LE3]])/Tableau1315[[#This Row],[TOTAL LE3]],"")</f>
        <v>0.27977330886850427</v>
      </c>
    </row>
    <row r="124" spans="1:34" hidden="1">
      <c r="A124" s="463" t="s">
        <v>559</v>
      </c>
      <c r="B124" s="464" t="str">
        <f>VLOOKUP(Tableau1315[[#This Row],[PARCS]],Tableau106[],3,FALSE)</f>
        <v>A960</v>
      </c>
      <c r="C124" s="464" t="str">
        <f>VLOOKUP(Tableau1315[[#This Row],[PARCS]],Tableau106[],2,FALSE)</f>
        <v>FRD1E01E</v>
      </c>
      <c r="D124" s="465" t="str">
        <f>VLOOKUP(Tableau1315[[#This Row],[PARCS]],Tableau106[],8,FALSE)</f>
        <v>EOLIEN DOM</v>
      </c>
      <c r="E124" s="465" t="str">
        <f>VLOOKUP(A124,Tableau106[[#Headers],[#Data]],6,FALSE)</f>
        <v>DOM</v>
      </c>
      <c r="F124" s="466" t="str">
        <f>VLOOKUP(Tableau1315[[#This Row],[PARCS]],Tableau106[],5,FALSE)</f>
        <v>PCR1</v>
      </c>
      <c r="G124" s="464" t="str">
        <f>VLOOKUP(Tableau1315[[#This Row],[PARCS]],Tableau106[],7,FALSE)</f>
        <v>GROUPE</v>
      </c>
      <c r="H124" s="464" t="str">
        <f>VLOOKUP(Tableau1315[[#This Row],[PARCS]],Tableau106[],9,FALSE)</f>
        <v>DoJ</v>
      </c>
      <c r="I124" s="350">
        <f>IFERROR(VLOOKUP(Tableau1315[[#This Row],[PARCS]],Tableau15[],10,FALSE),"")</f>
        <v>0</v>
      </c>
      <c r="J124" s="20">
        <f>IFERROR(VLOOKUP(Tableau1315[[#This Row],[PARCS]],Tableau15[],18,FALSE),"")</f>
        <v>-9000</v>
      </c>
      <c r="K124" s="252">
        <f>IFERROR(VLOOKUP(Tableau1315[[#This Row],[PARCS]],Tableau15[],19,FALSE),"")</f>
        <v>-513122.4</v>
      </c>
      <c r="L124" s="20">
        <f>IFERROR(VLOOKUP(Tableau1315[[#This Row],[PARCS]],Tableau15[],28,FALSE),"")</f>
        <v>-85200</v>
      </c>
      <c r="M124" s="252">
        <f>IFERROR(VLOOKUP(Tableau1315[[#This Row],[PARCS]],Tableau15[],36,FALSE),"")</f>
        <v>-65500</v>
      </c>
      <c r="N124" s="252">
        <f>IFERROR(VLOOKUP(Tableau1315[[#This Row],[PARCS]],Tableau15[],37,FALSE),"")</f>
        <v>0</v>
      </c>
      <c r="O124" s="467">
        <f>SUM(Tableau1315[[#This Row],[CONTRAT O&amp;M FORFAIT GROUPE]:[CHARGES exceptionnels (BONUS, sinistres)]])</f>
        <v>-672822.4</v>
      </c>
      <c r="P124" s="354">
        <f>VLOOKUP(Tableau1315[[#This Row],[PARCS]],Tableau16[],10,FALSE)</f>
        <v>0</v>
      </c>
      <c r="Q124" s="252">
        <f>VLOOKUP(Tableau1315[[#This Row],[PARCS]],Tableau16[],18,FALSE)</f>
        <v>-2250</v>
      </c>
      <c r="R124" s="252">
        <f>VLOOKUP(Tableau1315[[#This Row],[PARCS]],Tableau16[],19,FALSE)</f>
        <v>-399213</v>
      </c>
      <c r="S124" s="252">
        <f>VLOOKUP(Tableau1315[[#This Row],[PARCS]],Tableau16[],28,FALSE)</f>
        <v>-108341.774</v>
      </c>
      <c r="T124" s="252">
        <f>VLOOKUP(Tableau1315[[#This Row],[PARCS]],Tableau16[],36,FALSE)</f>
        <v>-5071.72</v>
      </c>
      <c r="U124" s="252">
        <f>VLOOKUP(Tableau1315[[#This Row],[PARCS]],Tableau16[],37,FALSE)</f>
        <v>0</v>
      </c>
      <c r="V124" s="467">
        <f>SUM(Tableau1315[[#This Row],[CONTRAT O&amp;M FORFAIT GROUPE2]:[CHARGES exceptionnels (BONUS, sinistres)7]])</f>
        <v>-514876.49399999995</v>
      </c>
      <c r="W124" s="354">
        <f>VLOOKUP(Tableau1315[[#This Row],[PARCS]],Tableau17[],10,FALSE)</f>
        <v>0</v>
      </c>
      <c r="X124" s="252">
        <f>VLOOKUP(Tableau1315[[#This Row],[PARCS]],Tableau17[],18,FALSE)</f>
        <v>-2250</v>
      </c>
      <c r="Y124" s="252">
        <f>VLOOKUP(Tableau1315[[#This Row],[PARCS]],Tableau17[],19,FALSE)</f>
        <v>-409193.32499999995</v>
      </c>
      <c r="Z124" s="252">
        <f>VLOOKUP(Tableau1315[[#This Row],[PARCS]],Tableau17[],28,FALSE)</f>
        <v>-106889.774</v>
      </c>
      <c r="AA124" s="252">
        <f>VLOOKUP(Tableau1315[[#This Row],[PARCS]],Tableau17[],36,FALSE)</f>
        <v>-10047.099999999999</v>
      </c>
      <c r="AB124" s="252">
        <f>VLOOKUP(Tableau1315[[#This Row],[PARCS]],Tableau17[],37,FALSE)</f>
        <v>0</v>
      </c>
      <c r="AC124" s="468">
        <f>SUM(Tableau1315[[#This Row],[CONTRAT O&amp;M FORFAIT GROUPE22]:[CHARGES exceptionnels (BONUS, sinistres)77]])</f>
        <v>-528380.19899999991</v>
      </c>
      <c r="AD124" s="252">
        <f>Tableau1315[[#This Row],[TOTAL LE3]]-Tableau1315[[#This Row],[TOTAL BN-1]]</f>
        <v>157945.90600000008</v>
      </c>
      <c r="AE124" s="351">
        <f>IFERROR((Tableau1315[[#This Row],[TOTAL LE3]]-Tableau1315[[#This Row],[TOTAL BN-1]])/Tableau1315[[#This Row],[TOTAL BN-1]],"")</f>
        <v>-0.23475125976780808</v>
      </c>
      <c r="AF124" s="252">
        <f>Tableau1315[[#This Row],[TOTAL BN+1]]-Tableau1315[[#This Row],[TOTAL LE3]]</f>
        <v>-13503.704999999958</v>
      </c>
      <c r="AG124" s="351">
        <f>IFERROR((Tableau1315[[#This Row],[TOTAL BN+1]]-Tableau1315[[#This Row],[TOTAL LE3]])/Tableau1315[[#This Row],[TOTAL LE3]],"")</f>
        <v>2.6227076118957492E-2</v>
      </c>
      <c r="AH124" s="6" t="s">
        <v>757</v>
      </c>
    </row>
    <row r="125" spans="1:34" hidden="1">
      <c r="A125" s="463" t="s">
        <v>452</v>
      </c>
      <c r="B125" s="464" t="str">
        <f>VLOOKUP(Tableau1315[[#This Row],[PARCS]],Tableau106[],3,FALSE)</f>
        <v>A896</v>
      </c>
      <c r="C125" s="464" t="str">
        <f>VLOOKUP(Tableau1315[[#This Row],[PARCS]],Tableau106[],2,FALSE)</f>
        <v>FR48E99E</v>
      </c>
      <c r="D125" s="465" t="str">
        <f>VLOOKUP(Tableau1315[[#This Row],[PARCS]],Tableau106[],8,FALSE)</f>
        <v>EOLIEN</v>
      </c>
      <c r="E125" s="465" t="str">
        <f>VLOOKUP(A125,Tableau106[[#Headers],[#Data]],6,FALSE)</f>
        <v>S</v>
      </c>
      <c r="F125" s="466" t="str">
        <f>VLOOKUP(Tableau1315[[#This Row],[PARCS]],Tableau106[],5,FALSE)</f>
        <v>LOPV</v>
      </c>
      <c r="G125" s="464" t="str">
        <f>VLOOKUP(Tableau1315[[#This Row],[PARCS]],Tableau106[],7,FALSE)</f>
        <v>GROUPE</v>
      </c>
      <c r="H125" s="464" t="str">
        <f>VLOOKUP(Tableau1315[[#This Row],[PARCS]],Tableau106[],9,FALSE)</f>
        <v>ThC</v>
      </c>
      <c r="I125" s="350">
        <f>IFERROR(VLOOKUP(Tableau1315[[#This Row],[PARCS]],Tableau15[],10,FALSE),"")</f>
        <v>-25252</v>
      </c>
      <c r="J125" s="20">
        <f>IFERROR(VLOOKUP(Tableau1315[[#This Row],[PARCS]],Tableau15[],18,FALSE),"")</f>
        <v>-20400</v>
      </c>
      <c r="K125" s="252">
        <f>IFERROR(VLOOKUP(Tableau1315[[#This Row],[PARCS]],Tableau15[],19,FALSE),"")</f>
        <v>-221667</v>
      </c>
      <c r="L125" s="20">
        <f>IFERROR(VLOOKUP(Tableau1315[[#This Row],[PARCS]],Tableau15[],28,FALSE),"")</f>
        <v>-104000</v>
      </c>
      <c r="M125" s="252">
        <f>IFERROR(VLOOKUP(Tableau1315[[#This Row],[PARCS]],Tableau15[],36,FALSE),"")</f>
        <v>0</v>
      </c>
      <c r="N125" s="252">
        <f>IFERROR(VLOOKUP(Tableau1315[[#This Row],[PARCS]],Tableau15[],37,FALSE),"")</f>
        <v>0</v>
      </c>
      <c r="O125" s="467">
        <f>SUM(Tableau1315[[#This Row],[CONTRAT O&amp;M FORFAIT GROUPE]:[CHARGES exceptionnels (BONUS, sinistres)]])</f>
        <v>-371319</v>
      </c>
      <c r="P125" s="354">
        <f>VLOOKUP(Tableau1315[[#This Row],[PARCS]],Tableau16[],10,FALSE)</f>
        <v>-14800</v>
      </c>
      <c r="Q125" s="350">
        <f>VLOOKUP(Tableau1315[[#This Row],[PARCS]],Tableau16[],18,FALSE)</f>
        <v>-21610</v>
      </c>
      <c r="R125" s="350">
        <f>VLOOKUP(Tableau1315[[#This Row],[PARCS]],Tableau16[],19,FALSE)</f>
        <v>-287568</v>
      </c>
      <c r="S125" s="20">
        <f>VLOOKUP(Tableau1315[[#This Row],[PARCS]],Tableau16[],28,FALSE)</f>
        <v>-96750</v>
      </c>
      <c r="T125" s="20">
        <f>VLOOKUP(Tableau1315[[#This Row],[PARCS]],Tableau16[],36,FALSE)</f>
        <v>-64200</v>
      </c>
      <c r="U125" s="20">
        <f>VLOOKUP(Tableau1315[[#This Row],[PARCS]],Tableau16[],37,FALSE)</f>
        <v>0</v>
      </c>
      <c r="V125" s="467">
        <f>SUM(Tableau1315[[#This Row],[CONTRAT O&amp;M FORFAIT GROUPE2]:[CHARGES exceptionnels (BONUS, sinistres)7]])</f>
        <v>-484928</v>
      </c>
      <c r="W125" s="354">
        <f>VLOOKUP(Tableau1315[[#This Row],[PARCS]],Tableau17[],10,FALSE)</f>
        <v>-15169.999999999998</v>
      </c>
      <c r="X125" s="350">
        <f>VLOOKUP(Tableau1315[[#This Row],[PARCS]],Tableau17[],18,FALSE)</f>
        <v>-19790</v>
      </c>
      <c r="Y125" s="350">
        <f>VLOOKUP(Tableau1315[[#This Row],[PARCS]],Tableau17[],19,FALSE)</f>
        <v>-294757.19999999995</v>
      </c>
      <c r="Z125" s="350">
        <f>VLOOKUP(Tableau1315[[#This Row],[PARCS]],Tableau17[],28,FALSE)</f>
        <v>-92500</v>
      </c>
      <c r="AA125" s="350">
        <f>VLOOKUP(Tableau1315[[#This Row],[PARCS]],Tableau17[],36,FALSE)</f>
        <v>-5047.0999999999995</v>
      </c>
      <c r="AB125" s="252">
        <f>VLOOKUP(Tableau1315[[#This Row],[PARCS]],Tableau17[],37,FALSE)</f>
        <v>0</v>
      </c>
      <c r="AC125" s="468">
        <f>SUM(Tableau1315[[#This Row],[CONTRAT O&amp;M FORFAIT GROUPE22]:[CHARGES exceptionnels (BONUS, sinistres)77]])</f>
        <v>-427264.29999999993</v>
      </c>
      <c r="AD125" s="252">
        <f>Tableau1315[[#This Row],[TOTAL LE3]]-Tableau1315[[#This Row],[TOTAL BN-1]]</f>
        <v>-113609</v>
      </c>
      <c r="AE125" s="351">
        <f>IFERROR((Tableau1315[[#This Row],[TOTAL LE3]]-Tableau1315[[#This Row],[TOTAL BN-1]])/Tableau1315[[#This Row],[TOTAL BN-1]],"")</f>
        <v>0.30596064300507109</v>
      </c>
      <c r="AF125" s="252">
        <f>Tableau1315[[#This Row],[TOTAL BN+1]]-Tableau1315[[#This Row],[TOTAL LE3]]</f>
        <v>57663.70000000007</v>
      </c>
      <c r="AG125" s="351">
        <f>IFERROR((Tableau1315[[#This Row],[TOTAL BN+1]]-Tableau1315[[#This Row],[TOTAL LE3]])/Tableau1315[[#This Row],[TOTAL LE3]],"")</f>
        <v>-0.11891187970172906</v>
      </c>
      <c r="AH125" s="6" t="s">
        <v>758</v>
      </c>
    </row>
    <row r="126" spans="1:34" hidden="1">
      <c r="A126" s="463" t="s">
        <v>487</v>
      </c>
      <c r="B126" s="464" t="str">
        <f>VLOOKUP(Tableau1315[[#This Row],[PARCS]],Tableau106[],3,FALSE)</f>
        <v>A385</v>
      </c>
      <c r="C126" s="464" t="str">
        <f>VLOOKUP(Tableau1315[[#This Row],[PARCS]],Tableau106[],2,FALSE)</f>
        <v>FR28S02E</v>
      </c>
      <c r="D126" s="465" t="str">
        <f>VLOOKUP(Tableau1315[[#This Row],[PARCS]],Tableau106[],8,FALSE)</f>
        <v>SOLAIRE</v>
      </c>
      <c r="E126" s="465" t="str">
        <f>VLOOKUP(A126,Tableau106[[#Headers],[#Data]],6,FALSE)</f>
        <v>N</v>
      </c>
      <c r="F126" s="466" t="str">
        <f>VLOOKUP(Tableau1315[[#This Row],[PARCS]],Tableau106[],5,FALSE)</f>
        <v>CY11, CY12, CY13</v>
      </c>
      <c r="G126" s="464" t="str">
        <f>VLOOKUP(Tableau1315[[#This Row],[PARCS]],Tableau106[],7,FALSE)</f>
        <v>GROUPE</v>
      </c>
      <c r="H126" s="464" t="str">
        <f>VLOOKUP(Tableau1315[[#This Row],[PARCS]],Tableau106[],9,FALSE)</f>
        <v>LoG</v>
      </c>
      <c r="I126" s="350">
        <f>IFERROR(VLOOKUP(Tableau1315[[#This Row],[PARCS]],Tableau15[],10,FALSE),"")</f>
        <v>-791487</v>
      </c>
      <c r="J126" s="20">
        <f>IFERROR(VLOOKUP(Tableau1315[[#This Row],[PARCS]],Tableau15[],18,FALSE),"")</f>
        <v>-93000</v>
      </c>
      <c r="K126" s="252">
        <f>IFERROR(VLOOKUP(Tableau1315[[#This Row],[PARCS]],Tableau15[],19,FALSE),"")</f>
        <v>0</v>
      </c>
      <c r="L126" s="20">
        <f>IFERROR(VLOOKUP(Tableau1315[[#This Row],[PARCS]],Tableau15[],28,FALSE),"")</f>
        <v>-68000</v>
      </c>
      <c r="M126" s="252">
        <f>IFERROR(VLOOKUP(Tableau1315[[#This Row],[PARCS]],Tableau15[],36,FALSE),"")</f>
        <v>-10000</v>
      </c>
      <c r="N126" s="252">
        <f>IFERROR(VLOOKUP(Tableau1315[[#This Row],[PARCS]],Tableau15[],37,FALSE),"")</f>
        <v>-48000</v>
      </c>
      <c r="O126" s="467">
        <f>SUM(Tableau1315[[#This Row],[CONTRAT O&amp;M FORFAIT GROUPE]:[CHARGES exceptionnels (BONUS, sinistres)]])</f>
        <v>-1010487</v>
      </c>
      <c r="P126" s="354">
        <f>VLOOKUP(Tableau1315[[#This Row],[PARCS]],Tableau16[],10,FALSE)</f>
        <v>-795942</v>
      </c>
      <c r="Q126" s="350">
        <f>VLOOKUP(Tableau1315[[#This Row],[PARCS]],Tableau16[],18,FALSE)</f>
        <v>-108030</v>
      </c>
      <c r="R126" s="350">
        <f>VLOOKUP(Tableau1315[[#This Row],[PARCS]],Tableau16[],19,FALSE)</f>
        <v>0</v>
      </c>
      <c r="S126" s="20">
        <f>VLOOKUP(Tableau1315[[#This Row],[PARCS]],Tableau16[],28,FALSE)</f>
        <v>-257600</v>
      </c>
      <c r="T126" s="20">
        <f>VLOOKUP(Tableau1315[[#This Row],[PARCS]],Tableau16[],36,FALSE)</f>
        <v>-12226</v>
      </c>
      <c r="U126" s="20">
        <f>VLOOKUP(Tableau1315[[#This Row],[PARCS]],Tableau16[],37,FALSE)</f>
        <v>-48000</v>
      </c>
      <c r="V126" s="467">
        <f>SUM(Tableau1315[[#This Row],[CONTRAT O&amp;M FORFAIT GROUPE2]:[CHARGES exceptionnels (BONUS, sinistres)7]])</f>
        <v>-1221798</v>
      </c>
      <c r="W126" s="354">
        <f>VLOOKUP(Tableau1315[[#This Row],[PARCS]],Tableau17[],10,FALSE)</f>
        <v>-815840.54999999993</v>
      </c>
      <c r="X126" s="350">
        <f>VLOOKUP(Tableau1315[[#This Row],[PARCS]],Tableau17[],18,FALSE)</f>
        <v>-59290</v>
      </c>
      <c r="Y126" s="350">
        <f>VLOOKUP(Tableau1315[[#This Row],[PARCS]],Tableau17[],19,FALSE)</f>
        <v>0</v>
      </c>
      <c r="Z126" s="350">
        <f>VLOOKUP(Tableau1315[[#This Row],[PARCS]],Tableau17[],28,FALSE)</f>
        <v>-9000</v>
      </c>
      <c r="AA126" s="350">
        <f>VLOOKUP(Tableau1315[[#This Row],[PARCS]],Tableau17[],36,FALSE)</f>
        <v>-7000</v>
      </c>
      <c r="AB126" s="252">
        <f>VLOOKUP(Tableau1315[[#This Row],[PARCS]],Tableau17[],37,FALSE)</f>
        <v>0</v>
      </c>
      <c r="AC126" s="468">
        <f>SUM(Tableau1315[[#This Row],[CONTRAT O&amp;M FORFAIT GROUPE22]:[CHARGES exceptionnels (BONUS, sinistres)77]])</f>
        <v>-891130.54999999993</v>
      </c>
      <c r="AD126" s="252">
        <f>Tableau1315[[#This Row],[TOTAL LE3]]-Tableau1315[[#This Row],[TOTAL BN-1]]</f>
        <v>-211311</v>
      </c>
      <c r="AE126" s="351">
        <f>IFERROR((Tableau1315[[#This Row],[TOTAL LE3]]-Tableau1315[[#This Row],[TOTAL BN-1]])/Tableau1315[[#This Row],[TOTAL BN-1]],"")</f>
        <v>0.20911797974639951</v>
      </c>
      <c r="AF126" s="252">
        <f>Tableau1315[[#This Row],[TOTAL BN+1]]-Tableau1315[[#This Row],[TOTAL LE3]]</f>
        <v>330667.45000000007</v>
      </c>
      <c r="AG126" s="351">
        <f>IFERROR((Tableau1315[[#This Row],[TOTAL BN+1]]-Tableau1315[[#This Row],[TOTAL LE3]])/Tableau1315[[#This Row],[TOTAL LE3]],"")</f>
        <v>-0.27064003214934063</v>
      </c>
      <c r="AH126" s="6" t="s">
        <v>759</v>
      </c>
    </row>
    <row r="127" spans="1:34" hidden="1">
      <c r="A127" s="463" t="s">
        <v>515</v>
      </c>
      <c r="B127" s="464" t="str">
        <f>VLOOKUP(Tableau1315[[#This Row],[PARCS]],Tableau106[],3,FALSE)</f>
        <v>A894</v>
      </c>
      <c r="C127" s="464" t="str">
        <f>VLOOKUP(Tableau1315[[#This Row],[PARCS]],Tableau106[],2,FALSE)</f>
        <v>FR07E99E</v>
      </c>
      <c r="D127" s="465" t="str">
        <f>VLOOKUP(Tableau1315[[#This Row],[PARCS]],Tableau106[],8,FALSE)</f>
        <v>EOLIEN</v>
      </c>
      <c r="E127" s="465" t="str">
        <f>VLOOKUP(A127,Tableau106[[#Headers],[#Data]],6,FALSE)</f>
        <v>S</v>
      </c>
      <c r="F127" s="466" t="str">
        <f>VLOOKUP(Tableau1315[[#This Row],[PARCS]],Tableau106[],5,FALSE)</f>
        <v>FREY</v>
      </c>
      <c r="G127" s="464" t="str">
        <f>VLOOKUP(Tableau1315[[#This Row],[PARCS]],Tableau106[],7,FALSE)</f>
        <v>GROUPE</v>
      </c>
      <c r="H127" s="464" t="str">
        <f>VLOOKUP(Tableau1315[[#This Row],[PARCS]],Tableau106[],9,FALSE)</f>
        <v>ThC</v>
      </c>
      <c r="I127" s="350">
        <f>IFERROR(VLOOKUP(Tableau1315[[#This Row],[PARCS]],Tableau15[],10,FALSE),"")</f>
        <v>0</v>
      </c>
      <c r="J127" s="20">
        <f>IFERROR(VLOOKUP(Tableau1315[[#This Row],[PARCS]],Tableau15[],18,FALSE),"")</f>
        <v>-13500</v>
      </c>
      <c r="K127" s="252">
        <f>IFERROR(VLOOKUP(Tableau1315[[#This Row],[PARCS]],Tableau15[],19,FALSE),"")</f>
        <v>-315053.08120000002</v>
      </c>
      <c r="L127" s="20">
        <f>IFERROR(VLOOKUP(Tableau1315[[#This Row],[PARCS]],Tableau15[],28,FALSE),"")</f>
        <v>-46500</v>
      </c>
      <c r="M127" s="252">
        <f>IFERROR(VLOOKUP(Tableau1315[[#This Row],[PARCS]],Tableau15[],36,FALSE),"")</f>
        <v>0</v>
      </c>
      <c r="N127" s="252">
        <f>IFERROR(VLOOKUP(Tableau1315[[#This Row],[PARCS]],Tableau15[],37,FALSE),"")</f>
        <v>0</v>
      </c>
      <c r="O127" s="467">
        <f>SUM(Tableau1315[[#This Row],[CONTRAT O&amp;M FORFAIT GROUPE]:[CHARGES exceptionnels (BONUS, sinistres)]])</f>
        <v>-375053.08120000002</v>
      </c>
      <c r="P127" s="354">
        <f>VLOOKUP(Tableau1315[[#This Row],[PARCS]],Tableau16[],10,FALSE)</f>
        <v>0</v>
      </c>
      <c r="Q127" s="350">
        <f>VLOOKUP(Tableau1315[[#This Row],[PARCS]],Tableau16[],18,FALSE)</f>
        <v>-8900</v>
      </c>
      <c r="R127" s="350">
        <f>VLOOKUP(Tableau1315[[#This Row],[PARCS]],Tableau16[],19,FALSE)</f>
        <v>-330486</v>
      </c>
      <c r="S127" s="20">
        <f>VLOOKUP(Tableau1315[[#This Row],[PARCS]],Tableau16[],28,FALSE)</f>
        <v>-53250</v>
      </c>
      <c r="T127" s="20">
        <f>VLOOKUP(Tableau1315[[#This Row],[PARCS]],Tableau16[],36,FALSE)</f>
        <v>0</v>
      </c>
      <c r="U127" s="20">
        <f>VLOOKUP(Tableau1315[[#This Row],[PARCS]],Tableau16[],37,FALSE)</f>
        <v>0</v>
      </c>
      <c r="V127" s="467">
        <f>SUM(Tableau1315[[#This Row],[CONTRAT O&amp;M FORFAIT GROUPE2]:[CHARGES exceptionnels (BONUS, sinistres)7]])</f>
        <v>-392636</v>
      </c>
      <c r="W127" s="354">
        <f>VLOOKUP(Tableau1315[[#This Row],[PARCS]],Tableau17[],10,FALSE)</f>
        <v>0</v>
      </c>
      <c r="X127" s="350">
        <f>VLOOKUP(Tableau1315[[#This Row],[PARCS]],Tableau17[],18,FALSE)</f>
        <v>-11900</v>
      </c>
      <c r="Y127" s="350">
        <f>VLOOKUP(Tableau1315[[#This Row],[PARCS]],Tableau17[],19,FALSE)</f>
        <v>-338748.14999999997</v>
      </c>
      <c r="Z127" s="350">
        <f>VLOOKUP(Tableau1315[[#This Row],[PARCS]],Tableau17[],28,FALSE)</f>
        <v>-49500</v>
      </c>
      <c r="AA127" s="350">
        <f>VLOOKUP(Tableau1315[[#This Row],[PARCS]],Tableau17[],36,FALSE)</f>
        <v>-5047.0999999999995</v>
      </c>
      <c r="AB127" s="252">
        <f>VLOOKUP(Tableau1315[[#This Row],[PARCS]],Tableau17[],37,FALSE)</f>
        <v>0</v>
      </c>
      <c r="AC127" s="468">
        <f>SUM(Tableau1315[[#This Row],[CONTRAT O&amp;M FORFAIT GROUPE22]:[CHARGES exceptionnels (BONUS, sinistres)77]])</f>
        <v>-405195.24999999994</v>
      </c>
      <c r="AD127" s="252">
        <f>Tableau1315[[#This Row],[TOTAL LE3]]-Tableau1315[[#This Row],[TOTAL BN-1]]</f>
        <v>-17582.918799999985</v>
      </c>
      <c r="AE127" s="351">
        <f>IFERROR((Tableau1315[[#This Row],[TOTAL LE3]]-Tableau1315[[#This Row],[TOTAL BN-1]])/Tableau1315[[#This Row],[TOTAL BN-1]],"")</f>
        <v>4.6881147446496393E-2</v>
      </c>
      <c r="AF127" s="252">
        <f>Tableau1315[[#This Row],[TOTAL BN+1]]-Tableau1315[[#This Row],[TOTAL LE3]]</f>
        <v>-12559.249999999942</v>
      </c>
      <c r="AG127" s="351">
        <f>IFERROR((Tableau1315[[#This Row],[TOTAL BN+1]]-Tableau1315[[#This Row],[TOTAL LE3]])/Tableau1315[[#This Row],[TOTAL LE3]],"")</f>
        <v>3.1987005776342316E-2</v>
      </c>
      <c r="AH127" s="6" t="s">
        <v>490</v>
      </c>
    </row>
    <row r="128" spans="1:34" hidden="1">
      <c r="A128" s="463" t="s">
        <v>512</v>
      </c>
      <c r="B128" s="464" t="str">
        <f>VLOOKUP(Tableau1315[[#This Row],[PARCS]],Tableau106[],3,FALSE)</f>
        <v>A551</v>
      </c>
      <c r="C128" s="464" t="str">
        <f>VLOOKUP(Tableau1315[[#This Row],[PARCS]],Tableau106[],2,FALSE)</f>
        <v>FR59E02E</v>
      </c>
      <c r="D128" s="465" t="str">
        <f>VLOOKUP(Tableau1315[[#This Row],[PARCS]],Tableau106[],8,FALSE)</f>
        <v>EOLIEN</v>
      </c>
      <c r="E128" s="465" t="str">
        <f>VLOOKUP(A128,Tableau106[[#Headers],[#Data]],6,FALSE)</f>
        <v>N</v>
      </c>
      <c r="F128" s="466" t="str">
        <f>VLOOKUP(Tableau1315[[#This Row],[PARCS]],Tableau106[],5,FALSE)</f>
        <v>PLES</v>
      </c>
      <c r="G128" s="464" t="str">
        <f>VLOOKUP(Tableau1315[[#This Row],[PARCS]],Tableau106[],7,FALSE)</f>
        <v>ENDF</v>
      </c>
      <c r="H128" s="464" t="str">
        <f>VLOOKUP(Tableau1315[[#This Row],[PARCS]],Tableau106[],9,FALSE)</f>
        <v>AnN</v>
      </c>
      <c r="I128" s="350">
        <f>IFERROR(VLOOKUP(Tableau1315[[#This Row],[PARCS]],Tableau15[],10,FALSE),"")</f>
        <v>0</v>
      </c>
      <c r="J128" s="20">
        <f>IFERROR(VLOOKUP(Tableau1315[[#This Row],[PARCS]],Tableau15[],18,FALSE),"")</f>
        <v>-12000</v>
      </c>
      <c r="K128" s="252">
        <f>IFERROR(VLOOKUP(Tableau1315[[#This Row],[PARCS]],Tableau15[],19,FALSE),"")</f>
        <v>-377707.97330000001</v>
      </c>
      <c r="L128" s="20">
        <f>IFERROR(VLOOKUP(Tableau1315[[#This Row],[PARCS]],Tableau15[],28,FALSE),"")</f>
        <v>-22142</v>
      </c>
      <c r="M128" s="252">
        <f>IFERROR(VLOOKUP(Tableau1315[[#This Row],[PARCS]],Tableau15[],36,FALSE),"")</f>
        <v>0</v>
      </c>
      <c r="N128" s="252">
        <f>IFERROR(VLOOKUP(Tableau1315[[#This Row],[PARCS]],Tableau15[],37,FALSE),"")</f>
        <v>0</v>
      </c>
      <c r="O128" s="467">
        <f>SUM(Tableau1315[[#This Row],[CONTRAT O&amp;M FORFAIT GROUPE]:[CHARGES exceptionnels (BONUS, sinistres)]])</f>
        <v>-411849.97330000001</v>
      </c>
      <c r="P128" s="354">
        <f>VLOOKUP(Tableau1315[[#This Row],[PARCS]],Tableau16[],10,FALSE)</f>
        <v>0</v>
      </c>
      <c r="Q128" s="252">
        <f>VLOOKUP(Tableau1315[[#This Row],[PARCS]],Tableau16[],18,FALSE)</f>
        <v>-3000</v>
      </c>
      <c r="R128" s="252">
        <f>VLOOKUP(Tableau1315[[#This Row],[PARCS]],Tableau16[],19,FALSE)</f>
        <v>-384247</v>
      </c>
      <c r="S128" s="252">
        <f>VLOOKUP(Tableau1315[[#This Row],[PARCS]],Tableau16[],28,FALSE)</f>
        <v>-22598.81</v>
      </c>
      <c r="T128" s="252">
        <f>VLOOKUP(Tableau1315[[#This Row],[PARCS]],Tableau16[],36,FALSE)</f>
        <v>0</v>
      </c>
      <c r="U128" s="252">
        <f>VLOOKUP(Tableau1315[[#This Row],[PARCS]],Tableau16[],37,FALSE)</f>
        <v>-4266.68</v>
      </c>
      <c r="V128" s="467">
        <f>SUM(Tableau1315[[#This Row],[CONTRAT O&amp;M FORFAIT GROUPE2]:[CHARGES exceptionnels (BONUS, sinistres)7]])</f>
        <v>-414112.49</v>
      </c>
      <c r="W128" s="354">
        <f>VLOOKUP(Tableau1315[[#This Row],[PARCS]],Tableau17[],10,FALSE)</f>
        <v>0</v>
      </c>
      <c r="X128" s="252">
        <f>VLOOKUP(Tableau1315[[#This Row],[PARCS]],Tableau17[],18,FALSE)</f>
        <v>-3000</v>
      </c>
      <c r="Y128" s="252">
        <f>VLOOKUP(Tableau1315[[#This Row],[PARCS]],Tableau17[],19,FALSE)</f>
        <v>-393853.17499999999</v>
      </c>
      <c r="Z128" s="252">
        <f>VLOOKUP(Tableau1315[[#This Row],[PARCS]],Tableau17[],28,FALSE)</f>
        <v>-11549</v>
      </c>
      <c r="AA128" s="252">
        <f>VLOOKUP(Tableau1315[[#This Row],[PARCS]],Tableau17[],36,FALSE)</f>
        <v>-50000</v>
      </c>
      <c r="AB128" s="252">
        <f>VLOOKUP(Tableau1315[[#This Row],[PARCS]],Tableau17[],37,FALSE)</f>
        <v>0</v>
      </c>
      <c r="AC128" s="468">
        <f>SUM(Tableau1315[[#This Row],[CONTRAT O&amp;M FORFAIT GROUPE22]:[CHARGES exceptionnels (BONUS, sinistres)77]])</f>
        <v>-458402.17499999999</v>
      </c>
      <c r="AD128" s="252">
        <f>Tableau1315[[#This Row],[TOTAL LE3]]-Tableau1315[[#This Row],[TOTAL BN-1]]</f>
        <v>-2262.5166999999783</v>
      </c>
      <c r="AE128" s="351">
        <f>IFERROR((Tableau1315[[#This Row],[TOTAL LE3]]-Tableau1315[[#This Row],[TOTAL BN-1]])/Tableau1315[[#This Row],[TOTAL BN-1]],"")</f>
        <v>5.4935458217255113E-3</v>
      </c>
      <c r="AF128" s="252">
        <f>Tableau1315[[#This Row],[TOTAL BN+1]]-Tableau1315[[#This Row],[TOTAL LE3]]</f>
        <v>-44289.684999999998</v>
      </c>
      <c r="AG128" s="351">
        <f>IFERROR((Tableau1315[[#This Row],[TOTAL BN+1]]-Tableau1315[[#This Row],[TOTAL LE3]])/Tableau1315[[#This Row],[TOTAL LE3]],"")</f>
        <v>0.10695085530987003</v>
      </c>
    </row>
    <row r="129" spans="1:34">
      <c r="A129" s="463" t="s">
        <v>456</v>
      </c>
      <c r="B129" s="464" t="str">
        <f>VLOOKUP(Tableau1315[[#This Row],[PARCS]],Tableau106[],3,FALSE)</f>
        <v>F150</v>
      </c>
      <c r="C129" s="464" t="str">
        <f>VLOOKUP(Tableau1315[[#This Row],[PARCS]],Tableau106[],2,FALSE)</f>
        <v>FR22E04E</v>
      </c>
      <c r="D129" s="465" t="str">
        <f>VLOOKUP(Tableau1315[[#This Row],[PARCS]],Tableau106[],8,FALSE)</f>
        <v>EOLIEN</v>
      </c>
      <c r="E129" s="465" t="str">
        <f>VLOOKUP(A129,Tableau106[[#Headers],[#Data]],6,FALSE)</f>
        <v>N</v>
      </c>
      <c r="F129" s="466" t="str">
        <f>VLOOKUP(Tableau1315[[#This Row],[PARCS]],Tableau106[],5,FALSE)</f>
        <v>PLAT</v>
      </c>
      <c r="G129" s="464" t="str">
        <f>VLOOKUP(Tableau1315[[#This Row],[PARCS]],Tableau106[],7,FALSE)</f>
        <v>FUTUREN</v>
      </c>
      <c r="H129" s="464" t="str">
        <f>VLOOKUP(Tableau1315[[#This Row],[PARCS]],Tableau106[],9,FALSE)</f>
        <v>AlY</v>
      </c>
      <c r="I129" s="350">
        <f>IFERROR(VLOOKUP(Tableau1315[[#This Row],[PARCS]],Tableau15[],10,FALSE),"")</f>
        <v>-4999.9211338582672</v>
      </c>
      <c r="J129" s="20">
        <f>IFERROR(VLOOKUP(Tableau1315[[#This Row],[PARCS]],Tableau15[],18,FALSE),"")</f>
        <v>-6900</v>
      </c>
      <c r="K129" s="252">
        <f>IFERROR(VLOOKUP(Tableau1315[[#This Row],[PARCS]],Tableau15[],19,FALSE),"")</f>
        <v>-226862.36779600001</v>
      </c>
      <c r="L129" s="20">
        <f>IFERROR(VLOOKUP(Tableau1315[[#This Row],[PARCS]],Tableau15[],28,FALSE),"")</f>
        <v>-3450</v>
      </c>
      <c r="M129" s="252">
        <f>IFERROR(VLOOKUP(Tableau1315[[#This Row],[PARCS]],Tableau15[],36,FALSE),"")</f>
        <v>0</v>
      </c>
      <c r="N129" s="252">
        <f>IFERROR(VLOOKUP(Tableau1315[[#This Row],[PARCS]],Tableau15[],37,FALSE),"")</f>
        <v>0</v>
      </c>
      <c r="O129" s="467">
        <f>SUM(Tableau1315[[#This Row],[CONTRAT O&amp;M FORFAIT GROUPE]:[CHARGES exceptionnels (BONUS, sinistres)]])</f>
        <v>-242212.28892985827</v>
      </c>
      <c r="P129" s="354">
        <f>VLOOKUP(Tableau1315[[#This Row],[PARCS]],Tableau16[],10,FALSE)</f>
        <v>-8948</v>
      </c>
      <c r="Q129" s="252">
        <f>VLOOKUP(Tableau1315[[#This Row],[PARCS]],Tableau16[],18,FALSE)</f>
        <v>-5094</v>
      </c>
      <c r="R129" s="252">
        <f>VLOOKUP(Tableau1315[[#This Row],[PARCS]],Tableau16[],19,FALSE)</f>
        <v>-254944</v>
      </c>
      <c r="S129" s="252">
        <f>VLOOKUP(Tableau1315[[#This Row],[PARCS]],Tableau16[],28,FALSE)</f>
        <v>-32325</v>
      </c>
      <c r="T129" s="252">
        <f>VLOOKUP(Tableau1315[[#This Row],[PARCS]],Tableau16[],36,FALSE)</f>
        <v>0</v>
      </c>
      <c r="U129" s="252">
        <f>VLOOKUP(Tableau1315[[#This Row],[PARCS]],Tableau16[],37,FALSE)</f>
        <v>-2000</v>
      </c>
      <c r="V129" s="467">
        <f>SUM(Tableau1315[[#This Row],[CONTRAT O&amp;M FORFAIT GROUPE2]:[CHARGES exceptionnels (BONUS, sinistres)7]])</f>
        <v>-303311</v>
      </c>
      <c r="W129" s="354">
        <f>VLOOKUP(Tableau1315[[#This Row],[PARCS]],Tableau17[],10,FALSE)</f>
        <v>-8948</v>
      </c>
      <c r="X129" s="252">
        <f>VLOOKUP(Tableau1315[[#This Row],[PARCS]],Tableau17[],18,FALSE)</f>
        <v>-7431</v>
      </c>
      <c r="Y129" s="252">
        <f>VLOOKUP(Tableau1315[[#This Row],[PARCS]],Tableau17[],19,FALSE)</f>
        <v>-261317.59999999998</v>
      </c>
      <c r="Z129" s="252">
        <f>VLOOKUP(Tableau1315[[#This Row],[PARCS]],Tableau17[],28,FALSE)</f>
        <v>-2125</v>
      </c>
      <c r="AA129" s="252">
        <f>VLOOKUP(Tableau1315[[#This Row],[PARCS]],Tableau17[],36,FALSE)</f>
        <v>-5047.0999999999995</v>
      </c>
      <c r="AB129" s="252">
        <f>VLOOKUP(Tableau1315[[#This Row],[PARCS]],Tableau17[],37,FALSE)</f>
        <v>0</v>
      </c>
      <c r="AC129" s="468">
        <f>SUM(Tableau1315[[#This Row],[CONTRAT O&amp;M FORFAIT GROUPE22]:[CHARGES exceptionnels (BONUS, sinistres)77]])</f>
        <v>-284868.69999999995</v>
      </c>
      <c r="AD129" s="252">
        <f>Tableau1315[[#This Row],[TOTAL LE3]]-Tableau1315[[#This Row],[TOTAL BN-1]]</f>
        <v>-61098.711070141726</v>
      </c>
      <c r="AE129" s="351">
        <f>IFERROR((Tableau1315[[#This Row],[TOTAL LE3]]-Tableau1315[[#This Row],[TOTAL BN-1]])/Tableau1315[[#This Row],[TOTAL BN-1]],"")</f>
        <v>0.25225272978546176</v>
      </c>
      <c r="AF129" s="252">
        <f>Tableau1315[[#This Row],[TOTAL BN+1]]-Tableau1315[[#This Row],[TOTAL LE3]]</f>
        <v>18442.300000000047</v>
      </c>
      <c r="AG129" s="351">
        <f>IFERROR((Tableau1315[[#This Row],[TOTAL BN+1]]-Tableau1315[[#This Row],[TOTAL LE3]])/Tableau1315[[#This Row],[TOTAL LE3]],"")</f>
        <v>-6.0803267932913893E-2</v>
      </c>
    </row>
    <row r="130" spans="1:34" hidden="1">
      <c r="A130" s="463" t="s">
        <v>521</v>
      </c>
      <c r="B130" s="464" t="str">
        <f>VLOOKUP(Tableau1315[[#This Row],[PARCS]],Tableau106[],3,FALSE)</f>
        <v>A552</v>
      </c>
      <c r="C130" s="464" t="str">
        <f>VLOOKUP(Tableau1315[[#This Row],[PARCS]],Tableau106[],2,FALSE)</f>
        <v>FR02E07E</v>
      </c>
      <c r="D130" s="465" t="str">
        <f>VLOOKUP(Tableau1315[[#This Row],[PARCS]],Tableau106[],8,FALSE)</f>
        <v>EOLIEN</v>
      </c>
      <c r="E130" s="465" t="str">
        <f>VLOOKUP(A130,Tableau106[[#Headers],[#Data]],6,FALSE)</f>
        <v>N</v>
      </c>
      <c r="F130" s="466" t="str">
        <f>VLOOKUP(Tableau1315[[#This Row],[PARCS]],Tableau106[],5,FALSE)</f>
        <v>PLAN</v>
      </c>
      <c r="G130" s="464" t="str">
        <f>VLOOKUP(Tableau1315[[#This Row],[PARCS]],Tableau106[],7,FALSE)</f>
        <v>ENDF</v>
      </c>
      <c r="H130" s="464" t="str">
        <f>VLOOKUP(Tableau1315[[#This Row],[PARCS]],Tableau106[],9,FALSE)</f>
        <v>BoK</v>
      </c>
      <c r="I130" s="350">
        <f>IFERROR(VLOOKUP(Tableau1315[[#This Row],[PARCS]],Tableau15[],10,FALSE),"")</f>
        <v>0</v>
      </c>
      <c r="J130" s="20">
        <f>IFERROR(VLOOKUP(Tableau1315[[#This Row],[PARCS]],Tableau15[],18,FALSE),"")</f>
        <v>-21000</v>
      </c>
      <c r="K130" s="252">
        <f>IFERROR(VLOOKUP(Tableau1315[[#This Row],[PARCS]],Tableau15[],19,FALSE),"")</f>
        <v>-663338.98259999999</v>
      </c>
      <c r="L130" s="20">
        <f>IFERROR(VLOOKUP(Tableau1315[[#This Row],[PARCS]],Tableau15[],28,FALSE),"")</f>
        <v>-12500</v>
      </c>
      <c r="M130" s="252">
        <f>IFERROR(VLOOKUP(Tableau1315[[#This Row],[PARCS]],Tableau15[],36,FALSE),"")</f>
        <v>0</v>
      </c>
      <c r="N130" s="252">
        <f>IFERROR(VLOOKUP(Tableau1315[[#This Row],[PARCS]],Tableau15[],37,FALSE),"")</f>
        <v>0</v>
      </c>
      <c r="O130" s="467">
        <f>SUM(Tableau1315[[#This Row],[CONTRAT O&amp;M FORFAIT GROUPE]:[CHARGES exceptionnels (BONUS, sinistres)]])</f>
        <v>-696838.98259999999</v>
      </c>
      <c r="P130" s="354">
        <f>VLOOKUP(Tableau1315[[#This Row],[PARCS]],Tableau16[],10,FALSE)</f>
        <v>0</v>
      </c>
      <c r="Q130" s="252">
        <f>VLOOKUP(Tableau1315[[#This Row],[PARCS]],Tableau16[],18,FALSE)</f>
        <v>-5250</v>
      </c>
      <c r="R130" s="252">
        <f>VLOOKUP(Tableau1315[[#This Row],[PARCS]],Tableau16[],19,FALSE)</f>
        <v>-674769</v>
      </c>
      <c r="S130" s="252">
        <f>VLOOKUP(Tableau1315[[#This Row],[PARCS]],Tableau16[],28,FALSE)</f>
        <v>-18020</v>
      </c>
      <c r="T130" s="252">
        <f>VLOOKUP(Tableau1315[[#This Row],[PARCS]],Tableau16[],36,FALSE)</f>
        <v>0</v>
      </c>
      <c r="U130" s="252">
        <f>VLOOKUP(Tableau1315[[#This Row],[PARCS]],Tableau16[],37,FALSE)</f>
        <v>0</v>
      </c>
      <c r="V130" s="467">
        <f>SUM(Tableau1315[[#This Row],[CONTRAT O&amp;M FORFAIT GROUPE2]:[CHARGES exceptionnels (BONUS, sinistres)7]])</f>
        <v>-698039</v>
      </c>
      <c r="W130" s="354">
        <f>VLOOKUP(Tableau1315[[#This Row],[PARCS]],Tableau17[],10,FALSE)</f>
        <v>0</v>
      </c>
      <c r="X130" s="252">
        <f>VLOOKUP(Tableau1315[[#This Row],[PARCS]],Tableau17[],18,FALSE)</f>
        <v>-5250</v>
      </c>
      <c r="Y130" s="252">
        <f>VLOOKUP(Tableau1315[[#This Row],[PARCS]],Tableau17[],19,FALSE)</f>
        <v>-691638.22499999998</v>
      </c>
      <c r="Z130" s="252">
        <f>VLOOKUP(Tableau1315[[#This Row],[PARCS]],Tableau17[],28,FALSE)</f>
        <v>-7250</v>
      </c>
      <c r="AA130" s="252">
        <f>VLOOKUP(Tableau1315[[#This Row],[PARCS]],Tableau17[],36,FALSE)</f>
        <v>-50000</v>
      </c>
      <c r="AB130" s="252">
        <f>VLOOKUP(Tableau1315[[#This Row],[PARCS]],Tableau17[],37,FALSE)</f>
        <v>0</v>
      </c>
      <c r="AC130" s="468">
        <f>SUM(Tableau1315[[#This Row],[CONTRAT O&amp;M FORFAIT GROUPE22]:[CHARGES exceptionnels (BONUS, sinistres)77]])</f>
        <v>-754138.22499999998</v>
      </c>
      <c r="AD130" s="252">
        <f>Tableau1315[[#This Row],[TOTAL LE3]]-Tableau1315[[#This Row],[TOTAL BN-1]]</f>
        <v>-1200.0174000000115</v>
      </c>
      <c r="AE130" s="351">
        <f>IFERROR((Tableau1315[[#This Row],[TOTAL LE3]]-Tableau1315[[#This Row],[TOTAL BN-1]])/Tableau1315[[#This Row],[TOTAL BN-1]],"")</f>
        <v>1.7220870674062826E-3</v>
      </c>
      <c r="AF130" s="252">
        <f>Tableau1315[[#This Row],[TOTAL BN+1]]-Tableau1315[[#This Row],[TOTAL LE3]]</f>
        <v>-56099.224999999977</v>
      </c>
      <c r="AG130" s="351">
        <f>IFERROR((Tableau1315[[#This Row],[TOTAL BN+1]]-Tableau1315[[#This Row],[TOTAL LE3]])/Tableau1315[[#This Row],[TOTAL LE3]],"")</f>
        <v>8.0366892107747528E-2</v>
      </c>
    </row>
    <row r="131" spans="1:34">
      <c r="A131" s="463" t="s">
        <v>594</v>
      </c>
      <c r="B131" s="464" t="str">
        <f>VLOOKUP(Tableau1315[[#This Row],[PARCS]],Tableau106[],3,FALSE)</f>
        <v>A938</v>
      </c>
      <c r="C131" s="464" t="str">
        <f>VLOOKUP(Tableau1315[[#This Row],[PARCS]],Tableau106[],2,FALSE)</f>
        <v>FR34E81E</v>
      </c>
      <c r="D131" s="465" t="str">
        <f>VLOOKUP(Tableau1315[[#This Row],[PARCS]],Tableau106[],8,FALSE)</f>
        <v>EOLIEN</v>
      </c>
      <c r="E131" s="465" t="str">
        <f>VLOOKUP(A131,Tableau106[[#Headers],[#Data]],6,FALSE)</f>
        <v>S</v>
      </c>
      <c r="F131" s="466" t="str">
        <f>VLOOKUP(Tableau1315[[#This Row],[PARCS]],Tableau106[],5,FALSE)</f>
        <v>TRFR</v>
      </c>
      <c r="G131" s="464" t="str">
        <f>VLOOKUP(Tableau1315[[#This Row],[PARCS]],Tableau106[],7,FALSE)</f>
        <v>FUTUREN</v>
      </c>
      <c r="H131" s="464" t="str">
        <f>VLOOKUP(Tableau1315[[#This Row],[PARCS]],Tableau106[],9,FALSE)</f>
        <v>KéD</v>
      </c>
      <c r="I131" s="350">
        <f>IFERROR(VLOOKUP(Tableau1315[[#This Row],[PARCS]],Tableau15[],10,FALSE),"")</f>
        <v>-191460.12</v>
      </c>
      <c r="J131" s="20">
        <f>IFERROR(VLOOKUP(Tableau1315[[#This Row],[PARCS]],Tableau15[],18,FALSE),"")</f>
        <v>-46568.783068783072</v>
      </c>
      <c r="K131" s="252">
        <f>IFERROR(VLOOKUP(Tableau1315[[#This Row],[PARCS]],Tableau15[],19,FALSE),"")</f>
        <v>0</v>
      </c>
      <c r="L131" s="20">
        <f>IFERROR(VLOOKUP(Tableau1315[[#This Row],[PARCS]],Tableau15[],28,FALSE),"")</f>
        <v>-7000</v>
      </c>
      <c r="M131" s="252">
        <f>IFERROR(VLOOKUP(Tableau1315[[#This Row],[PARCS]],Tableau15[],36,FALSE),"")</f>
        <v>-35000</v>
      </c>
      <c r="N131" s="252">
        <f>IFERROR(VLOOKUP(Tableau1315[[#This Row],[PARCS]],Tableau15[],37,FALSE),"")</f>
        <v>0</v>
      </c>
      <c r="O131" s="467">
        <f>SUM(Tableau1315[[#This Row],[CONTRAT O&amp;M FORFAIT GROUPE]:[CHARGES exceptionnels (BONUS, sinistres)]])</f>
        <v>-280028.90306878305</v>
      </c>
      <c r="P131" s="354">
        <f>VLOOKUP(Tableau1315[[#This Row],[PARCS]],Tableau16[],10,FALSE)</f>
        <v>-189061</v>
      </c>
      <c r="Q131" s="252">
        <f>VLOOKUP(Tableau1315[[#This Row],[PARCS]],Tableau16[],18,FALSE)</f>
        <v>-49590</v>
      </c>
      <c r="R131" s="252">
        <f>VLOOKUP(Tableau1315[[#This Row],[PARCS]],Tableau16[],19,FALSE)</f>
        <v>0</v>
      </c>
      <c r="S131" s="252">
        <f>VLOOKUP(Tableau1315[[#This Row],[PARCS]],Tableau16[],28,FALSE)</f>
        <v>-6500</v>
      </c>
      <c r="T131" s="252">
        <f>VLOOKUP(Tableau1315[[#This Row],[PARCS]],Tableau16[],36,FALSE)</f>
        <v>-47792.5</v>
      </c>
      <c r="U131" s="252">
        <f>VLOOKUP(Tableau1315[[#This Row],[PARCS]],Tableau16[],37,FALSE)</f>
        <v>0</v>
      </c>
      <c r="V131" s="467">
        <f>SUM(Tableau1315[[#This Row],[CONTRAT O&amp;M FORFAIT GROUPE2]:[CHARGES exceptionnels (BONUS, sinistres)7]])</f>
        <v>-292943.5</v>
      </c>
      <c r="W131" s="354">
        <f>VLOOKUP(Tableau1315[[#This Row],[PARCS]],Tableau17[],10,FALSE)</f>
        <v>-193787.52499999999</v>
      </c>
      <c r="X131" s="252">
        <f>VLOOKUP(Tableau1315[[#This Row],[PARCS]],Tableau17[],18,FALSE)</f>
        <v>-17260</v>
      </c>
      <c r="Y131" s="252">
        <f>VLOOKUP(Tableau1315[[#This Row],[PARCS]],Tableau17[],19,FALSE)</f>
        <v>0</v>
      </c>
      <c r="Z131" s="252">
        <f>VLOOKUP(Tableau1315[[#This Row],[PARCS]],Tableau17[],28,FALSE)</f>
        <v>-3500</v>
      </c>
      <c r="AA131" s="252">
        <f>VLOOKUP(Tableau1315[[#This Row],[PARCS]],Tableau17[],36,FALSE)</f>
        <v>-37442</v>
      </c>
      <c r="AB131" s="252">
        <f>VLOOKUP(Tableau1315[[#This Row],[PARCS]],Tableau17[],37,FALSE)</f>
        <v>0</v>
      </c>
      <c r="AC131" s="468">
        <f>SUM(Tableau1315[[#This Row],[CONTRAT O&amp;M FORFAIT GROUPE22]:[CHARGES exceptionnels (BONUS, sinistres)77]])</f>
        <v>-251989.52499999999</v>
      </c>
      <c r="AD131" s="252">
        <f>Tableau1315[[#This Row],[TOTAL LE3]]-Tableau1315[[#This Row],[TOTAL BN-1]]</f>
        <v>-12914.596931216947</v>
      </c>
      <c r="AE131" s="351">
        <f>IFERROR((Tableau1315[[#This Row],[TOTAL LE3]]-Tableau1315[[#This Row],[TOTAL BN-1]])/Tableau1315[[#This Row],[TOTAL BN-1]],"")</f>
        <v>4.6118799844188783E-2</v>
      </c>
      <c r="AF131" s="252">
        <f>Tableau1315[[#This Row],[TOTAL BN+1]]-Tableau1315[[#This Row],[TOTAL LE3]]</f>
        <v>40953.975000000006</v>
      </c>
      <c r="AG131" s="351">
        <f>IFERROR((Tableau1315[[#This Row],[TOTAL BN+1]]-Tableau1315[[#This Row],[TOTAL LE3]])/Tableau1315[[#This Row],[TOTAL LE3]],"")</f>
        <v>-0.13980161703536692</v>
      </c>
      <c r="AH131" s="6" t="s">
        <v>490</v>
      </c>
    </row>
    <row r="132" spans="1:34" hidden="1">
      <c r="A132" s="463" t="s">
        <v>566</v>
      </c>
      <c r="B132" s="464" t="str">
        <f>VLOOKUP(Tableau1315[[#This Row],[PARCS]],Tableau106[],3,FALSE)</f>
        <v>A545</v>
      </c>
      <c r="C132" s="464" t="str">
        <f>VLOOKUP(Tableau1315[[#This Row],[PARCS]],Tableau106[],2,FALSE)</f>
        <v>FR56E05E</v>
      </c>
      <c r="D132" s="465" t="str">
        <f>VLOOKUP(Tableau1315[[#This Row],[PARCS]],Tableau106[],8,FALSE)</f>
        <v>EOLIEN</v>
      </c>
      <c r="E132" s="465" t="str">
        <f>VLOOKUP(A132,Tableau106[[#Headers],[#Data]],6,FALSE)</f>
        <v>N</v>
      </c>
      <c r="F132" s="466" t="str">
        <f>VLOOKUP(Tableau1315[[#This Row],[PARCS]],Tableau106[],5,FALSE)</f>
        <v>PLEU</v>
      </c>
      <c r="G132" s="464" t="str">
        <f>VLOOKUP(Tableau1315[[#This Row],[PARCS]],Tableau106[],7,FALSE)</f>
        <v>EGM</v>
      </c>
      <c r="H132" s="464" t="str">
        <f>VLOOKUP(Tableau1315[[#This Row],[PARCS]],Tableau106[],9,FALSE)</f>
        <v>MaA</v>
      </c>
      <c r="I132" s="350">
        <f>IFERROR(VLOOKUP(Tableau1315[[#This Row],[PARCS]],Tableau15[],10,FALSE),"")</f>
        <v>-256678.59608762685</v>
      </c>
      <c r="J132" s="20">
        <f>IFERROR(VLOOKUP(Tableau1315[[#This Row],[PARCS]],Tableau15[],18,FALSE),"")</f>
        <v>-46568.783068783072</v>
      </c>
      <c r="K132" s="252">
        <f>IFERROR(VLOOKUP(Tableau1315[[#This Row],[PARCS]],Tableau15[],19,FALSE),"")</f>
        <v>0</v>
      </c>
      <c r="L132" s="20">
        <f>IFERROR(VLOOKUP(Tableau1315[[#This Row],[PARCS]],Tableau15[],28,FALSE),"")</f>
        <v>-7000</v>
      </c>
      <c r="M132" s="252">
        <f>IFERROR(VLOOKUP(Tableau1315[[#This Row],[PARCS]],Tableau15[],36,FALSE),"")</f>
        <v>0</v>
      </c>
      <c r="N132" s="252">
        <f>IFERROR(VLOOKUP(Tableau1315[[#This Row],[PARCS]],Tableau15[],37,FALSE),"")</f>
        <v>0</v>
      </c>
      <c r="O132" s="467">
        <f>SUM(Tableau1315[[#This Row],[CONTRAT O&amp;M FORFAIT GROUPE]:[CHARGES exceptionnels (BONUS, sinistres)]])</f>
        <v>-310247.37915640994</v>
      </c>
      <c r="P132" s="354">
        <f>VLOOKUP(Tableau1315[[#This Row],[PARCS]],Tableau16[],10,FALSE)</f>
        <v>-258123</v>
      </c>
      <c r="Q132" s="252">
        <f>VLOOKUP(Tableau1315[[#This Row],[PARCS]],Tableau16[],18,FALSE)</f>
        <v>-197500</v>
      </c>
      <c r="R132" s="252">
        <f>VLOOKUP(Tableau1315[[#This Row],[PARCS]],Tableau16[],19,FALSE)</f>
        <v>0</v>
      </c>
      <c r="S132" s="252">
        <f>VLOOKUP(Tableau1315[[#This Row],[PARCS]],Tableau16[],28,FALSE)</f>
        <v>-6041</v>
      </c>
      <c r="T132" s="252">
        <f>VLOOKUP(Tableau1315[[#This Row],[PARCS]],Tableau16[],36,FALSE)</f>
        <v>0</v>
      </c>
      <c r="U132" s="252">
        <f>VLOOKUP(Tableau1315[[#This Row],[PARCS]],Tableau16[],37,FALSE)</f>
        <v>-17859</v>
      </c>
      <c r="V132" s="467">
        <f>SUM(Tableau1315[[#This Row],[CONTRAT O&amp;M FORFAIT GROUPE2]:[CHARGES exceptionnels (BONUS, sinistres)7]])</f>
        <v>-479523</v>
      </c>
      <c r="W132" s="354">
        <f>VLOOKUP(Tableau1315[[#This Row],[PARCS]],Tableau17[],10,FALSE)</f>
        <v>-264576.07499999995</v>
      </c>
      <c r="X132" s="252">
        <f>VLOOKUP(Tableau1315[[#This Row],[PARCS]],Tableau17[],18,FALSE)</f>
        <v>-156000</v>
      </c>
      <c r="Y132" s="252">
        <f>VLOOKUP(Tableau1315[[#This Row],[PARCS]],Tableau17[],19,FALSE)</f>
        <v>0</v>
      </c>
      <c r="Z132" s="252">
        <f>VLOOKUP(Tableau1315[[#This Row],[PARCS]],Tableau17[],28,FALSE)</f>
        <v>-4500</v>
      </c>
      <c r="AA132" s="252">
        <f>VLOOKUP(Tableau1315[[#This Row],[PARCS]],Tableau17[],36,FALSE)</f>
        <v>0</v>
      </c>
      <c r="AB132" s="252">
        <f>VLOOKUP(Tableau1315[[#This Row],[PARCS]],Tableau17[],37,FALSE)</f>
        <v>0</v>
      </c>
      <c r="AC132" s="468">
        <f>SUM(Tableau1315[[#This Row],[CONTRAT O&amp;M FORFAIT GROUPE22]:[CHARGES exceptionnels (BONUS, sinistres)77]])</f>
        <v>-425076.07499999995</v>
      </c>
      <c r="AD132" s="252">
        <f>Tableau1315[[#This Row],[TOTAL LE3]]-Tableau1315[[#This Row],[TOTAL BN-1]]</f>
        <v>-169275.62084359006</v>
      </c>
      <c r="AE132" s="351">
        <f>IFERROR((Tableau1315[[#This Row],[TOTAL LE3]]-Tableau1315[[#This Row],[TOTAL BN-1]])/Tableau1315[[#This Row],[TOTAL BN-1]],"")</f>
        <v>0.54561499054034057</v>
      </c>
      <c r="AF132" s="252">
        <f>Tableau1315[[#This Row],[TOTAL BN+1]]-Tableau1315[[#This Row],[TOTAL LE3]]</f>
        <v>54446.925000000047</v>
      </c>
      <c r="AG132" s="351">
        <f>IFERROR((Tableau1315[[#This Row],[TOTAL BN+1]]-Tableau1315[[#This Row],[TOTAL LE3]])/Tableau1315[[#This Row],[TOTAL LE3]],"")</f>
        <v>-0.1135439280284784</v>
      </c>
    </row>
    <row r="133" spans="1:34" hidden="1">
      <c r="A133" s="463" t="s">
        <v>541</v>
      </c>
      <c r="B133" s="464" t="str">
        <f>VLOOKUP(Tableau1315[[#This Row],[PARCS]],Tableau106[],3,FALSE)</f>
        <v>A900</v>
      </c>
      <c r="C133" s="464" t="str">
        <f>VLOOKUP(Tableau1315[[#This Row],[PARCS]],Tableau106[],2,FALSE)</f>
        <v>FR66E99E</v>
      </c>
      <c r="D133" s="465" t="str">
        <f>VLOOKUP(Tableau1315[[#This Row],[PARCS]],Tableau106[],8,FALSE)</f>
        <v>EOLIEN</v>
      </c>
      <c r="E133" s="465" t="str">
        <f>VLOOKUP(A133,Tableau106[[#Headers],[#Data]],6,FALSE)</f>
        <v>S</v>
      </c>
      <c r="F133" s="466" t="str">
        <f>VLOOKUP(Tableau1315[[#This Row],[PARCS]],Tableau106[],5,FALSE)</f>
        <v>PEZI</v>
      </c>
      <c r="G133" s="464" t="str">
        <f>VLOOKUP(Tableau1315[[#This Row],[PARCS]],Tableau106[],7,FALSE)</f>
        <v>GROUPE</v>
      </c>
      <c r="H133" s="464" t="str">
        <f>VLOOKUP(Tableau1315[[#This Row],[PARCS]],Tableau106[],9,FALSE)</f>
        <v>PiM</v>
      </c>
      <c r="I133" s="350">
        <f>IFERROR(VLOOKUP(Tableau1315[[#This Row],[PARCS]],Tableau15[],10,FALSE),"")</f>
        <v>-2507744.46</v>
      </c>
      <c r="J133" s="20">
        <f>IFERROR(VLOOKUP(Tableau1315[[#This Row],[PARCS]],Tableau15[],18,FALSE),"")</f>
        <v>-132600</v>
      </c>
      <c r="K133" s="252">
        <f>IFERROR(VLOOKUP(Tableau1315[[#This Row],[PARCS]],Tableau15[],19,FALSE),"")</f>
        <v>-5983.3737000000001</v>
      </c>
      <c r="L133" s="20">
        <f>IFERROR(VLOOKUP(Tableau1315[[#This Row],[PARCS]],Tableau15[],28,FALSE),"")</f>
        <v>-444000</v>
      </c>
      <c r="M133" s="252">
        <f>IFERROR(VLOOKUP(Tableau1315[[#This Row],[PARCS]],Tableau15[],36,FALSE),"")</f>
        <v>-23000</v>
      </c>
      <c r="N133" s="252">
        <f>IFERROR(VLOOKUP(Tableau1315[[#This Row],[PARCS]],Tableau15[],37,FALSE),"")</f>
        <v>0</v>
      </c>
      <c r="O133" s="467">
        <f>SUM(Tableau1315[[#This Row],[CONTRAT O&amp;M FORFAIT GROUPE]:[CHARGES exceptionnels (BONUS, sinistres)]])</f>
        <v>-3113327.8336999998</v>
      </c>
      <c r="P133" s="354">
        <f>VLOOKUP(Tableau1315[[#This Row],[PARCS]],Tableau16[],10,FALSE)</f>
        <v>-2521859</v>
      </c>
      <c r="Q133" s="350">
        <f>VLOOKUP(Tableau1315[[#This Row],[PARCS]],Tableau16[],18,FALSE)</f>
        <v>-213548.7</v>
      </c>
      <c r="R133" s="350">
        <f>VLOOKUP(Tableau1315[[#This Row],[PARCS]],Tableau16[],19,FALSE)</f>
        <v>-13979.08</v>
      </c>
      <c r="S133" s="20">
        <f>VLOOKUP(Tableau1315[[#This Row],[PARCS]],Tableau16[],28,FALSE)</f>
        <v>-336096.92</v>
      </c>
      <c r="T133" s="20">
        <f>VLOOKUP(Tableau1315[[#This Row],[PARCS]],Tableau16[],36,FALSE)</f>
        <v>-128000</v>
      </c>
      <c r="U133" s="20">
        <f>VLOOKUP(Tableau1315[[#This Row],[PARCS]],Tableau16[],37,FALSE)</f>
        <v>-30000</v>
      </c>
      <c r="V133" s="467">
        <f>SUM(Tableau1315[[#This Row],[CONTRAT O&amp;M FORFAIT GROUPE2]:[CHARGES exceptionnels (BONUS, sinistres)7]])</f>
        <v>-3243483.7</v>
      </c>
      <c r="W133" s="354">
        <f>VLOOKUP(Tableau1315[[#This Row],[PARCS]],Tableau17[],10,FALSE)</f>
        <v>-2584905.4749999996</v>
      </c>
      <c r="X133" s="350">
        <f>VLOOKUP(Tableau1315[[#This Row],[PARCS]],Tableau17[],18,FALSE)</f>
        <v>-119620</v>
      </c>
      <c r="Y133" s="350">
        <f>VLOOKUP(Tableau1315[[#This Row],[PARCS]],Tableau17[],19,FALSE)</f>
        <v>-14328.556999999999</v>
      </c>
      <c r="Z133" s="350">
        <f>VLOOKUP(Tableau1315[[#This Row],[PARCS]],Tableau17[],28,FALSE)</f>
        <v>-309500</v>
      </c>
      <c r="AA133" s="350">
        <f>VLOOKUP(Tableau1315[[#This Row],[PARCS]],Tableau17[],36,FALSE)</f>
        <v>-28047.1</v>
      </c>
      <c r="AB133" s="252">
        <f>VLOOKUP(Tableau1315[[#This Row],[PARCS]],Tableau17[],37,FALSE)</f>
        <v>0</v>
      </c>
      <c r="AC133" s="468">
        <f>SUM(Tableau1315[[#This Row],[CONTRAT O&amp;M FORFAIT GROUPE22]:[CHARGES exceptionnels (BONUS, sinistres)77]])</f>
        <v>-3056401.1319999998</v>
      </c>
      <c r="AD133" s="252">
        <f>Tableau1315[[#This Row],[TOTAL LE3]]-Tableau1315[[#This Row],[TOTAL BN-1]]</f>
        <v>-130155.86630000034</v>
      </c>
      <c r="AE133" s="351">
        <f>IFERROR((Tableau1315[[#This Row],[TOTAL LE3]]-Tableau1315[[#This Row],[TOTAL BN-1]])/Tableau1315[[#This Row],[TOTAL BN-1]],"")</f>
        <v>4.1806026622425448E-2</v>
      </c>
      <c r="AF133" s="252">
        <f>Tableau1315[[#This Row],[TOTAL BN+1]]-Tableau1315[[#This Row],[TOTAL LE3]]</f>
        <v>187082.56800000044</v>
      </c>
      <c r="AG133" s="351">
        <f>IFERROR((Tableau1315[[#This Row],[TOTAL BN+1]]-Tableau1315[[#This Row],[TOTAL LE3]])/Tableau1315[[#This Row],[TOTAL LE3]],"")</f>
        <v>-5.7679515392662653E-2</v>
      </c>
    </row>
    <row r="134" spans="1:34" hidden="1">
      <c r="A134" s="463" t="s">
        <v>588</v>
      </c>
      <c r="B134" s="464" t="str">
        <f>VLOOKUP(Tableau1315[[#This Row],[PARCS]],Tableau106[],3,FALSE)</f>
        <v>A533</v>
      </c>
      <c r="C134" s="464" t="str">
        <f>VLOOKUP(Tableau1315[[#This Row],[PARCS]],Tableau106[],2,FALSE)</f>
        <v>FR57E03E</v>
      </c>
      <c r="D134" s="465" t="str">
        <f>VLOOKUP(Tableau1315[[#This Row],[PARCS]],Tableau106[],8,FALSE)</f>
        <v>EOLIEN</v>
      </c>
      <c r="E134" s="465" t="str">
        <f>VLOOKUP(A134,Tableau106[[#Headers],[#Data]],6,FALSE)</f>
        <v>N</v>
      </c>
      <c r="F134" s="466" t="str">
        <f>VLOOKUP(Tableau1315[[#This Row],[PARCS]],Tableau106[],5,FALSE)</f>
        <v>PDFE</v>
      </c>
      <c r="G134" s="464" t="str">
        <f>VLOOKUP(Tableau1315[[#This Row],[PARCS]],Tableau106[],7,FALSE)</f>
        <v>GROUPE</v>
      </c>
      <c r="H134" s="464" t="str">
        <f>VLOOKUP(Tableau1315[[#This Row],[PARCS]],Tableau106[],9,FALSE)</f>
        <v>AyB</v>
      </c>
      <c r="I134" s="350">
        <f>IFERROR(VLOOKUP(Tableau1315[[#This Row],[PARCS]],Tableau15[],10,FALSE),"")</f>
        <v>-12626.246851385387</v>
      </c>
      <c r="J134" s="20">
        <f>IFERROR(VLOOKUP(Tableau1315[[#This Row],[PARCS]],Tableau15[],18,FALSE),"")</f>
        <v>-10800</v>
      </c>
      <c r="K134" s="252">
        <f>IFERROR(VLOOKUP(Tableau1315[[#This Row],[PARCS]],Tableau15[],19,FALSE),"")</f>
        <v>-221742.18</v>
      </c>
      <c r="L134" s="20">
        <f>IFERROR(VLOOKUP(Tableau1315[[#This Row],[PARCS]],Tableau15[],28,FALSE),"")</f>
        <v>-4650</v>
      </c>
      <c r="M134" s="252">
        <f>IFERROR(VLOOKUP(Tableau1315[[#This Row],[PARCS]],Tableau15[],36,FALSE),"")</f>
        <v>0</v>
      </c>
      <c r="N134" s="252">
        <f>IFERROR(VLOOKUP(Tableau1315[[#This Row],[PARCS]],Tableau15[],37,FALSE),"")</f>
        <v>0</v>
      </c>
      <c r="O134" s="467">
        <f>SUM(Tableau1315[[#This Row],[CONTRAT O&amp;M FORFAIT GROUPE]:[CHARGES exceptionnels (BONUS, sinistres)]])</f>
        <v>-249818.42685138539</v>
      </c>
      <c r="P134" s="354">
        <f>VLOOKUP(Tableau1315[[#This Row],[PARCS]],Tableau16[],10,FALSE)</f>
        <v>-9220</v>
      </c>
      <c r="Q134" s="252">
        <f>VLOOKUP(Tableau1315[[#This Row],[PARCS]],Tableau16[],18,FALSE)</f>
        <v>-11850</v>
      </c>
      <c r="R134" s="252">
        <f>VLOOKUP(Tableau1315[[#This Row],[PARCS]],Tableau16[],19,FALSE)</f>
        <v>-239689</v>
      </c>
      <c r="S134" s="252">
        <f>VLOOKUP(Tableau1315[[#This Row],[PARCS]],Tableau16[],28,FALSE)</f>
        <v>-5650</v>
      </c>
      <c r="T134" s="252">
        <f>VLOOKUP(Tableau1315[[#This Row],[PARCS]],Tableau16[],36,FALSE)</f>
        <v>0</v>
      </c>
      <c r="U134" s="252">
        <f>VLOOKUP(Tableau1315[[#This Row],[PARCS]],Tableau16[],37,FALSE)</f>
        <v>-5000</v>
      </c>
      <c r="V134" s="467">
        <f>SUM(Tableau1315[[#This Row],[CONTRAT O&amp;M FORFAIT GROUPE2]:[CHARGES exceptionnels (BONUS, sinistres)7]])</f>
        <v>-271409</v>
      </c>
      <c r="W134" s="354">
        <f>VLOOKUP(Tableau1315[[#This Row],[PARCS]],Tableau17[],10,FALSE)</f>
        <v>-9450.5</v>
      </c>
      <c r="X134" s="252">
        <f>VLOOKUP(Tableau1315[[#This Row],[PARCS]],Tableau17[],18,FALSE)</f>
        <v>-11990</v>
      </c>
      <c r="Y134" s="252">
        <f>VLOOKUP(Tableau1315[[#This Row],[PARCS]],Tableau17[],19,FALSE)</f>
        <v>-245681.22499999998</v>
      </c>
      <c r="Z134" s="252">
        <f>VLOOKUP(Tableau1315[[#This Row],[PARCS]],Tableau17[],28,FALSE)</f>
        <v>-2650</v>
      </c>
      <c r="AA134" s="252">
        <f>VLOOKUP(Tableau1315[[#This Row],[PARCS]],Tableau17[],36,FALSE)</f>
        <v>-5047.0999999999995</v>
      </c>
      <c r="AB134" s="252">
        <f>VLOOKUP(Tableau1315[[#This Row],[PARCS]],Tableau17[],37,FALSE)</f>
        <v>0</v>
      </c>
      <c r="AC134" s="468">
        <f>SUM(Tableau1315[[#This Row],[CONTRAT O&amp;M FORFAIT GROUPE22]:[CHARGES exceptionnels (BONUS, sinistres)77]])</f>
        <v>-274818.82499999995</v>
      </c>
      <c r="AD134" s="252">
        <f>Tableau1315[[#This Row],[TOTAL LE3]]-Tableau1315[[#This Row],[TOTAL BN-1]]</f>
        <v>-21590.573148614611</v>
      </c>
      <c r="AE134" s="351">
        <f>IFERROR((Tableau1315[[#This Row],[TOTAL LE3]]-Tableau1315[[#This Row],[TOTAL BN-1]])/Tableau1315[[#This Row],[TOTAL BN-1]],"")</f>
        <v>8.6425062477311326E-2</v>
      </c>
      <c r="AF134" s="252">
        <f>Tableau1315[[#This Row],[TOTAL BN+1]]-Tableau1315[[#This Row],[TOTAL LE3]]</f>
        <v>-3409.8249999999534</v>
      </c>
      <c r="AG134" s="351">
        <f>IFERROR((Tableau1315[[#This Row],[TOTAL BN+1]]-Tableau1315[[#This Row],[TOTAL LE3]])/Tableau1315[[#This Row],[TOTAL LE3]],"")</f>
        <v>1.2563419046531079E-2</v>
      </c>
    </row>
    <row r="135" spans="1:34">
      <c r="A135" s="463" t="s">
        <v>527</v>
      </c>
      <c r="B135" s="464" t="str">
        <f>VLOOKUP(Tableau1315[[#This Row],[PARCS]],Tableau106[],3,FALSE)</f>
        <v>A150</v>
      </c>
      <c r="C135" s="464" t="str">
        <f>VLOOKUP(Tableau1315[[#This Row],[PARCS]],Tableau106[],2,FALSE)</f>
        <v>FR51E01E</v>
      </c>
      <c r="D135" s="465" t="str">
        <f>VLOOKUP(Tableau1315[[#This Row],[PARCS]],Tableau106[],8,FALSE)</f>
        <v>EOLIEN</v>
      </c>
      <c r="E135" s="465" t="str">
        <f>VLOOKUP(A135,Tableau106[[#Headers],[#Data]],6,FALSE)</f>
        <v>N</v>
      </c>
      <c r="F135" s="466" t="str">
        <f>VLOOKUP(Tableau1315[[#This Row],[PARCS]],Tableau106[],5,FALSE)</f>
        <v>PDC1, PDC2</v>
      </c>
      <c r="G135" s="464" t="str">
        <f>VLOOKUP(Tableau1315[[#This Row],[PARCS]],Tableau106[],7,FALSE)</f>
        <v>FUTUREN</v>
      </c>
      <c r="H135" s="464" t="str">
        <f>VLOOKUP(Tableau1315[[#This Row],[PARCS]],Tableau106[],9,FALSE)</f>
        <v>HuB</v>
      </c>
      <c r="I135" s="350">
        <f>IFERROR(VLOOKUP(Tableau1315[[#This Row],[PARCS]],Tableau15[],10,FALSE),"")</f>
        <v>-23606</v>
      </c>
      <c r="J135" s="20">
        <f>IFERROR(VLOOKUP(Tableau1315[[#This Row],[PARCS]],Tableau15[],18,FALSE),"")</f>
        <v>-16605</v>
      </c>
      <c r="K135" s="252">
        <f>IFERROR(VLOOKUP(Tableau1315[[#This Row],[PARCS]],Tableau15[],19,FALSE),"")</f>
        <v>-265724.09999999998</v>
      </c>
      <c r="L135" s="20">
        <f>IFERROR(VLOOKUP(Tableau1315[[#This Row],[PARCS]],Tableau15[],28,FALSE),"")</f>
        <v>-8850</v>
      </c>
      <c r="M135" s="252">
        <f>IFERROR(VLOOKUP(Tableau1315[[#This Row],[PARCS]],Tableau15[],36,FALSE),"")</f>
        <v>-40000</v>
      </c>
      <c r="N135" s="252">
        <f>IFERROR(VLOOKUP(Tableau1315[[#This Row],[PARCS]],Tableau15[],37,FALSE),"")</f>
        <v>0</v>
      </c>
      <c r="O135" s="467">
        <f>SUM(Tableau1315[[#This Row],[CONTRAT O&amp;M FORFAIT GROUPE]:[CHARGES exceptionnels (BONUS, sinistres)]])</f>
        <v>-354785.1</v>
      </c>
      <c r="P135" s="354">
        <f>VLOOKUP(Tableau1315[[#This Row],[PARCS]],Tableau16[],10,FALSE)</f>
        <v>-16389</v>
      </c>
      <c r="Q135" s="252">
        <f>VLOOKUP(Tableau1315[[#This Row],[PARCS]],Tableau16[],18,FALSE)</f>
        <v>-8070</v>
      </c>
      <c r="R135" s="252">
        <f>VLOOKUP(Tableau1315[[#This Row],[PARCS]],Tableau16[],19,FALSE)</f>
        <v>-261000</v>
      </c>
      <c r="S135" s="252">
        <f>VLOOKUP(Tableau1315[[#This Row],[PARCS]],Tableau16[],28,FALSE)</f>
        <v>-5775</v>
      </c>
      <c r="T135" s="252">
        <f>VLOOKUP(Tableau1315[[#This Row],[PARCS]],Tableau16[],36,FALSE)</f>
        <v>-32592</v>
      </c>
      <c r="U135" s="252">
        <f>VLOOKUP(Tableau1315[[#This Row],[PARCS]],Tableau16[],37,FALSE)</f>
        <v>0</v>
      </c>
      <c r="V135" s="467">
        <f>SUM(Tableau1315[[#This Row],[CONTRAT O&amp;M FORFAIT GROUPE2]:[CHARGES exceptionnels (BONUS, sinistres)7]])</f>
        <v>-323826</v>
      </c>
      <c r="W135" s="354">
        <f>VLOOKUP(Tableau1315[[#This Row],[PARCS]],Tableau17[],10,FALSE)</f>
        <v>-16798.724999999999</v>
      </c>
      <c r="X135" s="252">
        <f>VLOOKUP(Tableau1315[[#This Row],[PARCS]],Tableau17[],18,FALSE)</f>
        <v>-8090</v>
      </c>
      <c r="Y135" s="252">
        <f>VLOOKUP(Tableau1315[[#This Row],[PARCS]],Tableau17[],19,FALSE)</f>
        <v>-267525</v>
      </c>
      <c r="Z135" s="252">
        <f>VLOOKUP(Tableau1315[[#This Row],[PARCS]],Tableau17[],28,FALSE)</f>
        <v>-5775</v>
      </c>
      <c r="AA135" s="252">
        <f>VLOOKUP(Tableau1315[[#This Row],[PARCS]],Tableau17[],36,FALSE)</f>
        <v>-40000</v>
      </c>
      <c r="AB135" s="252">
        <f>VLOOKUP(Tableau1315[[#This Row],[PARCS]],Tableau17[],37,FALSE)</f>
        <v>0</v>
      </c>
      <c r="AC135" s="468">
        <f>SUM(Tableau1315[[#This Row],[CONTRAT O&amp;M FORFAIT GROUPE22]:[CHARGES exceptionnels (BONUS, sinistres)77]])</f>
        <v>-338188.72499999998</v>
      </c>
      <c r="AD135" s="252">
        <f>Tableau1315[[#This Row],[TOTAL LE3]]-Tableau1315[[#This Row],[TOTAL BN-1]]</f>
        <v>30959.099999999977</v>
      </c>
      <c r="AE135" s="351">
        <f>IFERROR((Tableau1315[[#This Row],[TOTAL LE3]]-Tableau1315[[#This Row],[TOTAL BN-1]])/Tableau1315[[#This Row],[TOTAL BN-1]],"")</f>
        <v>-8.7261556361865195E-2</v>
      </c>
      <c r="AF135" s="252">
        <f>Tableau1315[[#This Row],[TOTAL BN+1]]-Tableau1315[[#This Row],[TOTAL LE3]]</f>
        <v>-14362.724999999977</v>
      </c>
      <c r="AG135" s="351">
        <f>IFERROR((Tableau1315[[#This Row],[TOTAL BN+1]]-Tableau1315[[#This Row],[TOTAL LE3]])/Tableau1315[[#This Row],[TOTAL LE3]],"")</f>
        <v>4.4353217468640495E-2</v>
      </c>
    </row>
    <row r="136" spans="1:34" hidden="1">
      <c r="A136" s="463" t="s">
        <v>574</v>
      </c>
      <c r="B136" s="464" t="str">
        <f>VLOOKUP(Tableau1315[[#This Row],[PARCS]],Tableau106[],3,FALSE)</f>
        <v>A041</v>
      </c>
      <c r="C136" s="464" t="str">
        <f>VLOOKUP(Tableau1315[[#This Row],[PARCS]],Tableau106[],2,FALSE)</f>
        <v>FR97S92E</v>
      </c>
      <c r="D136" s="465" t="str">
        <f>VLOOKUP(Tableau1315[[#This Row],[PARCS]],Tableau106[],8,FALSE)</f>
        <v>SOLAIRE DOM</v>
      </c>
      <c r="E136" s="465" t="str">
        <f>VLOOKUP(A136,Tableau106[[#Headers],[#Data]],6,FALSE)</f>
        <v>DOM</v>
      </c>
      <c r="F136" s="466" t="str">
        <f>VLOOKUP(Tableau1315[[#This Row],[PARCS]],Tableau106[],5,FALSE)</f>
        <v>POTI</v>
      </c>
      <c r="G136" s="464" t="str">
        <f>VLOOKUP(Tableau1315[[#This Row],[PARCS]],Tableau106[],7,FALSE)</f>
        <v>GROUPE</v>
      </c>
      <c r="H136" s="464" t="str">
        <f>VLOOKUP(Tableau1315[[#This Row],[PARCS]],Tableau106[],9,FALSE)</f>
        <v>DoJ</v>
      </c>
      <c r="I136" s="350">
        <f>IFERROR(VLOOKUP(Tableau1315[[#This Row],[PARCS]],Tableau15[],10,FALSE),"")</f>
        <v>0</v>
      </c>
      <c r="J136" s="20">
        <f>IFERROR(VLOOKUP(Tableau1315[[#This Row],[PARCS]],Tableau15[],18,FALSE),"")</f>
        <v>-4500</v>
      </c>
      <c r="K136" s="252">
        <f>IFERROR(VLOOKUP(Tableau1315[[#This Row],[PARCS]],Tableau15[],19,FALSE),"")</f>
        <v>-260598.007224</v>
      </c>
      <c r="L136" s="20">
        <f>IFERROR(VLOOKUP(Tableau1315[[#This Row],[PARCS]],Tableau15[],28,FALSE),"")</f>
        <v>-38750</v>
      </c>
      <c r="M136" s="252">
        <f>IFERROR(VLOOKUP(Tableau1315[[#This Row],[PARCS]],Tableau15[],36,FALSE),"")</f>
        <v>0</v>
      </c>
      <c r="N136" s="252">
        <f>IFERROR(VLOOKUP(Tableau1315[[#This Row],[PARCS]],Tableau15[],37,FALSE),"")</f>
        <v>0</v>
      </c>
      <c r="O136" s="467">
        <f>SUM(Tableau1315[[#This Row],[CONTRAT O&amp;M FORFAIT GROUPE]:[CHARGES exceptionnels (BONUS, sinistres)]])</f>
        <v>-303848.007224</v>
      </c>
      <c r="P136" s="354">
        <f>VLOOKUP(Tableau1315[[#This Row],[PARCS]],Tableau16[],10,FALSE)</f>
        <v>0</v>
      </c>
      <c r="Q136" s="252">
        <f>VLOOKUP(Tableau1315[[#This Row],[PARCS]],Tableau16[],18,FALSE)</f>
        <v>-1125</v>
      </c>
      <c r="R136" s="252">
        <f>VLOOKUP(Tableau1315[[#This Row],[PARCS]],Tableau16[],19,FALSE)</f>
        <v>-261131</v>
      </c>
      <c r="S136" s="252">
        <f>VLOOKUP(Tableau1315[[#This Row],[PARCS]],Tableau16[],28,FALSE)</f>
        <v>-42600.73</v>
      </c>
      <c r="T136" s="252">
        <f>VLOOKUP(Tableau1315[[#This Row],[PARCS]],Tableau16[],36,FALSE)</f>
        <v>0</v>
      </c>
      <c r="U136" s="252">
        <f>VLOOKUP(Tableau1315[[#This Row],[PARCS]],Tableau16[],37,FALSE)</f>
        <v>0</v>
      </c>
      <c r="V136" s="467">
        <f>SUM(Tableau1315[[#This Row],[CONTRAT O&amp;M FORFAIT GROUPE2]:[CHARGES exceptionnels (BONUS, sinistres)7]])</f>
        <v>-304856.73</v>
      </c>
      <c r="W136" s="354">
        <f>VLOOKUP(Tableau1315[[#This Row],[PARCS]],Tableau17[],10,FALSE)</f>
        <v>0</v>
      </c>
      <c r="X136" s="252">
        <f>VLOOKUP(Tableau1315[[#This Row],[PARCS]],Tableau17[],18,FALSE)</f>
        <v>-1125</v>
      </c>
      <c r="Y136" s="252">
        <f>VLOOKUP(Tableau1315[[#This Row],[PARCS]],Tableau17[],19,FALSE)</f>
        <v>-267659.27499999997</v>
      </c>
      <c r="Z136" s="252">
        <f>VLOOKUP(Tableau1315[[#This Row],[PARCS]],Tableau17[],28,FALSE)</f>
        <v>-41825.730000000003</v>
      </c>
      <c r="AA136" s="252">
        <f>VLOOKUP(Tableau1315[[#This Row],[PARCS]],Tableau17[],36,FALSE)</f>
        <v>0</v>
      </c>
      <c r="AB136" s="252">
        <f>VLOOKUP(Tableau1315[[#This Row],[PARCS]],Tableau17[],37,FALSE)</f>
        <v>0</v>
      </c>
      <c r="AC136" s="468">
        <f>SUM(Tableau1315[[#This Row],[CONTRAT O&amp;M FORFAIT GROUPE22]:[CHARGES exceptionnels (BONUS, sinistres)77]])</f>
        <v>-310610.00499999995</v>
      </c>
      <c r="AD136" s="252">
        <f>Tableau1315[[#This Row],[TOTAL LE3]]-Tableau1315[[#This Row],[TOTAL BN-1]]</f>
        <v>-1008.7227759999805</v>
      </c>
      <c r="AE136" s="351">
        <f>IFERROR((Tableau1315[[#This Row],[TOTAL LE3]]-Tableau1315[[#This Row],[TOTAL BN-1]])/Tableau1315[[#This Row],[TOTAL BN-1]],"")</f>
        <v>3.3198268608565836E-3</v>
      </c>
      <c r="AF136" s="252">
        <f>Tableau1315[[#This Row],[TOTAL BN+1]]-Tableau1315[[#This Row],[TOTAL LE3]]</f>
        <v>-5753.2749999999651</v>
      </c>
      <c r="AG136" s="351">
        <f>IFERROR((Tableau1315[[#This Row],[TOTAL BN+1]]-Tableau1315[[#This Row],[TOTAL LE3]])/Tableau1315[[#This Row],[TOTAL LE3]],"")</f>
        <v>1.8872061640233317E-2</v>
      </c>
    </row>
    <row r="137" spans="1:34" hidden="1">
      <c r="A137" s="463" t="s">
        <v>575</v>
      </c>
      <c r="B137" s="464" t="str">
        <f>VLOOKUP(Tableau1315[[#This Row],[PARCS]],Tableau106[],3,FALSE)</f>
        <v>A893</v>
      </c>
      <c r="C137" s="464" t="str">
        <f>VLOOKUP(Tableau1315[[#This Row],[PARCS]],Tableau106[],2,FALSE)</f>
        <v>FR34E97E</v>
      </c>
      <c r="D137" s="464" t="str">
        <f>VLOOKUP(Tableau1315[[#This Row],[PARCS]],Tableau106[],8,FALSE)</f>
        <v>EOLIEN</v>
      </c>
      <c r="E137" s="464" t="str">
        <f>VLOOKUP(A137,Tableau106[[#Headers],[#Data]],6,FALSE)</f>
        <v>S</v>
      </c>
      <c r="F137" s="464" t="str">
        <f>VLOOKUP(Tableau1315[[#This Row],[PARCS]],Tableau106[],5,FALSE)</f>
        <v>AUQB</v>
      </c>
      <c r="G137" s="464" t="str">
        <f>VLOOKUP(Tableau1315[[#This Row],[PARCS]],Tableau106[],7,FALSE)</f>
        <v>GROUPE</v>
      </c>
      <c r="H137" s="464" t="str">
        <f>VLOOKUP(Tableau1315[[#This Row],[PARCS]],Tableau106[],9,FALSE)</f>
        <v>KéD</v>
      </c>
      <c r="I137" s="350">
        <f>IFERROR(VLOOKUP(Tableau1315[[#This Row],[PARCS]],Tableau15[],10,FALSE),"")</f>
        <v>-498499.19890459778</v>
      </c>
      <c r="J137" s="350">
        <f>IFERROR(VLOOKUP(Tableau1315[[#This Row],[PARCS]],Tableau15[],18,FALSE),"")</f>
        <v>-21000</v>
      </c>
      <c r="K137" s="350">
        <f>IFERROR(VLOOKUP(Tableau1315[[#This Row],[PARCS]],Tableau15[],19,FALSE),"")</f>
        <v>0</v>
      </c>
      <c r="L137" s="20">
        <f>IFERROR(VLOOKUP(Tableau1315[[#This Row],[PARCS]],Tableau15[],28,FALSE),"")</f>
        <v>-20000</v>
      </c>
      <c r="M137" s="20">
        <f>IFERROR(VLOOKUP(Tableau1315[[#This Row],[PARCS]],Tableau15[],36,FALSE),"")</f>
        <v>-48795.95</v>
      </c>
      <c r="N137" s="20">
        <f>IFERROR(VLOOKUP(Tableau1315[[#This Row],[PARCS]],Tableau15[],37,FALSE),"")</f>
        <v>-40000</v>
      </c>
      <c r="O137" s="470">
        <f>SUM(Tableau1315[[#This Row],[CONTRAT O&amp;M FORFAIT GROUPE]:[CHARGES exceptionnels (BONUS, sinistres)]])</f>
        <v>-628295.14890459774</v>
      </c>
      <c r="P137" s="349">
        <f>VLOOKUP(Tableau1315[[#This Row],[PARCS]],Tableau16[],10,FALSE)</f>
        <v>-501305</v>
      </c>
      <c r="Q137" s="350">
        <f>VLOOKUP(Tableau1315[[#This Row],[PARCS]],Tableau16[],18,FALSE)</f>
        <v>-51290</v>
      </c>
      <c r="R137" s="350">
        <f>VLOOKUP(Tableau1315[[#This Row],[PARCS]],Tableau16[],19,FALSE)</f>
        <v>0</v>
      </c>
      <c r="S137" s="20">
        <f>VLOOKUP(Tableau1315[[#This Row],[PARCS]],Tableau16[],28,FALSE)</f>
        <v>-12150</v>
      </c>
      <c r="T137" s="20">
        <f>VLOOKUP(Tableau1315[[#This Row],[PARCS]],Tableau16[],36,FALSE)</f>
        <v>-61334.5</v>
      </c>
      <c r="U137" s="20">
        <f>VLOOKUP(Tableau1315[[#This Row],[PARCS]],Tableau16[],37,FALSE)</f>
        <v>0</v>
      </c>
      <c r="V137" s="470">
        <f>SUM(Tableau1315[[#This Row],[CONTRAT O&amp;M FORFAIT GROUPE2]:[CHARGES exceptionnels (BONUS, sinistres)7]])</f>
        <v>-626079.5</v>
      </c>
      <c r="W137" s="349">
        <f>VLOOKUP(Tableau1315[[#This Row],[PARCS]],Tableau17[],10,FALSE)</f>
        <v>-513837.62499999994</v>
      </c>
      <c r="X137" s="350">
        <f>VLOOKUP(Tableau1315[[#This Row],[PARCS]],Tableau17[],18,FALSE)</f>
        <v>-31680</v>
      </c>
      <c r="Y137" s="350">
        <f>VLOOKUP(Tableau1315[[#This Row],[PARCS]],Tableau17[],19,FALSE)</f>
        <v>0</v>
      </c>
      <c r="Z137" s="350">
        <f>VLOOKUP(Tableau1315[[#This Row],[PARCS]],Tableau17[],28,FALSE)</f>
        <v>-15000</v>
      </c>
      <c r="AA137" s="350">
        <f>VLOOKUP(Tableau1315[[#This Row],[PARCS]],Tableau17[],36,FALSE)</f>
        <v>-61337</v>
      </c>
      <c r="AB137" s="350">
        <f>VLOOKUP(Tableau1315[[#This Row],[PARCS]],Tableau17[],37,FALSE)</f>
        <v>0</v>
      </c>
      <c r="AC137" s="471">
        <f>SUM(Tableau1315[[#This Row],[CONTRAT O&amp;M FORFAIT GROUPE22]:[CHARGES exceptionnels (BONUS, sinistres)77]])</f>
        <v>-621854.625</v>
      </c>
      <c r="AD137" s="252">
        <f>Tableau1315[[#This Row],[TOTAL LE3]]-Tableau1315[[#This Row],[TOTAL BN-1]]</f>
        <v>2215.648904597736</v>
      </c>
      <c r="AE137" s="351">
        <f>IFERROR((Tableau1315[[#This Row],[TOTAL LE3]]-Tableau1315[[#This Row],[TOTAL BN-1]])/Tableau1315[[#This Row],[TOTAL BN-1]],"")</f>
        <v>-3.5264459839624944E-3</v>
      </c>
      <c r="AF137" s="252">
        <f>Tableau1315[[#This Row],[TOTAL BN+1]]-Tableau1315[[#This Row],[TOTAL LE3]]</f>
        <v>4224.875</v>
      </c>
      <c r="AG137" s="351">
        <f>IFERROR((Tableau1315[[#This Row],[TOTAL BN+1]]-Tableau1315[[#This Row],[TOTAL LE3]])/Tableau1315[[#This Row],[TOTAL LE3]],"")</f>
        <v>-6.7481446046388678E-3</v>
      </c>
      <c r="AH137" s="6" t="s">
        <v>490</v>
      </c>
    </row>
    <row r="138" spans="1:34" hidden="1">
      <c r="A138" s="463" t="s">
        <v>591</v>
      </c>
      <c r="B138" s="464" t="str">
        <f>VLOOKUP(Tableau1315[[#This Row],[PARCS]],Tableau106[],3,FALSE)</f>
        <v>A272</v>
      </c>
      <c r="C138" s="464" t="str">
        <f>VLOOKUP(Tableau1315[[#This Row],[PARCS]],Tableau106[],2,FALSE)</f>
        <v>FR43S03E</v>
      </c>
      <c r="D138" s="465" t="str">
        <f>VLOOKUP(Tableau1315[[#This Row],[PARCS]],Tableau106[],8,FALSE)</f>
        <v>SOLAIRE</v>
      </c>
      <c r="E138" s="465" t="str">
        <f>VLOOKUP(A138,Tableau106[[#Headers],[#Data]],6,FALSE)</f>
        <v>S</v>
      </c>
      <c r="F138" s="466" t="str">
        <f>VLOOKUP(Tableau1315[[#This Row],[PARCS]],Tableau106[],5,FALSE)</f>
        <v>SALZ</v>
      </c>
      <c r="G138" s="464" t="str">
        <f>VLOOKUP(Tableau1315[[#This Row],[PARCS]],Tableau106[],7,FALSE)</f>
        <v>GROUPE</v>
      </c>
      <c r="H138" s="464" t="str">
        <f>VLOOKUP(Tableau1315[[#This Row],[PARCS]],Tableau106[],9,FALSE)</f>
        <v>ArB</v>
      </c>
      <c r="I138" s="350">
        <f>IFERROR(VLOOKUP(Tableau1315[[#This Row],[PARCS]],Tableau15[],10,FALSE),"")</f>
        <v>-36000</v>
      </c>
      <c r="J138" s="20">
        <f>IFERROR(VLOOKUP(Tableau1315[[#This Row],[PARCS]],Tableau15[],18,FALSE),"")</f>
        <v>-8500</v>
      </c>
      <c r="K138" s="252">
        <f>IFERROR(VLOOKUP(Tableau1315[[#This Row],[PARCS]],Tableau15[],19,FALSE),"")</f>
        <v>0</v>
      </c>
      <c r="L138" s="20">
        <f>IFERROR(VLOOKUP(Tableau1315[[#This Row],[PARCS]],Tableau15[],28,FALSE),"")</f>
        <v>-17100</v>
      </c>
      <c r="M138" s="252">
        <f>IFERROR(VLOOKUP(Tableau1315[[#This Row],[PARCS]],Tableau15[],36,FALSE),"")</f>
        <v>0</v>
      </c>
      <c r="N138" s="252">
        <f>IFERROR(VLOOKUP(Tableau1315[[#This Row],[PARCS]],Tableau15[],37,FALSE),"")</f>
        <v>0</v>
      </c>
      <c r="O138" s="467">
        <f>SUM(Tableau1315[[#This Row],[CONTRAT O&amp;M FORFAIT GROUPE]:[CHARGES exceptionnels (BONUS, sinistres)]])</f>
        <v>-61600</v>
      </c>
      <c r="P138" s="354">
        <f>VLOOKUP(Tableau1315[[#This Row],[PARCS]],Tableau16[],10,FALSE)</f>
        <v>-35290</v>
      </c>
      <c r="Q138" s="252">
        <f>VLOOKUP(Tableau1315[[#This Row],[PARCS]],Tableau16[],18,FALSE)</f>
        <v>-6780</v>
      </c>
      <c r="R138" s="252">
        <f>VLOOKUP(Tableau1315[[#This Row],[PARCS]],Tableau16[],19,FALSE)</f>
        <v>0</v>
      </c>
      <c r="S138" s="252">
        <f>VLOOKUP(Tableau1315[[#This Row],[PARCS]],Tableau16[],28,FALSE)</f>
        <v>-16650</v>
      </c>
      <c r="T138" s="252">
        <f>VLOOKUP(Tableau1315[[#This Row],[PARCS]],Tableau16[],36,FALSE)</f>
        <v>0</v>
      </c>
      <c r="U138" s="252">
        <f>VLOOKUP(Tableau1315[[#This Row],[PARCS]],Tableau16[],37,FALSE)</f>
        <v>-3000</v>
      </c>
      <c r="V138" s="467">
        <f>SUM(Tableau1315[[#This Row],[CONTRAT O&amp;M FORFAIT GROUPE2]:[CHARGES exceptionnels (BONUS, sinistres)7]])</f>
        <v>-61720</v>
      </c>
      <c r="W138" s="354">
        <f>VLOOKUP(Tableau1315[[#This Row],[PARCS]],Tableau17[],10,FALSE)</f>
        <v>-36172.25</v>
      </c>
      <c r="X138" s="252">
        <f>VLOOKUP(Tableau1315[[#This Row],[PARCS]],Tableau17[],18,FALSE)</f>
        <v>-6780</v>
      </c>
      <c r="Y138" s="252">
        <f>VLOOKUP(Tableau1315[[#This Row],[PARCS]],Tableau17[],19,FALSE)</f>
        <v>0</v>
      </c>
      <c r="Z138" s="252">
        <f>VLOOKUP(Tableau1315[[#This Row],[PARCS]],Tableau17[],28,FALSE)</f>
        <v>-16650</v>
      </c>
      <c r="AA138" s="252">
        <f>VLOOKUP(Tableau1315[[#This Row],[PARCS]],Tableau17[],36,FALSE)</f>
        <v>0</v>
      </c>
      <c r="AB138" s="252">
        <f>VLOOKUP(Tableau1315[[#This Row],[PARCS]],Tableau17[],37,FALSE)</f>
        <v>0</v>
      </c>
      <c r="AC138" s="468">
        <f>SUM(Tableau1315[[#This Row],[CONTRAT O&amp;M FORFAIT GROUPE22]:[CHARGES exceptionnels (BONUS, sinistres)77]])</f>
        <v>-59602.25</v>
      </c>
      <c r="AD138" s="252">
        <f>Tableau1315[[#This Row],[TOTAL LE3]]-Tableau1315[[#This Row],[TOTAL BN-1]]</f>
        <v>-120</v>
      </c>
      <c r="AE138" s="351">
        <f>IFERROR((Tableau1315[[#This Row],[TOTAL LE3]]-Tableau1315[[#This Row],[TOTAL BN-1]])/Tableau1315[[#This Row],[TOTAL BN-1]],"")</f>
        <v>1.9480519480519481E-3</v>
      </c>
      <c r="AF138" s="252">
        <f>Tableau1315[[#This Row],[TOTAL BN+1]]-Tableau1315[[#This Row],[TOTAL LE3]]</f>
        <v>2117.75</v>
      </c>
      <c r="AG138" s="351">
        <f>IFERROR((Tableau1315[[#This Row],[TOTAL BN+1]]-Tableau1315[[#This Row],[TOTAL LE3]])/Tableau1315[[#This Row],[TOTAL LE3]],"")</f>
        <v>-3.4312216461438755E-2</v>
      </c>
    </row>
    <row r="139" spans="1:34" hidden="1">
      <c r="A139" s="463" t="s">
        <v>621</v>
      </c>
      <c r="B139" s="464" t="str">
        <f>VLOOKUP(Tableau1315[[#This Row],[PARCS]],Tableau106[],3,FALSE)</f>
        <v>A540</v>
      </c>
      <c r="C139" s="464" t="str">
        <f>VLOOKUP(Tableau1315[[#This Row],[PARCS]],Tableau106[],2,FALSE)</f>
        <v>FR55E05E</v>
      </c>
      <c r="D139" s="465" t="str">
        <f>VLOOKUP(Tableau1315[[#This Row],[PARCS]],Tableau106[],8,FALSE)</f>
        <v>EOLIEN</v>
      </c>
      <c r="E139" s="465" t="str">
        <f>VLOOKUP(A139,Tableau106[[#Headers],[#Data]],6,FALSE)</f>
        <v>N</v>
      </c>
      <c r="F139" s="466" t="str">
        <f>VLOOKUP(Tableau1315[[#This Row],[PARCS]],Tableau106[],5,FALSE)</f>
        <v>RAM1</v>
      </c>
      <c r="G139" s="464" t="str">
        <f>VLOOKUP(Tableau1315[[#This Row],[PARCS]],Tableau106[],7,FALSE)</f>
        <v>EGM</v>
      </c>
      <c r="H139" s="464" t="str">
        <f>VLOOKUP(Tableau1315[[#This Row],[PARCS]],Tableau106[],9,FALSE)</f>
        <v>BaB</v>
      </c>
      <c r="I139" s="350">
        <f>IFERROR(VLOOKUP(Tableau1315[[#This Row],[PARCS]],Tableau15[],10,FALSE),"")</f>
        <v>-308014.31530515221</v>
      </c>
      <c r="J139" s="20">
        <f>IFERROR(VLOOKUP(Tableau1315[[#This Row],[PARCS]],Tableau15[],18,FALSE),"")</f>
        <v>-55882.539682539682</v>
      </c>
      <c r="K139" s="252">
        <f>IFERROR(VLOOKUP(Tableau1315[[#This Row],[PARCS]],Tableau15[],19,FALSE),"")</f>
        <v>-50294.14</v>
      </c>
      <c r="L139" s="20">
        <f>IFERROR(VLOOKUP(Tableau1315[[#This Row],[PARCS]],Tableau15[],28,FALSE),"")</f>
        <v>-8000</v>
      </c>
      <c r="M139" s="252">
        <f>IFERROR(VLOOKUP(Tableau1315[[#This Row],[PARCS]],Tableau15[],36,FALSE),"")</f>
        <v>0</v>
      </c>
      <c r="N139" s="252">
        <f>IFERROR(VLOOKUP(Tableau1315[[#This Row],[PARCS]],Tableau15[],37,FALSE),"")</f>
        <v>0</v>
      </c>
      <c r="O139" s="467">
        <f>SUM(Tableau1315[[#This Row],[CONTRAT O&amp;M FORFAIT GROUPE]:[CHARGES exceptionnels (BONUS, sinistres)]])</f>
        <v>-422190.99498769193</v>
      </c>
      <c r="P139" s="354">
        <f>VLOOKUP(Tableau1315[[#This Row],[PARCS]],Tableau16[],10,FALSE)</f>
        <v>-309748</v>
      </c>
      <c r="Q139" s="252">
        <f>VLOOKUP(Tableau1315[[#This Row],[PARCS]],Tableau16[],18,FALSE)</f>
        <v>-319200</v>
      </c>
      <c r="R139" s="252">
        <f>VLOOKUP(Tableau1315[[#This Row],[PARCS]],Tableau16[],19,FALSE)</f>
        <v>-50572</v>
      </c>
      <c r="S139" s="252">
        <f>VLOOKUP(Tableau1315[[#This Row],[PARCS]],Tableau16[],28,FALSE)</f>
        <v>-6830</v>
      </c>
      <c r="T139" s="252">
        <f>VLOOKUP(Tableau1315[[#This Row],[PARCS]],Tableau16[],36,FALSE)</f>
        <v>0</v>
      </c>
      <c r="U139" s="252">
        <f>VLOOKUP(Tableau1315[[#This Row],[PARCS]],Tableau16[],37,FALSE)</f>
        <v>0</v>
      </c>
      <c r="V139" s="467">
        <f>SUM(Tableau1315[[#This Row],[CONTRAT O&amp;M FORFAIT GROUPE2]:[CHARGES exceptionnels (BONUS, sinistres)7]])</f>
        <v>-686350</v>
      </c>
      <c r="W139" s="354">
        <f>VLOOKUP(Tableau1315[[#This Row],[PARCS]],Tableau17[],10,FALSE)</f>
        <v>-317491.69999999995</v>
      </c>
      <c r="X139" s="252">
        <f>VLOOKUP(Tableau1315[[#This Row],[PARCS]],Tableau17[],18,FALSE)</f>
        <v>-195980</v>
      </c>
      <c r="Y139" s="252">
        <f>VLOOKUP(Tableau1315[[#This Row],[PARCS]],Tableau17[],19,FALSE)</f>
        <v>-51836.299999999996</v>
      </c>
      <c r="Z139" s="252">
        <f>VLOOKUP(Tableau1315[[#This Row],[PARCS]],Tableau17[],28,FALSE)</f>
        <v>-5000</v>
      </c>
      <c r="AA139" s="252">
        <f>VLOOKUP(Tableau1315[[#This Row],[PARCS]],Tableau17[],36,FALSE)</f>
        <v>0</v>
      </c>
      <c r="AB139" s="252">
        <f>VLOOKUP(Tableau1315[[#This Row],[PARCS]],Tableau17[],37,FALSE)</f>
        <v>0</v>
      </c>
      <c r="AC139" s="468">
        <f>SUM(Tableau1315[[#This Row],[CONTRAT O&amp;M FORFAIT GROUPE22]:[CHARGES exceptionnels (BONUS, sinistres)77]])</f>
        <v>-570308</v>
      </c>
      <c r="AD139" s="252">
        <f>Tableau1315[[#This Row],[TOTAL LE3]]-Tableau1315[[#This Row],[TOTAL BN-1]]</f>
        <v>-264159.00501230807</v>
      </c>
      <c r="AE139" s="351">
        <f>IFERROR((Tableau1315[[#This Row],[TOTAL LE3]]-Tableau1315[[#This Row],[TOTAL BN-1]])/Tableau1315[[#This Row],[TOTAL BN-1]],"")</f>
        <v>0.62568602397597106</v>
      </c>
      <c r="AF139" s="252">
        <f>Tableau1315[[#This Row],[TOTAL BN+1]]-Tableau1315[[#This Row],[TOTAL LE3]]</f>
        <v>116042</v>
      </c>
      <c r="AG139" s="351">
        <f>IFERROR((Tableau1315[[#This Row],[TOTAL BN+1]]-Tableau1315[[#This Row],[TOTAL LE3]])/Tableau1315[[#This Row],[TOTAL LE3]],"")</f>
        <v>-0.16907117359947549</v>
      </c>
    </row>
    <row r="140" spans="1:34" hidden="1">
      <c r="A140" s="463" t="s">
        <v>624</v>
      </c>
      <c r="B140" s="464" t="str">
        <f>VLOOKUP(Tableau1315[[#This Row],[PARCS]],Tableau106[],3,FALSE)</f>
        <v>A540</v>
      </c>
      <c r="C140" s="464" t="str">
        <f>VLOOKUP(Tableau1315[[#This Row],[PARCS]],Tableau106[],2,FALSE)</f>
        <v>FR55E06E</v>
      </c>
      <c r="D140" s="465" t="str">
        <f>VLOOKUP(Tableau1315[[#This Row],[PARCS]],Tableau106[],8,FALSE)</f>
        <v>EOLIEN</v>
      </c>
      <c r="E140" s="465" t="str">
        <f>VLOOKUP(A140,Tableau106[[#Headers],[#Data]],6,FALSE)</f>
        <v>N</v>
      </c>
      <c r="F140" s="466" t="str">
        <f>VLOOKUP(Tableau1315[[#This Row],[PARCS]],Tableau106[],5,FALSE)</f>
        <v>RAM2</v>
      </c>
      <c r="G140" s="464" t="str">
        <f>VLOOKUP(Tableau1315[[#This Row],[PARCS]],Tableau106[],7,FALSE)</f>
        <v>EGM</v>
      </c>
      <c r="H140" s="464" t="str">
        <f>VLOOKUP(Tableau1315[[#This Row],[PARCS]],Tableau106[],9,FALSE)</f>
        <v>BaB</v>
      </c>
      <c r="I140" s="350">
        <f>IFERROR(VLOOKUP(Tableau1315[[#This Row],[PARCS]],Tableau15[],10,FALSE),"")</f>
        <v>-667364.34982782975</v>
      </c>
      <c r="J140" s="20">
        <f>IFERROR(VLOOKUP(Tableau1315[[#This Row],[PARCS]],Tableau15[],18,FALSE),"")</f>
        <v>-121078.83597883598</v>
      </c>
      <c r="K140" s="252">
        <f>IFERROR(VLOOKUP(Tableau1315[[#This Row],[PARCS]],Tableau15[],19,FALSE),"")</f>
        <v>0</v>
      </c>
      <c r="L140" s="20">
        <f>IFERROR(VLOOKUP(Tableau1315[[#This Row],[PARCS]],Tableau15[],28,FALSE),"")</f>
        <v>-17000</v>
      </c>
      <c r="M140" s="252">
        <f>IFERROR(VLOOKUP(Tableau1315[[#This Row],[PARCS]],Tableau15[],36,FALSE),"")</f>
        <v>-15000</v>
      </c>
      <c r="N140" s="252">
        <f>IFERROR(VLOOKUP(Tableau1315[[#This Row],[PARCS]],Tableau15[],37,FALSE),"")</f>
        <v>0</v>
      </c>
      <c r="O140" s="467">
        <f>SUM(Tableau1315[[#This Row],[CONTRAT O&amp;M FORFAIT GROUPE]:[CHARGES exceptionnels (BONUS, sinistres)]])</f>
        <v>-820443.18580666569</v>
      </c>
      <c r="P140" s="354">
        <f>VLOOKUP(Tableau1315[[#This Row],[PARCS]],Tableau16[],10,FALSE)</f>
        <v>-671121</v>
      </c>
      <c r="Q140" s="252">
        <f>VLOOKUP(Tableau1315[[#This Row],[PARCS]],Tableau16[],18,FALSE)</f>
        <v>-636069</v>
      </c>
      <c r="R140" s="252">
        <f>VLOOKUP(Tableau1315[[#This Row],[PARCS]],Tableau16[],19,FALSE)</f>
        <v>0</v>
      </c>
      <c r="S140" s="252">
        <f>VLOOKUP(Tableau1315[[#This Row],[PARCS]],Tableau16[],28,FALSE)</f>
        <v>-34102</v>
      </c>
      <c r="T140" s="252">
        <f>VLOOKUP(Tableau1315[[#This Row],[PARCS]],Tableau16[],36,FALSE)</f>
        <v>0</v>
      </c>
      <c r="U140" s="252">
        <f>VLOOKUP(Tableau1315[[#This Row],[PARCS]],Tableau16[],37,FALSE)</f>
        <v>-86910</v>
      </c>
      <c r="V140" s="467">
        <f>SUM(Tableau1315[[#This Row],[CONTRAT O&amp;M FORFAIT GROUPE2]:[CHARGES exceptionnels (BONUS, sinistres)7]])</f>
        <v>-1428202</v>
      </c>
      <c r="W140" s="354">
        <f>VLOOKUP(Tableau1315[[#This Row],[PARCS]],Tableau17[],10,FALSE)</f>
        <v>-687899.02499999991</v>
      </c>
      <c r="X140" s="252">
        <f>VLOOKUP(Tableau1315[[#This Row],[PARCS]],Tableau17[],18,FALSE)</f>
        <v>-645280.00000000012</v>
      </c>
      <c r="Y140" s="252">
        <f>VLOOKUP(Tableau1315[[#This Row],[PARCS]],Tableau17[],19,FALSE)</f>
        <v>0</v>
      </c>
      <c r="Z140" s="252">
        <f>VLOOKUP(Tableau1315[[#This Row],[PARCS]],Tableau17[],28,FALSE)</f>
        <v>-10500</v>
      </c>
      <c r="AA140" s="252">
        <f>VLOOKUP(Tableau1315[[#This Row],[PARCS]],Tableau17[],36,FALSE)</f>
        <v>0</v>
      </c>
      <c r="AB140" s="252">
        <f>VLOOKUP(Tableau1315[[#This Row],[PARCS]],Tableau17[],37,FALSE)</f>
        <v>0</v>
      </c>
      <c r="AC140" s="468">
        <f>SUM(Tableau1315[[#This Row],[CONTRAT O&amp;M FORFAIT GROUPE22]:[CHARGES exceptionnels (BONUS, sinistres)77]])</f>
        <v>-1343679.0249999999</v>
      </c>
      <c r="AD140" s="252">
        <f>Tableau1315[[#This Row],[TOTAL LE3]]-Tableau1315[[#This Row],[TOTAL BN-1]]</f>
        <v>-607758.81419333431</v>
      </c>
      <c r="AE140" s="351">
        <f>IFERROR((Tableau1315[[#This Row],[TOTAL LE3]]-Tableau1315[[#This Row],[TOTAL BN-1]])/Tableau1315[[#This Row],[TOTAL BN-1]],"")</f>
        <v>0.74076892185505994</v>
      </c>
      <c r="AF140" s="252">
        <f>Tableau1315[[#This Row],[TOTAL BN+1]]-Tableau1315[[#This Row],[TOTAL LE3]]</f>
        <v>84522.975000000093</v>
      </c>
      <c r="AG140" s="351">
        <f>IFERROR((Tableau1315[[#This Row],[TOTAL BN+1]]-Tableau1315[[#This Row],[TOTAL LE3]])/Tableau1315[[#This Row],[TOTAL LE3]],"")</f>
        <v>-5.918138680662826E-2</v>
      </c>
    </row>
    <row r="141" spans="1:34" hidden="1">
      <c r="A141" s="463" t="s">
        <v>511</v>
      </c>
      <c r="B141" s="464" t="str">
        <f>VLOOKUP(Tableau1315[[#This Row],[PARCS]],Tableau106[],3,FALSE)</f>
        <v>A540</v>
      </c>
      <c r="C141" s="464" t="str">
        <f>VLOOKUP(Tableau1315[[#This Row],[PARCS]],Tableau106[],2,FALSE)</f>
        <v>FR02E04E</v>
      </c>
      <c r="D141" s="465" t="str">
        <f>VLOOKUP(Tableau1315[[#This Row],[PARCS]],Tableau106[],8,FALSE)</f>
        <v>EOLIEN</v>
      </c>
      <c r="E141" s="465" t="str">
        <f>VLOOKUP(A141,Tableau106[[#Headers],[#Data]],6,FALSE)</f>
        <v>N</v>
      </c>
      <c r="F141" s="466" t="str">
        <f>VLOOKUP(Tableau1315[[#This Row],[PARCS]],Tableau106[],5,FALSE)</f>
        <v>RIBE</v>
      </c>
      <c r="G141" s="464" t="str">
        <f>VLOOKUP(Tableau1315[[#This Row],[PARCS]],Tableau106[],7,FALSE)</f>
        <v>EGM</v>
      </c>
      <c r="H141" s="464" t="str">
        <f>VLOOKUP(Tableau1315[[#This Row],[PARCS]],Tableau106[],9,FALSE)</f>
        <v>NoS</v>
      </c>
      <c r="I141" s="350">
        <f>IFERROR(VLOOKUP(Tableau1315[[#This Row],[PARCS]],Tableau15[],10,FALSE),"")</f>
        <v>-256678.59608762685</v>
      </c>
      <c r="J141" s="20">
        <f>IFERROR(VLOOKUP(Tableau1315[[#This Row],[PARCS]],Tableau15[],18,FALSE),"")</f>
        <v>-46568.783068783072</v>
      </c>
      <c r="K141" s="252">
        <f>IFERROR(VLOOKUP(Tableau1315[[#This Row],[PARCS]],Tableau15[],19,FALSE),"")</f>
        <v>0</v>
      </c>
      <c r="L141" s="20">
        <f>IFERROR(VLOOKUP(Tableau1315[[#This Row],[PARCS]],Tableau15[],28,FALSE),"")</f>
        <v>-7000</v>
      </c>
      <c r="M141" s="252">
        <f>IFERROR(VLOOKUP(Tableau1315[[#This Row],[PARCS]],Tableau15[],36,FALSE),"")</f>
        <v>0</v>
      </c>
      <c r="N141" s="252">
        <f>IFERROR(VLOOKUP(Tableau1315[[#This Row],[PARCS]],Tableau15[],37,FALSE),"")</f>
        <v>0</v>
      </c>
      <c r="O141" s="467">
        <f>SUM(Tableau1315[[#This Row],[CONTRAT O&amp;M FORFAIT GROUPE]:[CHARGES exceptionnels (BONUS, sinistres)]])</f>
        <v>-310247.37915640994</v>
      </c>
      <c r="P141" s="354">
        <f>VLOOKUP(Tableau1315[[#This Row],[PARCS]],Tableau16[],10,FALSE)</f>
        <v>-258123</v>
      </c>
      <c r="Q141" s="252">
        <f>VLOOKUP(Tableau1315[[#This Row],[PARCS]],Tableau16[],18,FALSE)</f>
        <v>-221000</v>
      </c>
      <c r="R141" s="252">
        <f>VLOOKUP(Tableau1315[[#This Row],[PARCS]],Tableau16[],19,FALSE)</f>
        <v>0</v>
      </c>
      <c r="S141" s="252">
        <f>VLOOKUP(Tableau1315[[#This Row],[PARCS]],Tableau16[],28,FALSE)</f>
        <v>-4500</v>
      </c>
      <c r="T141" s="252">
        <f>VLOOKUP(Tableau1315[[#This Row],[PARCS]],Tableau16[],36,FALSE)</f>
        <v>0</v>
      </c>
      <c r="U141" s="252">
        <f>VLOOKUP(Tableau1315[[#This Row],[PARCS]],Tableau16[],37,FALSE)</f>
        <v>0</v>
      </c>
      <c r="V141" s="467">
        <f>SUM(Tableau1315[[#This Row],[CONTRAT O&amp;M FORFAIT GROUPE2]:[CHARGES exceptionnels (BONUS, sinistres)7]])</f>
        <v>-483623</v>
      </c>
      <c r="W141" s="354">
        <f>VLOOKUP(Tableau1315[[#This Row],[PARCS]],Tableau17[],10,FALSE)</f>
        <v>-264576.07499999995</v>
      </c>
      <c r="X141" s="252">
        <f>VLOOKUP(Tableau1315[[#This Row],[PARCS]],Tableau17[],18,FALSE)</f>
        <v>-156000</v>
      </c>
      <c r="Y141" s="252">
        <f>VLOOKUP(Tableau1315[[#This Row],[PARCS]],Tableau17[],19,FALSE)</f>
        <v>0</v>
      </c>
      <c r="Z141" s="252">
        <f>VLOOKUP(Tableau1315[[#This Row],[PARCS]],Tableau17[],28,FALSE)</f>
        <v>-7348</v>
      </c>
      <c r="AA141" s="252">
        <f>VLOOKUP(Tableau1315[[#This Row],[PARCS]],Tableau17[],36,FALSE)</f>
        <v>0</v>
      </c>
      <c r="AB141" s="252">
        <f>VLOOKUP(Tableau1315[[#This Row],[PARCS]],Tableau17[],37,FALSE)</f>
        <v>0</v>
      </c>
      <c r="AC141" s="468">
        <f>SUM(Tableau1315[[#This Row],[CONTRAT O&amp;M FORFAIT GROUPE22]:[CHARGES exceptionnels (BONUS, sinistres)77]])</f>
        <v>-427924.07499999995</v>
      </c>
      <c r="AD141" s="252">
        <f>Tableau1315[[#This Row],[TOTAL LE3]]-Tableau1315[[#This Row],[TOTAL BN-1]]</f>
        <v>-173375.62084359006</v>
      </c>
      <c r="AE141" s="351">
        <f>IFERROR((Tableau1315[[#This Row],[TOTAL LE3]]-Tableau1315[[#This Row],[TOTAL BN-1]])/Tableau1315[[#This Row],[TOTAL BN-1]],"")</f>
        <v>0.5588302512498694</v>
      </c>
      <c r="AF141" s="252">
        <f>Tableau1315[[#This Row],[TOTAL BN+1]]-Tableau1315[[#This Row],[TOTAL LE3]]</f>
        <v>55698.925000000047</v>
      </c>
      <c r="AG141" s="351">
        <f>IFERROR((Tableau1315[[#This Row],[TOTAL BN+1]]-Tableau1315[[#This Row],[TOTAL LE3]])/Tableau1315[[#This Row],[TOTAL LE3]],"")</f>
        <v>-0.11517013252057914</v>
      </c>
    </row>
    <row r="142" spans="1:34" ht="24" hidden="1">
      <c r="A142" s="463" t="s">
        <v>568</v>
      </c>
      <c r="B142" s="464" t="str">
        <f>VLOOKUP(Tableau1315[[#This Row],[PARCS]],Tableau106[],3,FALSE)</f>
        <v>A100</v>
      </c>
      <c r="C142" s="464" t="str">
        <f>VLOOKUP(Tableau1315[[#This Row],[PARCS]],Tableau106[],2,FALSE)</f>
        <v>FR34E05E</v>
      </c>
      <c r="D142" s="465" t="str">
        <f>VLOOKUP(Tableau1315[[#This Row],[PARCS]],Tableau106[],8,FALSE)</f>
        <v>EOLIEN</v>
      </c>
      <c r="E142" s="465" t="str">
        <f>VLOOKUP(A142,Tableau106[[#Headers],[#Data]],6,FALSE)</f>
        <v>S</v>
      </c>
      <c r="F142" s="466" t="str">
        <f>VLOOKUP(Tableau1315[[#This Row],[PARCS]],Tableau106[],5,FALSE)</f>
        <v>JONC</v>
      </c>
      <c r="G142" s="464" t="str">
        <f>VLOOKUP(Tableau1315[[#This Row],[PARCS]],Tableau106[],7,FALSE)</f>
        <v>GROUPE</v>
      </c>
      <c r="H142" s="464" t="str">
        <f>VLOOKUP(Tableau1315[[#This Row],[PARCS]],Tableau106[],9,FALSE)</f>
        <v>KéC</v>
      </c>
      <c r="I142" s="350">
        <f>IFERROR(VLOOKUP(Tableau1315[[#This Row],[PARCS]],Tableau15[],10,FALSE),"")</f>
        <v>-12626.246851385387</v>
      </c>
      <c r="J142" s="20">
        <f>IFERROR(VLOOKUP(Tableau1315[[#This Row],[PARCS]],Tableau15[],18,FALSE),"")</f>
        <v>-19575</v>
      </c>
      <c r="K142" s="252">
        <f>IFERROR(VLOOKUP(Tableau1315[[#This Row],[PARCS]],Tableau15[],19,FALSE),"")</f>
        <v>-413002.446</v>
      </c>
      <c r="L142" s="20">
        <f>IFERROR(VLOOKUP(Tableau1315[[#This Row],[PARCS]],Tableau15[],28,FALSE),"")</f>
        <v>-27250</v>
      </c>
      <c r="M142" s="252">
        <f>IFERROR(VLOOKUP(Tableau1315[[#This Row],[PARCS]],Tableau15[],36,FALSE),"")</f>
        <v>-264000</v>
      </c>
      <c r="N142" s="252">
        <f>IFERROR(VLOOKUP(Tableau1315[[#This Row],[PARCS]],Tableau15[],37,FALSE),"")</f>
        <v>-5000</v>
      </c>
      <c r="O142" s="467">
        <f>SUM(Tableau1315[[#This Row],[CONTRAT O&amp;M FORFAIT GROUPE]:[CHARGES exceptionnels (BONUS, sinistres)]])</f>
        <v>-741453.69285138533</v>
      </c>
      <c r="P142" s="354">
        <f>VLOOKUP(Tableau1315[[#This Row],[PARCS]],Tableau16[],10,FALSE)</f>
        <v>-11154</v>
      </c>
      <c r="Q142" s="252">
        <f>VLOOKUP(Tableau1315[[#This Row],[PARCS]],Tableau16[],18,FALSE)</f>
        <v>-19121</v>
      </c>
      <c r="R142" s="252">
        <f>VLOOKUP(Tableau1315[[#This Row],[PARCS]],Tableau16[],19,FALSE)</f>
        <v>-462931</v>
      </c>
      <c r="S142" s="252">
        <f>VLOOKUP(Tableau1315[[#This Row],[PARCS]],Tableau16[],28,FALSE)</f>
        <v>-27312.496487707504</v>
      </c>
      <c r="T142" s="252">
        <f>VLOOKUP(Tableau1315[[#This Row],[PARCS]],Tableau16[],36,FALSE)</f>
        <v>-206427.93</v>
      </c>
      <c r="U142" s="252">
        <f>VLOOKUP(Tableau1315[[#This Row],[PARCS]],Tableau16[],37,FALSE)</f>
        <v>0</v>
      </c>
      <c r="V142" s="467">
        <f>SUM(Tableau1315[[#This Row],[CONTRAT O&amp;M FORFAIT GROUPE2]:[CHARGES exceptionnels (BONUS, sinistres)7]])</f>
        <v>-726946.42648770753</v>
      </c>
      <c r="W142" s="354">
        <f>VLOOKUP(Tableau1315[[#This Row],[PARCS]],Tableau17[],10,FALSE)</f>
        <v>-11432.849999999999</v>
      </c>
      <c r="X142" s="252">
        <f>VLOOKUP(Tableau1315[[#This Row],[PARCS]],Tableau17[],18,FALSE)</f>
        <v>-14241</v>
      </c>
      <c r="Y142" s="252">
        <f>VLOOKUP(Tableau1315[[#This Row],[PARCS]],Tableau17[],19,FALSE)</f>
        <v>-474504.27499999997</v>
      </c>
      <c r="Z142" s="252">
        <f>VLOOKUP(Tableau1315[[#This Row],[PARCS]],Tableau17[],28,FALSE)</f>
        <v>-28942.393087707504</v>
      </c>
      <c r="AA142" s="252">
        <f>VLOOKUP(Tableau1315[[#This Row],[PARCS]],Tableau17[],36,FALSE)</f>
        <v>-180197.09999999998</v>
      </c>
      <c r="AB142" s="252">
        <f>VLOOKUP(Tableau1315[[#This Row],[PARCS]],Tableau17[],37,FALSE)</f>
        <v>0</v>
      </c>
      <c r="AC142" s="468">
        <f>SUM(Tableau1315[[#This Row],[CONTRAT O&amp;M FORFAIT GROUPE22]:[CHARGES exceptionnels (BONUS, sinistres)77]])</f>
        <v>-709317.61808770744</v>
      </c>
      <c r="AD142" s="252">
        <f>Tableau1315[[#This Row],[TOTAL LE3]]-Tableau1315[[#This Row],[TOTAL BN-1]]</f>
        <v>14507.266363677802</v>
      </c>
      <c r="AE142" s="351">
        <f>IFERROR((Tableau1315[[#This Row],[TOTAL LE3]]-Tableau1315[[#This Row],[TOTAL BN-1]])/Tableau1315[[#This Row],[TOTAL BN-1]],"")</f>
        <v>-1.9565977624155677E-2</v>
      </c>
      <c r="AF142" s="252">
        <f>Tableau1315[[#This Row],[TOTAL BN+1]]-Tableau1315[[#This Row],[TOTAL LE3]]</f>
        <v>17628.808400000096</v>
      </c>
      <c r="AG142" s="351">
        <f>IFERROR((Tableau1315[[#This Row],[TOTAL BN+1]]-Tableau1315[[#This Row],[TOTAL LE3]])/Tableau1315[[#This Row],[TOTAL LE3]],"")</f>
        <v>-2.4250491862481415E-2</v>
      </c>
      <c r="AH142" s="469" t="s">
        <v>760</v>
      </c>
    </row>
    <row r="143" spans="1:34" hidden="1">
      <c r="A143" s="463" t="s">
        <v>617</v>
      </c>
      <c r="B143" s="464" t="str">
        <f>VLOOKUP(Tableau1315[[#This Row],[PARCS]],Tableau106[],3,FALSE)</f>
        <v>A892</v>
      </c>
      <c r="C143" s="464" t="str">
        <f>VLOOKUP(Tableau1315[[#This Row],[PARCS]],Tableau106[],2,FALSE)</f>
        <v>FR34E98E</v>
      </c>
      <c r="D143" s="465" t="str">
        <f>VLOOKUP(Tableau1315[[#This Row],[PARCS]],Tableau106[],8,FALSE)</f>
        <v>EOLIEN</v>
      </c>
      <c r="E143" s="465" t="str">
        <f>VLOOKUP(A143,Tableau106[[#Headers],[#Data]],6,FALSE)</f>
        <v>S</v>
      </c>
      <c r="F143" s="466" t="str">
        <f>VLOOKUP(Tableau1315[[#This Row],[PARCS]],Tableau106[],5,FALSE)</f>
        <v>RIOL</v>
      </c>
      <c r="G143" s="464" t="str">
        <f>VLOOKUP(Tableau1315[[#This Row],[PARCS]],Tableau106[],7,FALSE)</f>
        <v>GROUPE</v>
      </c>
      <c r="H143" s="464" t="str">
        <f>VLOOKUP(Tableau1315[[#This Row],[PARCS]],Tableau106[],9,FALSE)</f>
        <v>SaH</v>
      </c>
      <c r="I143" s="350">
        <f>IFERROR(VLOOKUP(Tableau1315[[#This Row],[PARCS]],Tableau15[],10,FALSE),"")</f>
        <v>-225406.23170832868</v>
      </c>
      <c r="J143" s="20">
        <f>IFERROR(VLOOKUP(Tableau1315[[#This Row],[PARCS]],Tableau15[],18,FALSE),"")</f>
        <v>-4860</v>
      </c>
      <c r="K143" s="252">
        <f>IFERROR(VLOOKUP(Tableau1315[[#This Row],[PARCS]],Tableau15[],19,FALSE),"")</f>
        <v>0</v>
      </c>
      <c r="L143" s="20">
        <f>IFERROR(VLOOKUP(Tableau1315[[#This Row],[PARCS]],Tableau15[],28,FALSE),"")</f>
        <v>-6800</v>
      </c>
      <c r="M143" s="252">
        <f>IFERROR(VLOOKUP(Tableau1315[[#This Row],[PARCS]],Tableau15[],36,FALSE),"")</f>
        <v>-12000</v>
      </c>
      <c r="N143" s="252">
        <f>IFERROR(VLOOKUP(Tableau1315[[#This Row],[PARCS]],Tableau15[],37,FALSE),"")</f>
        <v>-20000</v>
      </c>
      <c r="O143" s="467">
        <f>SUM(Tableau1315[[#This Row],[CONTRAT O&amp;M FORFAIT GROUPE]:[CHARGES exceptionnels (BONUS, sinistres)]])</f>
        <v>-269066.23170832871</v>
      </c>
      <c r="P143" s="354">
        <f>VLOOKUP(Tableau1315[[#This Row],[PARCS]],Tableau16[],10,FALSE)</f>
        <v>-226675</v>
      </c>
      <c r="Q143" s="252">
        <f>VLOOKUP(Tableau1315[[#This Row],[PARCS]],Tableau16[],18,FALSE)</f>
        <v>-26584</v>
      </c>
      <c r="R143" s="252">
        <f>VLOOKUP(Tableau1315[[#This Row],[PARCS]],Tableau16[],19,FALSE)</f>
        <v>0</v>
      </c>
      <c r="S143" s="252">
        <f>VLOOKUP(Tableau1315[[#This Row],[PARCS]],Tableau16[],28,FALSE)</f>
        <v>-9640</v>
      </c>
      <c r="T143" s="252">
        <f>VLOOKUP(Tableau1315[[#This Row],[PARCS]],Tableau16[],36,FALSE)</f>
        <v>0</v>
      </c>
      <c r="U143" s="252">
        <f>VLOOKUP(Tableau1315[[#This Row],[PARCS]],Tableau16[],37,FALSE)</f>
        <v>0</v>
      </c>
      <c r="V143" s="467">
        <f>SUM(Tableau1315[[#This Row],[CONTRAT O&amp;M FORFAIT GROUPE2]:[CHARGES exceptionnels (BONUS, sinistres)7]])</f>
        <v>-262899</v>
      </c>
      <c r="W143" s="354">
        <f>VLOOKUP(Tableau1315[[#This Row],[PARCS]],Tableau17[],10,FALSE)</f>
        <v>-232341.87499999997</v>
      </c>
      <c r="X143" s="252">
        <f>VLOOKUP(Tableau1315[[#This Row],[PARCS]],Tableau17[],18,FALSE)</f>
        <v>-18160</v>
      </c>
      <c r="Y143" s="252">
        <f>VLOOKUP(Tableau1315[[#This Row],[PARCS]],Tableau17[],19,FALSE)</f>
        <v>0</v>
      </c>
      <c r="Z143" s="252">
        <f>VLOOKUP(Tableau1315[[#This Row],[PARCS]],Tableau17[],28,FALSE)</f>
        <v>-6900</v>
      </c>
      <c r="AA143" s="252">
        <f>VLOOKUP(Tableau1315[[#This Row],[PARCS]],Tableau17[],36,FALSE)</f>
        <v>0</v>
      </c>
      <c r="AB143" s="252">
        <f>VLOOKUP(Tableau1315[[#This Row],[PARCS]],Tableau17[],37,FALSE)</f>
        <v>0</v>
      </c>
      <c r="AC143" s="468">
        <f>SUM(Tableau1315[[#This Row],[CONTRAT O&amp;M FORFAIT GROUPE22]:[CHARGES exceptionnels (BONUS, sinistres)77]])</f>
        <v>-257401.87499999997</v>
      </c>
      <c r="AD143" s="252">
        <f>Tableau1315[[#This Row],[TOTAL LE3]]-Tableau1315[[#This Row],[TOTAL BN-1]]</f>
        <v>6167.2317083287053</v>
      </c>
      <c r="AE143" s="351">
        <f>IFERROR((Tableau1315[[#This Row],[TOTAL LE3]]-Tableau1315[[#This Row],[TOTAL BN-1]])/Tableau1315[[#This Row],[TOTAL BN-1]],"")</f>
        <v>-2.2920868476034053E-2</v>
      </c>
      <c r="AF143" s="252">
        <f>Tableau1315[[#This Row],[TOTAL BN+1]]-Tableau1315[[#This Row],[TOTAL LE3]]</f>
        <v>5497.1250000000291</v>
      </c>
      <c r="AG143" s="351">
        <f>IFERROR((Tableau1315[[#This Row],[TOTAL BN+1]]-Tableau1315[[#This Row],[TOTAL LE3]])/Tableau1315[[#This Row],[TOTAL LE3]],"")</f>
        <v>-2.0909645909646019E-2</v>
      </c>
      <c r="AH143" s="6" t="s">
        <v>490</v>
      </c>
    </row>
    <row r="144" spans="1:34" hidden="1">
      <c r="A144" s="463" t="s">
        <v>609</v>
      </c>
      <c r="B144" s="464" t="str">
        <f>VLOOKUP(Tableau1315[[#This Row],[PARCS]],Tableau106[],3,FALSE)</f>
        <v>A540</v>
      </c>
      <c r="C144" s="464" t="str">
        <f>VLOOKUP(Tableau1315[[#This Row],[PARCS]],Tableau106[],2,FALSE)</f>
        <v>FR56E06E</v>
      </c>
      <c r="D144" s="465" t="str">
        <f>VLOOKUP(Tableau1315[[#This Row],[PARCS]],Tableau106[],8,FALSE)</f>
        <v>EOLIEN</v>
      </c>
      <c r="E144" s="465" t="str">
        <f>VLOOKUP(A144,Tableau106[[#Headers],[#Data]],6,FALSE)</f>
        <v>N</v>
      </c>
      <c r="F144" s="466" t="str">
        <f>VLOOKUP(Tableau1315[[#This Row],[PARCS]],Tableau106[],5,FALSE)</f>
        <v>RODU</v>
      </c>
      <c r="G144" s="464" t="str">
        <f>VLOOKUP(Tableau1315[[#This Row],[PARCS]],Tableau106[],7,FALSE)</f>
        <v>EGM</v>
      </c>
      <c r="H144" s="464" t="str">
        <f>VLOOKUP(Tableau1315[[#This Row],[PARCS]],Tableau106[],9,FALSE)</f>
        <v>DeN</v>
      </c>
      <c r="I144" s="350">
        <f>IFERROR(VLOOKUP(Tableau1315[[#This Row],[PARCS]],Tableau15[],10,FALSE),"")</f>
        <v>-185831.76</v>
      </c>
      <c r="J144" s="20">
        <f>IFERROR(VLOOKUP(Tableau1315[[#This Row],[PARCS]],Tableau15[],18,FALSE),"")</f>
        <v>-31899.616402116404</v>
      </c>
      <c r="K144" s="252">
        <f>IFERROR(VLOOKUP(Tableau1315[[#This Row],[PARCS]],Tableau15[],19,FALSE),"")</f>
        <v>0</v>
      </c>
      <c r="L144" s="20">
        <f>IFERROR(VLOOKUP(Tableau1315[[#This Row],[PARCS]],Tableau15[],28,FALSE),"")</f>
        <v>-4425</v>
      </c>
      <c r="M144" s="252">
        <f>IFERROR(VLOOKUP(Tableau1315[[#This Row],[PARCS]],Tableau15[],36,FALSE),"")</f>
        <v>0</v>
      </c>
      <c r="N144" s="252">
        <f>IFERROR(VLOOKUP(Tableau1315[[#This Row],[PARCS]],Tableau15[],37,FALSE),"")</f>
        <v>0</v>
      </c>
      <c r="O144" s="467">
        <f>SUM(Tableau1315[[#This Row],[CONTRAT O&amp;M FORFAIT GROUPE]:[CHARGES exceptionnels (BONUS, sinistres)]])</f>
        <v>-222156.37640211641</v>
      </c>
      <c r="P144" s="354">
        <f>VLOOKUP(Tableau1315[[#This Row],[PARCS]],Tableau16[],10,FALSE)</f>
        <v>-186980</v>
      </c>
      <c r="Q144" s="350">
        <f>VLOOKUP(Tableau1315[[#This Row],[PARCS]],Tableau16[],18,FALSE)</f>
        <v>-43220</v>
      </c>
      <c r="R144" s="350">
        <f>VLOOKUP(Tableau1315[[#This Row],[PARCS]],Tableau16[],19,FALSE)</f>
        <v>0</v>
      </c>
      <c r="S144" s="20">
        <f>VLOOKUP(Tableau1315[[#This Row],[PARCS]],Tableau16[],28,FALSE)</f>
        <v>-2712.5</v>
      </c>
      <c r="T144" s="20">
        <f>VLOOKUP(Tableau1315[[#This Row],[PARCS]],Tableau16[],36,FALSE)</f>
        <v>0</v>
      </c>
      <c r="U144" s="20">
        <f>VLOOKUP(Tableau1315[[#This Row],[PARCS]],Tableau16[],37,FALSE)</f>
        <v>0</v>
      </c>
      <c r="V144" s="467">
        <f>SUM(Tableau1315[[#This Row],[CONTRAT O&amp;M FORFAIT GROUPE2]:[CHARGES exceptionnels (BONUS, sinistres)7]])</f>
        <v>-232912.5</v>
      </c>
      <c r="W144" s="354">
        <f>VLOOKUP(Tableau1315[[#This Row],[PARCS]],Tableau17[],10,FALSE)</f>
        <v>-191654.49999999997</v>
      </c>
      <c r="X144" s="350">
        <f>VLOOKUP(Tableau1315[[#This Row],[PARCS]],Tableau17[],18,FALSE)</f>
        <v>-44230</v>
      </c>
      <c r="Y144" s="350">
        <f>VLOOKUP(Tableau1315[[#This Row],[PARCS]],Tableau17[],19,FALSE)</f>
        <v>0</v>
      </c>
      <c r="Z144" s="350">
        <f>VLOOKUP(Tableau1315[[#This Row],[PARCS]],Tableau17[],28,FALSE)</f>
        <v>-2712.5</v>
      </c>
      <c r="AA144" s="350">
        <f>VLOOKUP(Tableau1315[[#This Row],[PARCS]],Tableau17[],36,FALSE)</f>
        <v>0</v>
      </c>
      <c r="AB144" s="252">
        <f>VLOOKUP(Tableau1315[[#This Row],[PARCS]],Tableau17[],37,FALSE)</f>
        <v>0</v>
      </c>
      <c r="AC144" s="468">
        <f>SUM(Tableau1315[[#This Row],[CONTRAT O&amp;M FORFAIT GROUPE22]:[CHARGES exceptionnels (BONUS, sinistres)77]])</f>
        <v>-238596.99999999997</v>
      </c>
      <c r="AD144" s="252">
        <f>Tableau1315[[#This Row],[TOTAL LE3]]-Tableau1315[[#This Row],[TOTAL BN-1]]</f>
        <v>-10756.12359788359</v>
      </c>
      <c r="AE144" s="351">
        <f>IFERROR((Tableau1315[[#This Row],[TOTAL LE3]]-Tableau1315[[#This Row],[TOTAL BN-1]])/Tableau1315[[#This Row],[TOTAL BN-1]],"")</f>
        <v>4.8416902418386407E-2</v>
      </c>
      <c r="AF144" s="252">
        <f>Tableau1315[[#This Row],[TOTAL BN+1]]-Tableau1315[[#This Row],[TOTAL LE3]]</f>
        <v>-5684.4999999999709</v>
      </c>
      <c r="AG144" s="351">
        <f>IFERROR((Tableau1315[[#This Row],[TOTAL BN+1]]-Tableau1315[[#This Row],[TOTAL LE3]])/Tableau1315[[#This Row],[TOTAL LE3]],"")</f>
        <v>2.4406161112005456E-2</v>
      </c>
    </row>
    <row r="145" spans="1:34" hidden="1">
      <c r="A145" s="463" t="s">
        <v>580</v>
      </c>
      <c r="B145" s="464" t="str">
        <f>VLOOKUP(Tableau1315[[#This Row],[PARCS]],Tableau106[],3,FALSE)</f>
        <v>A064</v>
      </c>
      <c r="C145" s="464" t="str">
        <f>VLOOKUP(Tableau1315[[#This Row],[PARCS]],Tableau106[],2,FALSE)</f>
        <v>FR34E92E</v>
      </c>
      <c r="D145" s="465" t="str">
        <f>VLOOKUP(Tableau1315[[#This Row],[PARCS]],Tableau106[],8,FALSE)</f>
        <v>EOLIEN</v>
      </c>
      <c r="E145" s="465" t="str">
        <f>VLOOKUP(A145,Tableau106[[#Headers],[#Data]],6,FALSE)</f>
        <v>S</v>
      </c>
      <c r="F145" s="466" t="str">
        <f>VLOOKUP(Tableau1315[[#This Row],[PARCS]],Tableau106[],5,FALSE)</f>
        <v>AUCO</v>
      </c>
      <c r="G145" s="464" t="str">
        <f>VLOOKUP(Tableau1315[[#This Row],[PARCS]],Tableau106[],7,FALSE)</f>
        <v>GROUPE</v>
      </c>
      <c r="H145" s="464" t="str">
        <f>VLOOKUP(Tableau1315[[#This Row],[PARCS]],Tableau106[],9,FALSE)</f>
        <v>KéD</v>
      </c>
      <c r="I145" s="350">
        <f>IFERROR(VLOOKUP(Tableau1315[[#This Row],[PARCS]],Tableau15[],10,FALSE),"")</f>
        <v>-419600.46</v>
      </c>
      <c r="J145" s="20">
        <f>IFERROR(VLOOKUP(Tableau1315[[#This Row],[PARCS]],Tableau15[],18,FALSE),"")</f>
        <v>-46200</v>
      </c>
      <c r="K145" s="252">
        <f>IFERROR(VLOOKUP(Tableau1315[[#This Row],[PARCS]],Tableau15[],19,FALSE),"")</f>
        <v>0</v>
      </c>
      <c r="L145" s="20">
        <f>IFERROR(VLOOKUP(Tableau1315[[#This Row],[PARCS]],Tableau15[],28,FALSE),"")</f>
        <v>-44000</v>
      </c>
      <c r="M145" s="252">
        <f>IFERROR(VLOOKUP(Tableau1315[[#This Row],[PARCS]],Tableau15[],36,FALSE),"")</f>
        <v>-58554.94</v>
      </c>
      <c r="N145" s="252">
        <f>IFERROR(VLOOKUP(Tableau1315[[#This Row],[PARCS]],Tableau15[],37,FALSE),"")</f>
        <v>0</v>
      </c>
      <c r="O145" s="467">
        <f>SUM(Tableau1315[[#This Row],[CONTRAT O&amp;M FORFAIT GROUPE]:[CHARGES exceptionnels (BONUS, sinistres)]])</f>
        <v>-568355.4</v>
      </c>
      <c r="P145" s="354">
        <f>VLOOKUP(Tableau1315[[#This Row],[PARCS]],Tableau16[],10,FALSE)</f>
        <v>-419985</v>
      </c>
      <c r="Q145" s="350">
        <f>VLOOKUP(Tableau1315[[#This Row],[PARCS]],Tableau16[],18,FALSE)</f>
        <v>-49270</v>
      </c>
      <c r="R145" s="350">
        <f>VLOOKUP(Tableau1315[[#This Row],[PARCS]],Tableau16[],19,FALSE)</f>
        <v>0</v>
      </c>
      <c r="S145" s="20">
        <f>VLOOKUP(Tableau1315[[#This Row],[PARCS]],Tableau16[],28,FALSE)</f>
        <v>-16137</v>
      </c>
      <c r="T145" s="20">
        <f>VLOOKUP(Tableau1315[[#This Row],[PARCS]],Tableau16[],36,FALSE)</f>
        <v>-67120.5</v>
      </c>
      <c r="U145" s="20">
        <f>VLOOKUP(Tableau1315[[#This Row],[PARCS]],Tableau16[],37,FALSE)</f>
        <v>0</v>
      </c>
      <c r="V145" s="467">
        <f>SUM(Tableau1315[[#This Row],[CONTRAT O&amp;M FORFAIT GROUPE2]:[CHARGES exceptionnels (BONUS, sinistres)7]])</f>
        <v>-552512.5</v>
      </c>
      <c r="W145" s="354">
        <f>VLOOKUP(Tableau1315[[#This Row],[PARCS]],Tableau17[],10,FALSE)</f>
        <v>-430484.62499999994</v>
      </c>
      <c r="X145" s="350">
        <f>VLOOKUP(Tableau1315[[#This Row],[PARCS]],Tableau17[],18,FALSE)</f>
        <v>-35860</v>
      </c>
      <c r="Y145" s="350">
        <f>VLOOKUP(Tableau1315[[#This Row],[PARCS]],Tableau17[],19,FALSE)</f>
        <v>0</v>
      </c>
      <c r="Z145" s="350">
        <f>VLOOKUP(Tableau1315[[#This Row],[PARCS]],Tableau17[],28,FALSE)</f>
        <v>-18000</v>
      </c>
      <c r="AA145" s="350">
        <f>VLOOKUP(Tableau1315[[#This Row],[PARCS]],Tableau17[],36,FALSE)</f>
        <v>-73332</v>
      </c>
      <c r="AB145" s="252">
        <f>VLOOKUP(Tableau1315[[#This Row],[PARCS]],Tableau17[],37,FALSE)</f>
        <v>0</v>
      </c>
      <c r="AC145" s="468">
        <f>SUM(Tableau1315[[#This Row],[CONTRAT O&amp;M FORFAIT GROUPE22]:[CHARGES exceptionnels (BONUS, sinistres)77]])</f>
        <v>-557676.625</v>
      </c>
      <c r="AD145" s="252">
        <f>Tableau1315[[#This Row],[TOTAL LE3]]-Tableau1315[[#This Row],[TOTAL BN-1]]</f>
        <v>15842.900000000023</v>
      </c>
      <c r="AE145" s="351">
        <f>IFERROR((Tableau1315[[#This Row],[TOTAL LE3]]-Tableau1315[[#This Row],[TOTAL BN-1]])/Tableau1315[[#This Row],[TOTAL BN-1]],"")</f>
        <v>-2.7874988079641758E-2</v>
      </c>
      <c r="AF145" s="252">
        <f>Tableau1315[[#This Row],[TOTAL BN+1]]-Tableau1315[[#This Row],[TOTAL LE3]]</f>
        <v>-5164.125</v>
      </c>
      <c r="AG145" s="351">
        <f>IFERROR((Tableau1315[[#This Row],[TOTAL BN+1]]-Tableau1315[[#This Row],[TOTAL LE3]])/Tableau1315[[#This Row],[TOTAL LE3]],"")</f>
        <v>9.3466211171692945E-3</v>
      </c>
      <c r="AH145" s="6" t="s">
        <v>490</v>
      </c>
    </row>
    <row r="146" spans="1:34">
      <c r="A146" s="463" t="s">
        <v>573</v>
      </c>
      <c r="B146" s="464" t="str">
        <f>VLOOKUP(Tableau1315[[#This Row],[PARCS]],Tableau106[],3,FALSE)</f>
        <v>F037</v>
      </c>
      <c r="C146" s="464" t="str">
        <f>VLOOKUP(Tableau1315[[#This Row],[PARCS]],Tableau106[],2,FALSE)</f>
        <v>FR14E05E</v>
      </c>
      <c r="D146" s="465" t="str">
        <f>VLOOKUP(Tableau1315[[#This Row],[PARCS]],Tableau106[],8,FALSE)</f>
        <v>EOLIEN</v>
      </c>
      <c r="E146" s="465" t="str">
        <f>VLOOKUP(A146,Tableau106[[#Headers],[#Data]],6,FALSE)</f>
        <v>N</v>
      </c>
      <c r="F146" s="466" t="str">
        <f>VLOOKUP(Tableau1315[[#This Row],[PARCS]],Tableau106[],5,FALSE)</f>
        <v>SABL</v>
      </c>
      <c r="G146" s="464" t="str">
        <f>VLOOKUP(Tableau1315[[#This Row],[PARCS]],Tableau106[],7,FALSE)</f>
        <v>FUTUREN</v>
      </c>
      <c r="H146" s="464" t="str">
        <f>VLOOKUP(Tableau1315[[#This Row],[PARCS]],Tableau106[],9,FALSE)</f>
        <v>AnN</v>
      </c>
      <c r="I146" s="350">
        <f>IFERROR(VLOOKUP(Tableau1315[[#This Row],[PARCS]],Tableau15[],10,FALSE),"")</f>
        <v>-219193.13266200002</v>
      </c>
      <c r="J146" s="20">
        <f>IFERROR(VLOOKUP(Tableau1315[[#This Row],[PARCS]],Tableau15[],18,FALSE),"")</f>
        <v>-10000</v>
      </c>
      <c r="K146" s="252">
        <f>IFERROR(VLOOKUP(Tableau1315[[#This Row],[PARCS]],Tableau15[],19,FALSE),"")</f>
        <v>0</v>
      </c>
      <c r="L146" s="20">
        <f>IFERROR(VLOOKUP(Tableau1315[[#This Row],[PARCS]],Tableau15[],28,FALSE),"")</f>
        <v>-6000</v>
      </c>
      <c r="M146" s="252">
        <f>IFERROR(VLOOKUP(Tableau1315[[#This Row],[PARCS]],Tableau15[],36,FALSE),"")</f>
        <v>0</v>
      </c>
      <c r="N146" s="252">
        <f>IFERROR(VLOOKUP(Tableau1315[[#This Row],[PARCS]],Tableau15[],37,FALSE),"")</f>
        <v>0</v>
      </c>
      <c r="O146" s="467">
        <f>SUM(Tableau1315[[#This Row],[CONTRAT O&amp;M FORFAIT GROUPE]:[CHARGES exceptionnels (BONUS, sinistres)]])</f>
        <v>-235193.13266200002</v>
      </c>
      <c r="P146" s="354">
        <f>VLOOKUP(Tableau1315[[#This Row],[PARCS]],Tableau16[],10,FALSE)</f>
        <v>-233098.12380199999</v>
      </c>
      <c r="Q146" s="350">
        <f>VLOOKUP(Tableau1315[[#This Row],[PARCS]],Tableau16[],18,FALSE)</f>
        <v>-69100</v>
      </c>
      <c r="R146" s="350">
        <f>VLOOKUP(Tableau1315[[#This Row],[PARCS]],Tableau16[],19,FALSE)</f>
        <v>0</v>
      </c>
      <c r="S146" s="20">
        <f>VLOOKUP(Tableau1315[[#This Row],[PARCS]],Tableau16[],28,FALSE)</f>
        <v>-6600</v>
      </c>
      <c r="T146" s="20">
        <f>VLOOKUP(Tableau1315[[#This Row],[PARCS]],Tableau16[],36,FALSE)</f>
        <v>0</v>
      </c>
      <c r="U146" s="20">
        <f>VLOOKUP(Tableau1315[[#This Row],[PARCS]],Tableau16[],37,FALSE)</f>
        <v>0</v>
      </c>
      <c r="V146" s="467">
        <f>SUM(Tableau1315[[#This Row],[CONTRAT O&amp;M FORFAIT GROUPE2]:[CHARGES exceptionnels (BONUS, sinistres)7]])</f>
        <v>-308798.12380199996</v>
      </c>
      <c r="W146" s="354">
        <f>VLOOKUP(Tableau1315[[#This Row],[PARCS]],Tableau17[],10,FALSE)</f>
        <v>-238925.57689704996</v>
      </c>
      <c r="X146" s="350">
        <f>VLOOKUP(Tableau1315[[#This Row],[PARCS]],Tableau17[],18,FALSE)</f>
        <v>-2500</v>
      </c>
      <c r="Y146" s="350">
        <f>VLOOKUP(Tableau1315[[#This Row],[PARCS]],Tableau17[],19,FALSE)</f>
        <v>0</v>
      </c>
      <c r="Z146" s="350">
        <f>VLOOKUP(Tableau1315[[#This Row],[PARCS]],Tableau17[],28,FALSE)</f>
        <v>-3500</v>
      </c>
      <c r="AA146" s="350">
        <f>VLOOKUP(Tableau1315[[#This Row],[PARCS]],Tableau17[],36,FALSE)</f>
        <v>0</v>
      </c>
      <c r="AB146" s="252">
        <f>VLOOKUP(Tableau1315[[#This Row],[PARCS]],Tableau17[],37,FALSE)</f>
        <v>0</v>
      </c>
      <c r="AC146" s="468">
        <f>SUM(Tableau1315[[#This Row],[CONTRAT O&amp;M FORFAIT GROUPE22]:[CHARGES exceptionnels (BONUS, sinistres)77]])</f>
        <v>-244925.57689704996</v>
      </c>
      <c r="AD146" s="252">
        <f>Tableau1315[[#This Row],[TOTAL LE3]]-Tableau1315[[#This Row],[TOTAL BN-1]]</f>
        <v>-73604.99113999994</v>
      </c>
      <c r="AE146" s="351">
        <f>IFERROR((Tableau1315[[#This Row],[TOTAL LE3]]-Tableau1315[[#This Row],[TOTAL BN-1]])/Tableau1315[[#This Row],[TOTAL BN-1]],"")</f>
        <v>0.31295552853483566</v>
      </c>
      <c r="AF146" s="252">
        <f>Tableau1315[[#This Row],[TOTAL BN+1]]-Tableau1315[[#This Row],[TOTAL LE3]]</f>
        <v>63872.546904949995</v>
      </c>
      <c r="AG146" s="351">
        <f>IFERROR((Tableau1315[[#This Row],[TOTAL BN+1]]-Tableau1315[[#This Row],[TOTAL LE3]])/Tableau1315[[#This Row],[TOTAL LE3]],"")</f>
        <v>-0.20684240603062989</v>
      </c>
    </row>
    <row r="147" spans="1:34" hidden="1">
      <c r="A147" s="463" t="s">
        <v>578</v>
      </c>
      <c r="B147" s="464" t="str">
        <f>VLOOKUP(Tableau1315[[#This Row],[PARCS]],Tableau106[],3,FALSE)</f>
        <v>A544</v>
      </c>
      <c r="C147" s="464" t="str">
        <f>VLOOKUP(Tableau1315[[#This Row],[PARCS]],Tableau106[],2,FALSE)</f>
        <v>FR55E07E</v>
      </c>
      <c r="D147" s="465" t="str">
        <f>VLOOKUP(Tableau1315[[#This Row],[PARCS]],Tableau106[],8,FALSE)</f>
        <v>EOLIEN</v>
      </c>
      <c r="E147" s="465" t="str">
        <f>VLOOKUP(A147,Tableau106[[#Headers],[#Data]],6,FALSE)</f>
        <v>N</v>
      </c>
      <c r="F147" s="466" t="str">
        <f>VLOOKUP(Tableau1315[[#This Row],[PARCS]],Tableau106[],5,FALSE)</f>
        <v>STAU</v>
      </c>
      <c r="G147" s="464" t="str">
        <f>VLOOKUP(Tableau1315[[#This Row],[PARCS]],Tableau106[],7,FALSE)</f>
        <v>EGM</v>
      </c>
      <c r="H147" s="464" t="str">
        <f>VLOOKUP(Tableau1315[[#This Row],[PARCS]],Tableau106[],9,FALSE)</f>
        <v>NoS</v>
      </c>
      <c r="I147" s="350">
        <f>IFERROR(VLOOKUP(Tableau1315[[#This Row],[PARCS]],Tableau15[],10,FALSE),"")</f>
        <v>-307815.93714434805</v>
      </c>
      <c r="J147" s="20">
        <f>IFERROR(VLOOKUP(Tableau1315[[#This Row],[PARCS]],Tableau15[],18,FALSE),"")</f>
        <v>-55882.539682539682</v>
      </c>
      <c r="K147" s="252">
        <f>IFERROR(VLOOKUP(Tableau1315[[#This Row],[PARCS]],Tableau15[],19,FALSE),"")</f>
        <v>0</v>
      </c>
      <c r="L147" s="20">
        <f>IFERROR(VLOOKUP(Tableau1315[[#This Row],[PARCS]],Tableau15[],28,FALSE),"")</f>
        <v>-8000</v>
      </c>
      <c r="M147" s="252">
        <f>IFERROR(VLOOKUP(Tableau1315[[#This Row],[PARCS]],Tableau15[],36,FALSE),"")</f>
        <v>0</v>
      </c>
      <c r="N147" s="252">
        <f>IFERROR(VLOOKUP(Tableau1315[[#This Row],[PARCS]],Tableau15[],37,FALSE),"")</f>
        <v>0</v>
      </c>
      <c r="O147" s="467">
        <f>SUM(Tableau1315[[#This Row],[CONTRAT O&amp;M FORFAIT GROUPE]:[CHARGES exceptionnels (BONUS, sinistres)]])</f>
        <v>-371698.47682688775</v>
      </c>
      <c r="P147" s="354">
        <f>VLOOKUP(Tableau1315[[#This Row],[PARCS]],Tableau16[],10,FALSE)</f>
        <v>-309549</v>
      </c>
      <c r="Q147" s="252">
        <f>VLOOKUP(Tableau1315[[#This Row],[PARCS]],Tableau16[],18,FALSE)</f>
        <v>-107200</v>
      </c>
      <c r="R147" s="252">
        <f>VLOOKUP(Tableau1315[[#This Row],[PARCS]],Tableau16[],19,FALSE)</f>
        <v>0</v>
      </c>
      <c r="S147" s="252">
        <f>VLOOKUP(Tableau1315[[#This Row],[PARCS]],Tableau16[],28,FALSE)</f>
        <v>-5000</v>
      </c>
      <c r="T147" s="252">
        <f>VLOOKUP(Tableau1315[[#This Row],[PARCS]],Tableau16[],36,FALSE)</f>
        <v>0</v>
      </c>
      <c r="U147" s="252">
        <f>VLOOKUP(Tableau1315[[#This Row],[PARCS]],Tableau16[],37,FALSE)</f>
        <v>0</v>
      </c>
      <c r="V147" s="467">
        <f>SUM(Tableau1315[[#This Row],[CONTRAT O&amp;M FORFAIT GROUPE2]:[CHARGES exceptionnels (BONUS, sinistres)7]])</f>
        <v>-421749</v>
      </c>
      <c r="W147" s="354">
        <f>VLOOKUP(Tableau1315[[#This Row],[PARCS]],Tableau17[],10,FALSE)</f>
        <v>-317287.72499999998</v>
      </c>
      <c r="X147" s="252">
        <f>VLOOKUP(Tableau1315[[#This Row],[PARCS]],Tableau17[],18,FALSE)</f>
        <v>-107200</v>
      </c>
      <c r="Y147" s="252">
        <f>VLOOKUP(Tableau1315[[#This Row],[PARCS]],Tableau17[],19,FALSE)</f>
        <v>0</v>
      </c>
      <c r="Z147" s="252">
        <f>VLOOKUP(Tableau1315[[#This Row],[PARCS]],Tableau17[],28,FALSE)</f>
        <v>-5720</v>
      </c>
      <c r="AA147" s="252">
        <f>VLOOKUP(Tableau1315[[#This Row],[PARCS]],Tableau17[],36,FALSE)</f>
        <v>0</v>
      </c>
      <c r="AB147" s="252">
        <f>VLOOKUP(Tableau1315[[#This Row],[PARCS]],Tableau17[],37,FALSE)</f>
        <v>0</v>
      </c>
      <c r="AC147" s="468">
        <f>SUM(Tableau1315[[#This Row],[CONTRAT O&amp;M FORFAIT GROUPE22]:[CHARGES exceptionnels (BONUS, sinistres)77]])</f>
        <v>-430207.72499999998</v>
      </c>
      <c r="AD147" s="252">
        <f>Tableau1315[[#This Row],[TOTAL LE3]]-Tableau1315[[#This Row],[TOTAL BN-1]]</f>
        <v>-50050.523173112248</v>
      </c>
      <c r="AE147" s="351">
        <f>IFERROR((Tableau1315[[#This Row],[TOTAL LE3]]-Tableau1315[[#This Row],[TOTAL BN-1]])/Tableau1315[[#This Row],[TOTAL BN-1]],"")</f>
        <v>0.13465356005863438</v>
      </c>
      <c r="AF147" s="252">
        <f>Tableau1315[[#This Row],[TOTAL BN+1]]-Tableau1315[[#This Row],[TOTAL LE3]]</f>
        <v>-8458.7249999999767</v>
      </c>
      <c r="AG147" s="351">
        <f>IFERROR((Tableau1315[[#This Row],[TOTAL BN+1]]-Tableau1315[[#This Row],[TOTAL LE3]])/Tableau1315[[#This Row],[TOTAL LE3]],"")</f>
        <v>2.005630125975397E-2</v>
      </c>
    </row>
    <row r="148" spans="1:34" hidden="1">
      <c r="A148" s="463" t="s">
        <v>612</v>
      </c>
      <c r="B148" s="464" t="str">
        <f>VLOOKUP(Tableau1315[[#This Row],[PARCS]],Tableau106[],3,FALSE)</f>
        <v>A540</v>
      </c>
      <c r="C148" s="464" t="str">
        <f>VLOOKUP(Tableau1315[[#This Row],[PARCS]],Tableau106[],2,FALSE)</f>
        <v>FR56E07E</v>
      </c>
      <c r="D148" s="465" t="str">
        <f>VLOOKUP(Tableau1315[[#This Row],[PARCS]],Tableau106[],8,FALSE)</f>
        <v>EOLIEN</v>
      </c>
      <c r="E148" s="465" t="str">
        <f>VLOOKUP(A148,Tableau106[[#Headers],[#Data]],6,FALSE)</f>
        <v>N</v>
      </c>
      <c r="F148" s="466" t="str">
        <f>VLOOKUP(Tableau1315[[#This Row],[PARCS]],Tableau106[],5,FALSE)</f>
        <v>STME</v>
      </c>
      <c r="G148" s="464" t="str">
        <f>VLOOKUP(Tableau1315[[#This Row],[PARCS]],Tableau106[],7,FALSE)</f>
        <v>EGM</v>
      </c>
      <c r="H148" s="464" t="str">
        <f>VLOOKUP(Tableau1315[[#This Row],[PARCS]],Tableau106[],9,FALSE)</f>
        <v>DeN</v>
      </c>
      <c r="I148" s="350">
        <f>IFERROR(VLOOKUP(Tableau1315[[#This Row],[PARCS]],Tableau15[],10,FALSE),"")</f>
        <v>-205342.87687010149</v>
      </c>
      <c r="J148" s="20">
        <f>IFERROR(VLOOKUP(Tableau1315[[#This Row],[PARCS]],Tableau15[],18,FALSE),"")</f>
        <v>-37255.026455026455</v>
      </c>
      <c r="K148" s="252">
        <f>IFERROR(VLOOKUP(Tableau1315[[#This Row],[PARCS]],Tableau15[],19,FALSE),"")</f>
        <v>0</v>
      </c>
      <c r="L148" s="20">
        <f>IFERROR(VLOOKUP(Tableau1315[[#This Row],[PARCS]],Tableau15[],28,FALSE),"")</f>
        <v>-5000</v>
      </c>
      <c r="M148" s="252">
        <f>IFERROR(VLOOKUP(Tableau1315[[#This Row],[PARCS]],Tableau15[],36,FALSE),"")</f>
        <v>0</v>
      </c>
      <c r="N148" s="252">
        <f>IFERROR(VLOOKUP(Tableau1315[[#This Row],[PARCS]],Tableau15[],37,FALSE),"")</f>
        <v>0</v>
      </c>
      <c r="O148" s="467">
        <f>SUM(Tableau1315[[#This Row],[CONTRAT O&amp;M FORFAIT GROUPE]:[CHARGES exceptionnels (BONUS, sinistres)]])</f>
        <v>-247597.90332512796</v>
      </c>
      <c r="P148" s="354">
        <f>VLOOKUP(Tableau1315[[#This Row],[PARCS]],Tableau16[],10,FALSE)</f>
        <v>-206499</v>
      </c>
      <c r="Q148" s="252">
        <f>VLOOKUP(Tableau1315[[#This Row],[PARCS]],Tableau16[],18,FALSE)</f>
        <v>-39310</v>
      </c>
      <c r="R148" s="252">
        <f>VLOOKUP(Tableau1315[[#This Row],[PARCS]],Tableau16[],19,FALSE)</f>
        <v>0</v>
      </c>
      <c r="S148" s="252">
        <f>VLOOKUP(Tableau1315[[#This Row],[PARCS]],Tableau16[],28,FALSE)</f>
        <v>-3000</v>
      </c>
      <c r="T148" s="252">
        <f>VLOOKUP(Tableau1315[[#This Row],[PARCS]],Tableau16[],36,FALSE)</f>
        <v>0</v>
      </c>
      <c r="U148" s="252">
        <f>VLOOKUP(Tableau1315[[#This Row],[PARCS]],Tableau16[],37,FALSE)</f>
        <v>0</v>
      </c>
      <c r="V148" s="467">
        <f>SUM(Tableau1315[[#This Row],[CONTRAT O&amp;M FORFAIT GROUPE2]:[CHARGES exceptionnels (BONUS, sinistres)7]])</f>
        <v>-248809</v>
      </c>
      <c r="W148" s="354">
        <f>VLOOKUP(Tableau1315[[#This Row],[PARCS]],Tableau17[],10,FALSE)</f>
        <v>-211661.47499999998</v>
      </c>
      <c r="X148" s="252">
        <f>VLOOKUP(Tableau1315[[#This Row],[PARCS]],Tableau17[],18,FALSE)</f>
        <v>-40200</v>
      </c>
      <c r="Y148" s="252">
        <f>VLOOKUP(Tableau1315[[#This Row],[PARCS]],Tableau17[],19,FALSE)</f>
        <v>0</v>
      </c>
      <c r="Z148" s="252">
        <f>VLOOKUP(Tableau1315[[#This Row],[PARCS]],Tableau17[],28,FALSE)</f>
        <v>-3000</v>
      </c>
      <c r="AA148" s="252">
        <f>VLOOKUP(Tableau1315[[#This Row],[PARCS]],Tableau17[],36,FALSE)</f>
        <v>0</v>
      </c>
      <c r="AB148" s="252">
        <f>VLOOKUP(Tableau1315[[#This Row],[PARCS]],Tableau17[],37,FALSE)</f>
        <v>0</v>
      </c>
      <c r="AC148" s="468">
        <f>SUM(Tableau1315[[#This Row],[CONTRAT O&amp;M FORFAIT GROUPE22]:[CHARGES exceptionnels (BONUS, sinistres)77]])</f>
        <v>-254861.47499999998</v>
      </c>
      <c r="AD148" s="252">
        <f>Tableau1315[[#This Row],[TOTAL LE3]]-Tableau1315[[#This Row],[TOTAL BN-1]]</f>
        <v>-1211.0966748720384</v>
      </c>
      <c r="AE148" s="351">
        <f>IFERROR((Tableau1315[[#This Row],[TOTAL LE3]]-Tableau1315[[#This Row],[TOTAL BN-1]])/Tableau1315[[#This Row],[TOTAL BN-1]],"")</f>
        <v>4.8913850182394818E-3</v>
      </c>
      <c r="AF148" s="252">
        <f>Tableau1315[[#This Row],[TOTAL BN+1]]-Tableau1315[[#This Row],[TOTAL LE3]]</f>
        <v>-6052.4749999999767</v>
      </c>
      <c r="AG148" s="351">
        <f>IFERROR((Tableau1315[[#This Row],[TOTAL BN+1]]-Tableau1315[[#This Row],[TOTAL LE3]])/Tableau1315[[#This Row],[TOTAL LE3]],"")</f>
        <v>2.4325788054290549E-2</v>
      </c>
    </row>
    <row r="149" spans="1:34" hidden="1">
      <c r="A149" s="463" t="s">
        <v>493</v>
      </c>
      <c r="B149" s="464" t="str">
        <f>VLOOKUP(Tableau1315[[#This Row],[PARCS]],Tableau106[],3,FALSE)</f>
        <v>A353</v>
      </c>
      <c r="C149" s="464" t="str">
        <f>VLOOKUP(Tableau1315[[#This Row],[PARCS]],Tableau106[],2,FALSE)</f>
        <v>FR13S08E</v>
      </c>
      <c r="D149" s="465" t="str">
        <f>VLOOKUP(Tableau1315[[#This Row],[PARCS]],Tableau106[],8,FALSE)</f>
        <v>SOLAIRE</v>
      </c>
      <c r="E149" s="465" t="str">
        <f>VLOOKUP(A149,Tableau106[[#Headers],[#Data]],6,FALSE)</f>
        <v>S</v>
      </c>
      <c r="F149" s="466" t="str">
        <f>VLOOKUP(Tableau1315[[#This Row],[PARCS]],Tableau106[],5,FALSE)</f>
        <v>EYGU</v>
      </c>
      <c r="G149" s="464" t="str">
        <f>VLOOKUP(Tableau1315[[#This Row],[PARCS]],Tableau106[],7,FALSE)</f>
        <v>GROUPE</v>
      </c>
      <c r="H149" s="464" t="str">
        <f>VLOOKUP(Tableau1315[[#This Row],[PARCS]],Tableau106[],9,FALSE)</f>
        <v>ArB</v>
      </c>
      <c r="I149" s="350">
        <f>IFERROR(VLOOKUP(Tableau1315[[#This Row],[PARCS]],Tableau15[],10,FALSE),"")</f>
        <v>-52000</v>
      </c>
      <c r="J149" s="20">
        <f>IFERROR(VLOOKUP(Tableau1315[[#This Row],[PARCS]],Tableau15[],18,FALSE),"")</f>
        <v>-10400</v>
      </c>
      <c r="K149" s="252">
        <f>IFERROR(VLOOKUP(Tableau1315[[#This Row],[PARCS]],Tableau15[],19,FALSE),"")</f>
        <v>0</v>
      </c>
      <c r="L149" s="20">
        <f>IFERROR(VLOOKUP(Tableau1315[[#This Row],[PARCS]],Tableau15[],28,FALSE),"")</f>
        <v>-5200</v>
      </c>
      <c r="M149" s="252">
        <f>IFERROR(VLOOKUP(Tableau1315[[#This Row],[PARCS]],Tableau15[],36,FALSE),"")</f>
        <v>-21500</v>
      </c>
      <c r="N149" s="252">
        <f>IFERROR(VLOOKUP(Tableau1315[[#This Row],[PARCS]],Tableau15[],37,FALSE),"")</f>
        <v>0</v>
      </c>
      <c r="O149" s="467">
        <f>SUM(Tableau1315[[#This Row],[CONTRAT O&amp;M FORFAIT GROUPE]:[CHARGES exceptionnels (BONUS, sinistres)]])</f>
        <v>-89100</v>
      </c>
      <c r="P149" s="354">
        <f>VLOOKUP(Tableau1315[[#This Row],[PARCS]],Tableau16[],10,FALSE)</f>
        <v>-54778</v>
      </c>
      <c r="Q149" s="350">
        <f>VLOOKUP(Tableau1315[[#This Row],[PARCS]],Tableau16[],18,FALSE)</f>
        <v>-12600</v>
      </c>
      <c r="R149" s="350">
        <f>VLOOKUP(Tableau1315[[#This Row],[PARCS]],Tableau16[],19,FALSE)</f>
        <v>0</v>
      </c>
      <c r="S149" s="20">
        <f>VLOOKUP(Tableau1315[[#This Row],[PARCS]],Tableau16[],28,FALSE)</f>
        <v>-7600</v>
      </c>
      <c r="T149" s="20">
        <f>VLOOKUP(Tableau1315[[#This Row],[PARCS]],Tableau16[],36,FALSE)</f>
        <v>-13450</v>
      </c>
      <c r="U149" s="20">
        <f>VLOOKUP(Tableau1315[[#This Row],[PARCS]],Tableau16[],37,FALSE)</f>
        <v>0</v>
      </c>
      <c r="V149" s="467">
        <f>SUM(Tableau1315[[#This Row],[CONTRAT O&amp;M FORFAIT GROUPE2]:[CHARGES exceptionnels (BONUS, sinistres)7]])</f>
        <v>-88428</v>
      </c>
      <c r="W149" s="354">
        <f>VLOOKUP(Tableau1315[[#This Row],[PARCS]],Tableau17[],10,FALSE)</f>
        <v>-83200</v>
      </c>
      <c r="X149" s="350">
        <f>VLOOKUP(Tableau1315[[#This Row],[PARCS]],Tableau17[],18,FALSE)</f>
        <v>-5600</v>
      </c>
      <c r="Y149" s="350">
        <f>VLOOKUP(Tableau1315[[#This Row],[PARCS]],Tableau17[],19,FALSE)</f>
        <v>0</v>
      </c>
      <c r="Z149" s="350">
        <f>VLOOKUP(Tableau1315[[#This Row],[PARCS]],Tableau17[],28,FALSE)</f>
        <v>-2600</v>
      </c>
      <c r="AA149" s="350">
        <f>VLOOKUP(Tableau1315[[#This Row],[PARCS]],Tableau17[],36,FALSE)</f>
        <v>-13100</v>
      </c>
      <c r="AB149" s="252">
        <f>VLOOKUP(Tableau1315[[#This Row],[PARCS]],Tableau17[],37,FALSE)</f>
        <v>0</v>
      </c>
      <c r="AC149" s="468">
        <f>SUM(Tableau1315[[#This Row],[CONTRAT O&amp;M FORFAIT GROUPE22]:[CHARGES exceptionnels (BONUS, sinistres)77]])</f>
        <v>-104500</v>
      </c>
      <c r="AD149" s="252">
        <f>Tableau1315[[#This Row],[TOTAL LE3]]-Tableau1315[[#This Row],[TOTAL BN-1]]</f>
        <v>672</v>
      </c>
      <c r="AE149" s="351">
        <f>IFERROR((Tableau1315[[#This Row],[TOTAL LE3]]-Tableau1315[[#This Row],[TOTAL BN-1]])/Tableau1315[[#This Row],[TOTAL BN-1]],"")</f>
        <v>-7.5420875420875418E-3</v>
      </c>
      <c r="AF149" s="252">
        <f>Tableau1315[[#This Row],[TOTAL BN+1]]-Tableau1315[[#This Row],[TOTAL LE3]]</f>
        <v>-16072</v>
      </c>
      <c r="AG149" s="351">
        <f>IFERROR((Tableau1315[[#This Row],[TOTAL BN+1]]-Tableau1315[[#This Row],[TOTAL LE3]])/Tableau1315[[#This Row],[TOTAL LE3]],"")</f>
        <v>0.18175238612204278</v>
      </c>
      <c r="AH149" s="6" t="s">
        <v>761</v>
      </c>
    </row>
    <row r="150" spans="1:34">
      <c r="A150" s="463" t="s">
        <v>317</v>
      </c>
      <c r="B150" s="464" t="str">
        <f>VLOOKUP(Tableau1315[[#This Row],[PARCS]],Tableau106[],3,FALSE)</f>
        <v>F040</v>
      </c>
      <c r="C150" s="464" t="str">
        <f>VLOOKUP(Tableau1315[[#This Row],[PARCS]],Tableau106[],2,FALSE)</f>
        <v>FR14E04E</v>
      </c>
      <c r="D150" s="465" t="str">
        <f>VLOOKUP(Tableau1315[[#This Row],[PARCS]],Tableau106[],8,FALSE)</f>
        <v>EOLIEN</v>
      </c>
      <c r="E150" s="465" t="str">
        <f>VLOOKUP(A150,Tableau106[[#Headers],[#Data]],6,FALSE)</f>
        <v>N</v>
      </c>
      <c r="F150" s="466" t="str">
        <f>VLOOKUP(Tableau1315[[#This Row],[PARCS]],Tableau106[],5,FALSE)</f>
        <v>SALL</v>
      </c>
      <c r="G150" s="464" t="str">
        <f>VLOOKUP(Tableau1315[[#This Row],[PARCS]],Tableau106[],7,FALSE)</f>
        <v>FUTUREN</v>
      </c>
      <c r="H150" s="464" t="str">
        <f>VLOOKUP(Tableau1315[[#This Row],[PARCS]],Tableau106[],9,FALSE)</f>
        <v>MéS</v>
      </c>
      <c r="I150" s="350">
        <f>IFERROR(VLOOKUP(Tableau1315[[#This Row],[PARCS]],Tableau15[],10,FALSE),"")</f>
        <v>-9060.8125984251947</v>
      </c>
      <c r="J150" s="20">
        <f>IFERROR(VLOOKUP(Tableau1315[[#This Row],[PARCS]],Tableau15[],18,FALSE),"")</f>
        <v>-8000</v>
      </c>
      <c r="K150" s="252">
        <f>IFERROR(VLOOKUP(Tableau1315[[#This Row],[PARCS]],Tableau15[],19,FALSE),"")</f>
        <v>-208506.88</v>
      </c>
      <c r="L150" s="20">
        <f>IFERROR(VLOOKUP(Tableau1315[[#This Row],[PARCS]],Tableau15[],28,FALSE),"")</f>
        <v>-6400</v>
      </c>
      <c r="M150" s="252">
        <f>IFERROR(VLOOKUP(Tableau1315[[#This Row],[PARCS]],Tableau15[],36,FALSE),"")</f>
        <v>0</v>
      </c>
      <c r="N150" s="252">
        <f>IFERROR(VLOOKUP(Tableau1315[[#This Row],[PARCS]],Tableau15[],37,FALSE),"")</f>
        <v>0</v>
      </c>
      <c r="O150" s="467">
        <f>SUM(Tableau1315[[#This Row],[CONTRAT O&amp;M FORFAIT GROUPE]:[CHARGES exceptionnels (BONUS, sinistres)]])</f>
        <v>-231967.6925984252</v>
      </c>
      <c r="P150" s="354">
        <f>VLOOKUP(Tableau1315[[#This Row],[PARCS]],Tableau16[],10,FALSE)</f>
        <v>-9112</v>
      </c>
      <c r="Q150" s="252">
        <f>VLOOKUP(Tableau1315[[#This Row],[PARCS]],Tableau16[],18,FALSE)</f>
        <v>-8780</v>
      </c>
      <c r="R150" s="252">
        <f>VLOOKUP(Tableau1315[[#This Row],[PARCS]],Tableau16[],19,FALSE)</f>
        <v>-182000</v>
      </c>
      <c r="S150" s="252">
        <f>VLOOKUP(Tableau1315[[#This Row],[PARCS]],Tableau16[],28,FALSE)</f>
        <v>-5013</v>
      </c>
      <c r="T150" s="252">
        <f>VLOOKUP(Tableau1315[[#This Row],[PARCS]],Tableau16[],36,FALSE)</f>
        <v>0</v>
      </c>
      <c r="U150" s="252">
        <f>VLOOKUP(Tableau1315[[#This Row],[PARCS]],Tableau16[],37,FALSE)</f>
        <v>0</v>
      </c>
      <c r="V150" s="467">
        <f>SUM(Tableau1315[[#This Row],[CONTRAT O&amp;M FORFAIT GROUPE2]:[CHARGES exceptionnels (BONUS, sinistres)7]])</f>
        <v>-204905</v>
      </c>
      <c r="W150" s="354">
        <f>VLOOKUP(Tableau1315[[#This Row],[PARCS]],Tableau17[],10,FALSE)</f>
        <v>-9339.7999999999993</v>
      </c>
      <c r="X150" s="252">
        <f>VLOOKUP(Tableau1315[[#This Row],[PARCS]],Tableau17[],18,FALSE)</f>
        <v>-10670</v>
      </c>
      <c r="Y150" s="252">
        <f>VLOOKUP(Tableau1315[[#This Row],[PARCS]],Tableau17[],19,FALSE)</f>
        <v>-186549.99999999997</v>
      </c>
      <c r="Z150" s="252">
        <f>VLOOKUP(Tableau1315[[#This Row],[PARCS]],Tableau17[],28,FALSE)</f>
        <v>-7800</v>
      </c>
      <c r="AA150" s="252">
        <f>VLOOKUP(Tableau1315[[#This Row],[PARCS]],Tableau17[],36,FALSE)</f>
        <v>-5047.0999999999995</v>
      </c>
      <c r="AB150" s="252">
        <f>VLOOKUP(Tableau1315[[#This Row],[PARCS]],Tableau17[],37,FALSE)</f>
        <v>0</v>
      </c>
      <c r="AC150" s="468">
        <f>SUM(Tableau1315[[#This Row],[CONTRAT O&amp;M FORFAIT GROUPE22]:[CHARGES exceptionnels (BONUS, sinistres)77]])</f>
        <v>-219406.89999999997</v>
      </c>
      <c r="AD150" s="252">
        <f>Tableau1315[[#This Row],[TOTAL LE3]]-Tableau1315[[#This Row],[TOTAL BN-1]]</f>
        <v>27062.692598425201</v>
      </c>
      <c r="AE150" s="351">
        <f>IFERROR((Tableau1315[[#This Row],[TOTAL LE3]]-Tableau1315[[#This Row],[TOTAL BN-1]])/Tableau1315[[#This Row],[TOTAL BN-1]],"")</f>
        <v>-0.11666578347733639</v>
      </c>
      <c r="AF150" s="252">
        <f>Tableau1315[[#This Row],[TOTAL BN+1]]-Tableau1315[[#This Row],[TOTAL LE3]]</f>
        <v>-14501.899999999965</v>
      </c>
      <c r="AG150" s="351">
        <f>IFERROR((Tableau1315[[#This Row],[TOTAL BN+1]]-Tableau1315[[#This Row],[TOTAL LE3]])/Tableau1315[[#This Row],[TOTAL LE3]],"")</f>
        <v>7.0773773211976115E-2</v>
      </c>
    </row>
    <row r="151" spans="1:34" hidden="1">
      <c r="A151" s="463" t="s">
        <v>498</v>
      </c>
      <c r="B151" s="464" t="str">
        <f>VLOOKUP(Tableau1315[[#This Row],[PARCS]],Tableau106[],3,FALSE)</f>
        <v>A037</v>
      </c>
      <c r="C151" s="464" t="str">
        <f>VLOOKUP(Tableau1315[[#This Row],[PARCS]],Tableau106[],2,FALSE)</f>
        <v>FR13S15E</v>
      </c>
      <c r="D151" s="465" t="str">
        <f>VLOOKUP(Tableau1315[[#This Row],[PARCS]],Tableau106[],8,FALSE)</f>
        <v>SOLAIRE</v>
      </c>
      <c r="E151" s="465" t="str">
        <f>VLOOKUP(A151,Tableau106[[#Headers],[#Data]],6,FALSE)</f>
        <v>S</v>
      </c>
      <c r="F151" s="466" t="str">
        <f>VLOOKUP(Tableau1315[[#This Row],[PARCS]],Tableau106[],5,FALSE)</f>
        <v>FOST</v>
      </c>
      <c r="G151" s="464" t="str">
        <f>VLOOKUP(Tableau1315[[#This Row],[PARCS]],Tableau106[],7,FALSE)</f>
        <v>GROUPE</v>
      </c>
      <c r="H151" s="464" t="str">
        <f>VLOOKUP(Tableau1315[[#This Row],[PARCS]],Tableau106[],9,FALSE)</f>
        <v>ArB</v>
      </c>
      <c r="I151" s="350">
        <f>IFERROR(VLOOKUP(Tableau1315[[#This Row],[PARCS]],Tableau15[],10,FALSE),"")</f>
        <v>-134534.63648362717</v>
      </c>
      <c r="J151" s="20">
        <f>IFERROR(VLOOKUP(Tableau1315[[#This Row],[PARCS]],Tableau15[],18,FALSE),"")</f>
        <v>-61900</v>
      </c>
      <c r="K151" s="252">
        <f>IFERROR(VLOOKUP(Tableau1315[[#This Row],[PARCS]],Tableau15[],19,FALSE),"")</f>
        <v>0</v>
      </c>
      <c r="L151" s="20">
        <f>IFERROR(VLOOKUP(Tableau1315[[#This Row],[PARCS]],Tableau15[],28,FALSE),"")</f>
        <v>-7950</v>
      </c>
      <c r="M151" s="252">
        <f>IFERROR(VLOOKUP(Tableau1315[[#This Row],[PARCS]],Tableau15[],36,FALSE),"")</f>
        <v>0</v>
      </c>
      <c r="N151" s="252">
        <f>IFERROR(VLOOKUP(Tableau1315[[#This Row],[PARCS]],Tableau15[],37,FALSE),"")</f>
        <v>-5000</v>
      </c>
      <c r="O151" s="467">
        <f>SUM(Tableau1315[[#This Row],[CONTRAT O&amp;M FORFAIT GROUPE]:[CHARGES exceptionnels (BONUS, sinistres)]])</f>
        <v>-209384.63648362717</v>
      </c>
      <c r="P151" s="354">
        <f>VLOOKUP(Tableau1315[[#This Row],[PARCS]],Tableau16[],10,FALSE)</f>
        <v>-135292</v>
      </c>
      <c r="Q151" s="350">
        <f>VLOOKUP(Tableau1315[[#This Row],[PARCS]],Tableau16[],18,FALSE)</f>
        <v>-18315</v>
      </c>
      <c r="R151" s="350">
        <f>VLOOKUP(Tableau1315[[#This Row],[PARCS]],Tableau16[],19,FALSE)</f>
        <v>0</v>
      </c>
      <c r="S151" s="20">
        <f>VLOOKUP(Tableau1315[[#This Row],[PARCS]],Tableau16[],28,FALSE)</f>
        <v>-48765</v>
      </c>
      <c r="T151" s="20">
        <f>VLOOKUP(Tableau1315[[#This Row],[PARCS]],Tableau16[],36,FALSE)</f>
        <v>0</v>
      </c>
      <c r="U151" s="20">
        <f>VLOOKUP(Tableau1315[[#This Row],[PARCS]],Tableau16[],37,FALSE)</f>
        <v>-5000</v>
      </c>
      <c r="V151" s="467">
        <f>SUM(Tableau1315[[#This Row],[CONTRAT O&amp;M FORFAIT GROUPE2]:[CHARGES exceptionnels (BONUS, sinistres)7]])</f>
        <v>-207372</v>
      </c>
      <c r="W151" s="354">
        <f>VLOOKUP(Tableau1315[[#This Row],[PARCS]],Tableau17[],10,FALSE)</f>
        <v>-138674.29999999999</v>
      </c>
      <c r="X151" s="350">
        <f>VLOOKUP(Tableau1315[[#This Row],[PARCS]],Tableau17[],18,FALSE)</f>
        <v>-22975</v>
      </c>
      <c r="Y151" s="350">
        <f>VLOOKUP(Tableau1315[[#This Row],[PARCS]],Tableau17[],19,FALSE)</f>
        <v>0</v>
      </c>
      <c r="Z151" s="350">
        <f>VLOOKUP(Tableau1315[[#This Row],[PARCS]],Tableau17[],28,FALSE)</f>
        <v>-26455</v>
      </c>
      <c r="AA151" s="350">
        <f>VLOOKUP(Tableau1315[[#This Row],[PARCS]],Tableau17[],36,FALSE)</f>
        <v>0</v>
      </c>
      <c r="AB151" s="252">
        <f>VLOOKUP(Tableau1315[[#This Row],[PARCS]],Tableau17[],37,FALSE)</f>
        <v>0</v>
      </c>
      <c r="AC151" s="468">
        <f>SUM(Tableau1315[[#This Row],[CONTRAT O&amp;M FORFAIT GROUPE22]:[CHARGES exceptionnels (BONUS, sinistres)77]])</f>
        <v>-188104.3</v>
      </c>
      <c r="AD151" s="252">
        <f>Tableau1315[[#This Row],[TOTAL LE3]]-Tableau1315[[#This Row],[TOTAL BN-1]]</f>
        <v>2012.6364836271678</v>
      </c>
      <c r="AE151" s="351">
        <f>IFERROR((Tableau1315[[#This Row],[TOTAL LE3]]-Tableau1315[[#This Row],[TOTAL BN-1]])/Tableau1315[[#This Row],[TOTAL BN-1]],"")</f>
        <v>-9.6121497614489303E-3</v>
      </c>
      <c r="AF151" s="252">
        <f>Tableau1315[[#This Row],[TOTAL BN+1]]-Tableau1315[[#This Row],[TOTAL LE3]]</f>
        <v>19267.700000000012</v>
      </c>
      <c r="AG151" s="351">
        <f>IFERROR((Tableau1315[[#This Row],[TOTAL BN+1]]-Tableau1315[[#This Row],[TOTAL LE3]])/Tableau1315[[#This Row],[TOTAL LE3]],"")</f>
        <v>-9.2913700981810524E-2</v>
      </c>
      <c r="AH151" s="6" t="s">
        <v>762</v>
      </c>
    </row>
    <row r="152" spans="1:34" hidden="1">
      <c r="A152" s="463" t="s">
        <v>505</v>
      </c>
      <c r="B152" s="464" t="str">
        <f>VLOOKUP(Tableau1315[[#This Row],[PARCS]],Tableau106[],3,FALSE)</f>
        <v>A237</v>
      </c>
      <c r="C152" s="464" t="str">
        <f>VLOOKUP(Tableau1315[[#This Row],[PARCS]],Tableau106[],2,FALSE)</f>
        <v>FR23S01E</v>
      </c>
      <c r="D152" s="465" t="str">
        <f>VLOOKUP(Tableau1315[[#This Row],[PARCS]],Tableau106[],8,FALSE)</f>
        <v>SOLAIRE</v>
      </c>
      <c r="E152" s="465" t="str">
        <f>VLOOKUP(A152,Tableau106[[#Headers],[#Data]],6,FALSE)</f>
        <v>S</v>
      </c>
      <c r="F152" s="466" t="str">
        <f>VLOOKUP(Tableau1315[[#This Row],[PARCS]],Tableau106[],5,FALSE)</f>
        <v>GDGT</v>
      </c>
      <c r="G152" s="464" t="str">
        <f>VLOOKUP(Tableau1315[[#This Row],[PARCS]],Tableau106[],7,FALSE)</f>
        <v>GROUPE</v>
      </c>
      <c r="H152" s="464" t="str">
        <f>VLOOKUP(Tableau1315[[#This Row],[PARCS]],Tableau106[],9,FALSE)</f>
        <v>ArB</v>
      </c>
      <c r="I152" s="350">
        <f>IFERROR(VLOOKUP(Tableau1315[[#This Row],[PARCS]],Tableau15[],10,FALSE),"")</f>
        <v>0</v>
      </c>
      <c r="J152" s="20">
        <f>IFERROR(VLOOKUP(Tableau1315[[#This Row],[PARCS]],Tableau15[],18,FALSE),"")</f>
        <v>-14700</v>
      </c>
      <c r="K152" s="252">
        <f>IFERROR(VLOOKUP(Tableau1315[[#This Row],[PARCS]],Tableau15[],19,FALSE),"")</f>
        <v>-34615.4</v>
      </c>
      <c r="L152" s="20">
        <f>IFERROR(VLOOKUP(Tableau1315[[#This Row],[PARCS]],Tableau15[],28,FALSE),"")</f>
        <v>-34350</v>
      </c>
      <c r="M152" s="252">
        <f>IFERROR(VLOOKUP(Tableau1315[[#This Row],[PARCS]],Tableau15[],36,FALSE),"")</f>
        <v>-3250</v>
      </c>
      <c r="N152" s="252">
        <f>IFERROR(VLOOKUP(Tableau1315[[#This Row],[PARCS]],Tableau15[],37,FALSE),"")</f>
        <v>0</v>
      </c>
      <c r="O152" s="467">
        <f>SUM(Tableau1315[[#This Row],[CONTRAT O&amp;M FORFAIT GROUPE]:[CHARGES exceptionnels (BONUS, sinistres)]])</f>
        <v>-86915.4</v>
      </c>
      <c r="P152" s="354">
        <f>VLOOKUP(Tableau1315[[#This Row],[PARCS]],Tableau16[],10,FALSE)</f>
        <v>0</v>
      </c>
      <c r="Q152" s="350">
        <f>VLOOKUP(Tableau1315[[#This Row],[PARCS]],Tableau16[],18,FALSE)</f>
        <v>-11875</v>
      </c>
      <c r="R152" s="350">
        <f>VLOOKUP(Tableau1315[[#This Row],[PARCS]],Tableau16[],19,FALSE)</f>
        <v>-35956</v>
      </c>
      <c r="S152" s="20">
        <f>VLOOKUP(Tableau1315[[#This Row],[PARCS]],Tableau16[],28,FALSE)</f>
        <v>-33975</v>
      </c>
      <c r="T152" s="20">
        <f>VLOOKUP(Tableau1315[[#This Row],[PARCS]],Tableau16[],36,FALSE)</f>
        <v>-3250</v>
      </c>
      <c r="U152" s="20">
        <f>VLOOKUP(Tableau1315[[#This Row],[PARCS]],Tableau16[],37,FALSE)</f>
        <v>0</v>
      </c>
      <c r="V152" s="467">
        <f>SUM(Tableau1315[[#This Row],[CONTRAT O&amp;M FORFAIT GROUPE2]:[CHARGES exceptionnels (BONUS, sinistres)7]])</f>
        <v>-85056</v>
      </c>
      <c r="W152" s="354">
        <f>VLOOKUP(Tableau1315[[#This Row],[PARCS]],Tableau17[],10,FALSE)</f>
        <v>0</v>
      </c>
      <c r="X152" s="350">
        <f>VLOOKUP(Tableau1315[[#This Row],[PARCS]],Tableau17[],18,FALSE)</f>
        <v>-3675</v>
      </c>
      <c r="Y152" s="350">
        <f>VLOOKUP(Tableau1315[[#This Row],[PARCS]],Tableau17[],19,FALSE)</f>
        <v>-36854.899999999994</v>
      </c>
      <c r="Z152" s="350">
        <f>VLOOKUP(Tableau1315[[#This Row],[PARCS]],Tableau17[],28,FALSE)</f>
        <v>-26475</v>
      </c>
      <c r="AA152" s="350">
        <f>VLOOKUP(Tableau1315[[#This Row],[PARCS]],Tableau17[],36,FALSE)</f>
        <v>-3250</v>
      </c>
      <c r="AB152" s="252">
        <f>VLOOKUP(Tableau1315[[#This Row],[PARCS]],Tableau17[],37,FALSE)</f>
        <v>0</v>
      </c>
      <c r="AC152" s="468">
        <f>SUM(Tableau1315[[#This Row],[CONTRAT O&amp;M FORFAIT GROUPE22]:[CHARGES exceptionnels (BONUS, sinistres)77]])</f>
        <v>-70254.899999999994</v>
      </c>
      <c r="AD152" s="252">
        <f>Tableau1315[[#This Row],[TOTAL LE3]]-Tableau1315[[#This Row],[TOTAL BN-1]]</f>
        <v>1859.3999999999942</v>
      </c>
      <c r="AE152" s="351">
        <f>IFERROR((Tableau1315[[#This Row],[TOTAL LE3]]-Tableau1315[[#This Row],[TOTAL BN-1]])/Tableau1315[[#This Row],[TOTAL BN-1]],"")</f>
        <v>-2.1393216852249364E-2</v>
      </c>
      <c r="AF152" s="252">
        <f>Tableau1315[[#This Row],[TOTAL BN+1]]-Tableau1315[[#This Row],[TOTAL LE3]]</f>
        <v>14801.100000000006</v>
      </c>
      <c r="AG152" s="351">
        <f>IFERROR((Tableau1315[[#This Row],[TOTAL BN+1]]-Tableau1315[[#This Row],[TOTAL LE3]])/Tableau1315[[#This Row],[TOTAL LE3]],"")</f>
        <v>-0.17401594243792332</v>
      </c>
    </row>
    <row r="153" spans="1:34" hidden="1">
      <c r="A153" s="463" t="s">
        <v>444</v>
      </c>
      <c r="B153" s="464" t="str">
        <f>VLOOKUP(Tableau1315[[#This Row],[PARCS]],Tableau106[],3,FALSE)</f>
        <v>A353</v>
      </c>
      <c r="C153" s="464" t="str">
        <f>VLOOKUP(Tableau1315[[#This Row],[PARCS]],Tableau106[],2,FALSE)</f>
        <v>FR30S13E</v>
      </c>
      <c r="D153" s="465" t="str">
        <f>VLOOKUP(Tableau1315[[#This Row],[PARCS]],Tableau106[],8,FALSE)</f>
        <v>SOLAIRE</v>
      </c>
      <c r="E153" s="465" t="str">
        <f>VLOOKUP(A153,Tableau106[[#Headers],[#Data]],6,FALSE)</f>
        <v>S</v>
      </c>
      <c r="F153" s="466" t="str">
        <f>VLOOKUP(Tableau1315[[#This Row],[PARCS]],Tableau106[],5,FALSE)</f>
        <v>ARAM</v>
      </c>
      <c r="G153" s="464" t="str">
        <f>VLOOKUP(Tableau1315[[#This Row],[PARCS]],Tableau106[],7,FALSE)</f>
        <v>GROUPE</v>
      </c>
      <c r="H153" s="464" t="str">
        <f>VLOOKUP(Tableau1315[[#This Row],[PARCS]],Tableau106[],9,FALSE)</f>
        <v>ArB</v>
      </c>
      <c r="I153" s="350">
        <f>IFERROR(VLOOKUP(Tableau1315[[#This Row],[PARCS]],Tableau15[],10,FALSE),"")</f>
        <v>-59847.038557377033</v>
      </c>
      <c r="J153" s="20">
        <f>IFERROR(VLOOKUP(Tableau1315[[#This Row],[PARCS]],Tableau15[],18,FALSE),"")</f>
        <v>-5000</v>
      </c>
      <c r="K153" s="252">
        <f>IFERROR(VLOOKUP(Tableau1315[[#This Row],[PARCS]],Tableau15[],19,FALSE),"")</f>
        <v>0</v>
      </c>
      <c r="L153" s="20">
        <f>IFERROR(VLOOKUP(Tableau1315[[#This Row],[PARCS]],Tableau15[],28,FALSE),"")</f>
        <v>-22500</v>
      </c>
      <c r="M153" s="252">
        <f>IFERROR(VLOOKUP(Tableau1315[[#This Row],[PARCS]],Tableau15[],36,FALSE),"")</f>
        <v>-5000</v>
      </c>
      <c r="N153" s="252">
        <f>IFERROR(VLOOKUP(Tableau1315[[#This Row],[PARCS]],Tableau15[],37,FALSE),"")</f>
        <v>-3000</v>
      </c>
      <c r="O153" s="467">
        <f>SUM(Tableau1315[[#This Row],[CONTRAT O&amp;M FORFAIT GROUPE]:[CHARGES exceptionnels (BONUS, sinistres)]])</f>
        <v>-95347.038557377033</v>
      </c>
      <c r="P153" s="354">
        <f>VLOOKUP(Tableau1315[[#This Row],[PARCS]],Tableau16[],10,FALSE)</f>
        <v>-60184</v>
      </c>
      <c r="Q153" s="350">
        <f>VLOOKUP(Tableau1315[[#This Row],[PARCS]],Tableau16[],18,FALSE)</f>
        <v>-7750</v>
      </c>
      <c r="R153" s="350">
        <f>VLOOKUP(Tableau1315[[#This Row],[PARCS]],Tableau16[],19,FALSE)</f>
        <v>0</v>
      </c>
      <c r="S153" s="20">
        <f>VLOOKUP(Tableau1315[[#This Row],[PARCS]],Tableau16[],28,FALSE)</f>
        <v>-21950</v>
      </c>
      <c r="T153" s="20">
        <f>VLOOKUP(Tableau1315[[#This Row],[PARCS]],Tableau16[],36,FALSE)</f>
        <v>0</v>
      </c>
      <c r="U153" s="20">
        <f>VLOOKUP(Tableau1315[[#This Row],[PARCS]],Tableau16[],37,FALSE)</f>
        <v>-3000</v>
      </c>
      <c r="V153" s="467">
        <f>SUM(Tableau1315[[#This Row],[CONTRAT O&amp;M FORFAIT GROUPE2]:[CHARGES exceptionnels (BONUS, sinistres)7]])</f>
        <v>-92884</v>
      </c>
      <c r="W153" s="354">
        <f>VLOOKUP(Tableau1315[[#This Row],[PARCS]],Tableau17[],10,FALSE)</f>
        <v>-61688.599999999991</v>
      </c>
      <c r="X153" s="350">
        <f>VLOOKUP(Tableau1315[[#This Row],[PARCS]],Tableau17[],18,FALSE)</f>
        <v>-21230</v>
      </c>
      <c r="Y153" s="350">
        <f>VLOOKUP(Tableau1315[[#This Row],[PARCS]],Tableau17[],19,FALSE)</f>
        <v>0</v>
      </c>
      <c r="Z153" s="350">
        <f>VLOOKUP(Tableau1315[[#This Row],[PARCS]],Tableau17[],28,FALSE)</f>
        <v>-27950</v>
      </c>
      <c r="AA153" s="350">
        <f>VLOOKUP(Tableau1315[[#This Row],[PARCS]],Tableau17[],36,FALSE)</f>
        <v>0</v>
      </c>
      <c r="AB153" s="252">
        <f>VLOOKUP(Tableau1315[[#This Row],[PARCS]],Tableau17[],37,FALSE)</f>
        <v>-3000</v>
      </c>
      <c r="AC153" s="468">
        <f>SUM(Tableau1315[[#This Row],[CONTRAT O&amp;M FORFAIT GROUPE22]:[CHARGES exceptionnels (BONUS, sinistres)77]])</f>
        <v>-113868.59999999999</v>
      </c>
      <c r="AD153" s="252">
        <f>Tableau1315[[#This Row],[TOTAL LE3]]-Tableau1315[[#This Row],[TOTAL BN-1]]</f>
        <v>2463.0385573770327</v>
      </c>
      <c r="AE153" s="351">
        <f>IFERROR((Tableau1315[[#This Row],[TOTAL LE3]]-Tableau1315[[#This Row],[TOTAL BN-1]])/Tableau1315[[#This Row],[TOTAL BN-1]],"")</f>
        <v>-2.5832355096113958E-2</v>
      </c>
      <c r="AF153" s="252">
        <f>Tableau1315[[#This Row],[TOTAL BN+1]]-Tableau1315[[#This Row],[TOTAL LE3]]</f>
        <v>-20984.599999999991</v>
      </c>
      <c r="AG153" s="351">
        <f>IFERROR((Tableau1315[[#This Row],[TOTAL BN+1]]-Tableau1315[[#This Row],[TOTAL LE3]])/Tableau1315[[#This Row],[TOTAL LE3]],"")</f>
        <v>0.22592265621635579</v>
      </c>
      <c r="AH153" s="6" t="s">
        <v>763</v>
      </c>
    </row>
    <row r="154" spans="1:34" ht="24">
      <c r="A154" s="463" t="s">
        <v>549</v>
      </c>
      <c r="B154" s="464" t="str">
        <f>VLOOKUP(Tableau1315[[#This Row],[PARCS]],Tableau106[],3,FALSE)</f>
        <v>F156</v>
      </c>
      <c r="C154" s="464" t="str">
        <f>VLOOKUP(Tableau1315[[#This Row],[PARCS]],Tableau106[],2,FALSE)</f>
        <v>FR34E10E</v>
      </c>
      <c r="D154" s="465" t="str">
        <f>VLOOKUP(Tableau1315[[#This Row],[PARCS]],Tableau106[],8,FALSE)</f>
        <v>EOLIEN</v>
      </c>
      <c r="E154" s="465" t="str">
        <f>VLOOKUP(A154,Tableau106[[#Headers],[#Data]],6,FALSE)</f>
        <v>S</v>
      </c>
      <c r="F154" s="466" t="str">
        <f>VLOOKUP(Tableau1315[[#This Row],[PARCS]],Tableau106[],5,FALSE)</f>
        <v>JON2</v>
      </c>
      <c r="G154" s="464" t="str">
        <f>VLOOKUP(Tableau1315[[#This Row],[PARCS]],Tableau106[],7,FALSE)</f>
        <v>FUTUREN</v>
      </c>
      <c r="H154" s="464" t="str">
        <f>VLOOKUP(Tableau1315[[#This Row],[PARCS]],Tableau106[],9,FALSE)</f>
        <v>KéC</v>
      </c>
      <c r="I154" s="350">
        <f>IFERROR(VLOOKUP(Tableau1315[[#This Row],[PARCS]],Tableau15[],10,FALSE),"")</f>
        <v>-10090.450393700787</v>
      </c>
      <c r="J154" s="20">
        <f>IFERROR(VLOOKUP(Tableau1315[[#This Row],[PARCS]],Tableau15[],18,FALSE),"")</f>
        <v>-6300</v>
      </c>
      <c r="K154" s="252">
        <f>IFERROR(VLOOKUP(Tableau1315[[#This Row],[PARCS]],Tableau15[],19,FALSE),"")</f>
        <v>-128280.6</v>
      </c>
      <c r="L154" s="20">
        <f>IFERROR(VLOOKUP(Tableau1315[[#This Row],[PARCS]],Tableau15[],28,FALSE),"")</f>
        <v>-10650</v>
      </c>
      <c r="M154" s="252">
        <f>IFERROR(VLOOKUP(Tableau1315[[#This Row],[PARCS]],Tableau15[],36,FALSE),"")</f>
        <v>-60000</v>
      </c>
      <c r="N154" s="252">
        <f>IFERROR(VLOOKUP(Tableau1315[[#This Row],[PARCS]],Tableau15[],37,FALSE),"")</f>
        <v>0</v>
      </c>
      <c r="O154" s="467">
        <f>SUM(Tableau1315[[#This Row],[CONTRAT O&amp;M FORFAIT GROUPE]:[CHARGES exceptionnels (BONUS, sinistres)]])</f>
        <v>-215321.0503937008</v>
      </c>
      <c r="P154" s="354">
        <f>VLOOKUP(Tableau1315[[#This Row],[PARCS]],Tableau16[],10,FALSE)</f>
        <v>-10147</v>
      </c>
      <c r="Q154" s="350">
        <f>VLOOKUP(Tableau1315[[#This Row],[PARCS]],Tableau16[],18,FALSE)</f>
        <v>-22011</v>
      </c>
      <c r="R154" s="350">
        <f>VLOOKUP(Tableau1315[[#This Row],[PARCS]],Tableau16[],19,FALSE)</f>
        <v>-81798.48</v>
      </c>
      <c r="S154" s="20">
        <f>VLOOKUP(Tableau1315[[#This Row],[PARCS]],Tableau16[],28,FALSE)</f>
        <v>-19997.975629849207</v>
      </c>
      <c r="T154" s="20">
        <f>VLOOKUP(Tableau1315[[#This Row],[PARCS]],Tableau16[],36,FALSE)</f>
        <v>-58202.879999999997</v>
      </c>
      <c r="U154" s="20">
        <f>VLOOKUP(Tableau1315[[#This Row],[PARCS]],Tableau16[],37,FALSE)</f>
        <v>-6000</v>
      </c>
      <c r="V154" s="467">
        <f>SUM(Tableau1315[[#This Row],[CONTRAT O&amp;M FORFAIT GROUPE2]:[CHARGES exceptionnels (BONUS, sinistres)7]])</f>
        <v>-198157.3356298492</v>
      </c>
      <c r="W154" s="354">
        <f>VLOOKUP(Tableau1315[[#This Row],[PARCS]],Tableau17[],10,FALSE)</f>
        <v>-10400.674999999999</v>
      </c>
      <c r="X154" s="350">
        <f>VLOOKUP(Tableau1315[[#This Row],[PARCS]],Tableau17[],18,FALSE)</f>
        <v>-18927</v>
      </c>
      <c r="Y154" s="350">
        <f>VLOOKUP(Tableau1315[[#This Row],[PARCS]],Tableau17[],19,FALSE)</f>
        <v>-83843.441999999995</v>
      </c>
      <c r="Z154" s="350">
        <f>VLOOKUP(Tableau1315[[#This Row],[PARCS]],Tableau17[],28,FALSE)</f>
        <v>-17769.425629849204</v>
      </c>
      <c r="AA154" s="350">
        <f>VLOOKUP(Tableau1315[[#This Row],[PARCS]],Tableau17[],36,FALSE)</f>
        <v>-64435.1</v>
      </c>
      <c r="AB154" s="252">
        <f>VLOOKUP(Tableau1315[[#This Row],[PARCS]],Tableau17[],37,FALSE)</f>
        <v>0</v>
      </c>
      <c r="AC154" s="468">
        <f>SUM(Tableau1315[[#This Row],[CONTRAT O&amp;M FORFAIT GROUPE22]:[CHARGES exceptionnels (BONUS, sinistres)77]])</f>
        <v>-195375.6426298492</v>
      </c>
      <c r="AD154" s="252">
        <f>Tableau1315[[#This Row],[TOTAL LE3]]-Tableau1315[[#This Row],[TOTAL BN-1]]</f>
        <v>17163.714763851603</v>
      </c>
      <c r="AE154" s="351">
        <f>IFERROR((Tableau1315[[#This Row],[TOTAL LE3]]-Tableau1315[[#This Row],[TOTAL BN-1]])/Tableau1315[[#This Row],[TOTAL BN-1]],"")</f>
        <v>-7.9712200606809447E-2</v>
      </c>
      <c r="AF154" s="252">
        <f>Tableau1315[[#This Row],[TOTAL BN+1]]-Tableau1315[[#This Row],[TOTAL LE3]]</f>
        <v>2781.6929999999993</v>
      </c>
      <c r="AG154" s="351">
        <f>IFERROR((Tableau1315[[#This Row],[TOTAL BN+1]]-Tableau1315[[#This Row],[TOTAL LE3]])/Tableau1315[[#This Row],[TOTAL LE3]],"")</f>
        <v>-1.4037799767332874E-2</v>
      </c>
      <c r="AH154" s="469" t="s">
        <v>764</v>
      </c>
    </row>
    <row r="155" spans="1:34" hidden="1">
      <c r="A155" s="463" t="s">
        <v>462</v>
      </c>
      <c r="B155" s="464" t="str">
        <f>VLOOKUP(Tableau1315[[#This Row],[PARCS]],Tableau106[],3,FALSE)</f>
        <v>A080</v>
      </c>
      <c r="C155" s="464" t="str">
        <f>VLOOKUP(Tableau1315[[#This Row],[PARCS]],Tableau106[],2,FALSE)</f>
        <v>FR12E98E</v>
      </c>
      <c r="D155" s="465" t="str">
        <f>VLOOKUP(Tableau1315[[#This Row],[PARCS]],Tableau106[],8,FALSE)</f>
        <v>EOLIEN</v>
      </c>
      <c r="E155" s="465" t="str">
        <f>VLOOKUP(A155,Tableau106[[#Headers],[#Data]],6,FALSE)</f>
        <v>N</v>
      </c>
      <c r="F155" s="466" t="str">
        <f>VLOOKUP(Tableau1315[[#This Row],[PARCS]],Tableau106[],5,FALSE)</f>
        <v>SACU</v>
      </c>
      <c r="G155" s="464" t="str">
        <f>VLOOKUP(Tableau1315[[#This Row],[PARCS]],Tableau106[],7,FALSE)</f>
        <v>GROUPE</v>
      </c>
      <c r="H155" s="464" t="str">
        <f>VLOOKUP(Tableau1315[[#This Row],[PARCS]],Tableau106[],9,FALSE)</f>
        <v>AuE</v>
      </c>
      <c r="I155" s="350">
        <f>IFERROR(VLOOKUP(Tableau1315[[#This Row],[PARCS]],Tableau15[],10,FALSE),"")</f>
        <v>-1499229.5717884128</v>
      </c>
      <c r="J155" s="20">
        <f>IFERROR(VLOOKUP(Tableau1315[[#This Row],[PARCS]],Tableau15[],18,FALSE),"")</f>
        <v>-49200</v>
      </c>
      <c r="K155" s="252">
        <f>IFERROR(VLOOKUP(Tableau1315[[#This Row],[PARCS]],Tableau15[],19,FALSE),"")</f>
        <v>-12217.2</v>
      </c>
      <c r="L155" s="20">
        <f>IFERROR(VLOOKUP(Tableau1315[[#This Row],[PARCS]],Tableau15[],28,FALSE),"")</f>
        <v>-25000</v>
      </c>
      <c r="M155" s="252">
        <f>IFERROR(VLOOKUP(Tableau1315[[#This Row],[PARCS]],Tableau15[],36,FALSE),"")</f>
        <v>-20000</v>
      </c>
      <c r="N155" s="252">
        <f>IFERROR(VLOOKUP(Tableau1315[[#This Row],[PARCS]],Tableau15[],37,FALSE),"")</f>
        <v>0</v>
      </c>
      <c r="O155" s="467">
        <f>SUM(Tableau1315[[#This Row],[CONTRAT O&amp;M FORFAIT GROUPE]:[CHARGES exceptionnels (BONUS, sinistres)]])</f>
        <v>-1605646.7717884127</v>
      </c>
      <c r="P155" s="354">
        <f>VLOOKUP(Tableau1315[[#This Row],[PARCS]],Tableau16[],10,FALSE)</f>
        <v>-1507668</v>
      </c>
      <c r="Q155" s="252">
        <f>VLOOKUP(Tableau1315[[#This Row],[PARCS]],Tableau16[],18,FALSE)</f>
        <v>-103320</v>
      </c>
      <c r="R155" s="252">
        <f>VLOOKUP(Tableau1315[[#This Row],[PARCS]],Tableau16[],19,FALSE)</f>
        <v>0</v>
      </c>
      <c r="S155" s="252">
        <f>VLOOKUP(Tableau1315[[#This Row],[PARCS]],Tableau16[],28,FALSE)</f>
        <v>-63955.874155573794</v>
      </c>
      <c r="T155" s="252">
        <f>VLOOKUP(Tableau1315[[#This Row],[PARCS]],Tableau16[],36,FALSE)</f>
        <v>-25071.72</v>
      </c>
      <c r="U155" s="252">
        <f>VLOOKUP(Tableau1315[[#This Row],[PARCS]],Tableau16[],37,FALSE)</f>
        <v>-80000</v>
      </c>
      <c r="V155" s="467">
        <f>SUM(Tableau1315[[#This Row],[CONTRAT O&amp;M FORFAIT GROUPE2]:[CHARGES exceptionnels (BONUS, sinistres)7]])</f>
        <v>-1780015.5941555738</v>
      </c>
      <c r="W155" s="354">
        <f>VLOOKUP(Tableau1315[[#This Row],[PARCS]],Tableau17[],10,FALSE)</f>
        <v>-1545359.7</v>
      </c>
      <c r="X155" s="252">
        <f>VLOOKUP(Tableau1315[[#This Row],[PARCS]],Tableau17[],18,FALSE)</f>
        <v>-77610</v>
      </c>
      <c r="Y155" s="252">
        <f>VLOOKUP(Tableau1315[[#This Row],[PARCS]],Tableau17[],19,FALSE)</f>
        <v>0</v>
      </c>
      <c r="Z155" s="252">
        <f>VLOOKUP(Tableau1315[[#This Row],[PARCS]],Tableau17[],28,FALSE)</f>
        <v>-58421.991583059586</v>
      </c>
      <c r="AA155" s="252">
        <f>VLOOKUP(Tableau1315[[#This Row],[PARCS]],Tableau17[],36,FALSE)</f>
        <v>-70047.100000000006</v>
      </c>
      <c r="AB155" s="252">
        <f>VLOOKUP(Tableau1315[[#This Row],[PARCS]],Tableau17[],37,FALSE)</f>
        <v>0</v>
      </c>
      <c r="AC155" s="468">
        <f>SUM(Tableau1315[[#This Row],[CONTRAT O&amp;M FORFAIT GROUPE22]:[CHARGES exceptionnels (BONUS, sinistres)77]])</f>
        <v>-1751438.7915830596</v>
      </c>
      <c r="AD155" s="252">
        <f>Tableau1315[[#This Row],[TOTAL LE3]]-Tableau1315[[#This Row],[TOTAL BN-1]]</f>
        <v>-174368.82236716105</v>
      </c>
      <c r="AE155" s="351">
        <f>IFERROR((Tableau1315[[#This Row],[TOTAL LE3]]-Tableau1315[[#This Row],[TOTAL BN-1]])/Tableau1315[[#This Row],[TOTAL BN-1]],"")</f>
        <v>0.1085972490530681</v>
      </c>
      <c r="AF155" s="252">
        <f>Tableau1315[[#This Row],[TOTAL BN+1]]-Tableau1315[[#This Row],[TOTAL LE3]]</f>
        <v>28576.802572514163</v>
      </c>
      <c r="AG155" s="351">
        <f>IFERROR((Tableau1315[[#This Row],[TOTAL BN+1]]-Tableau1315[[#This Row],[TOTAL LE3]])/Tableau1315[[#This Row],[TOTAL LE3]],"")</f>
        <v>-1.6054242820311239E-2</v>
      </c>
      <c r="AH155" s="6" t="s">
        <v>765</v>
      </c>
    </row>
    <row r="156" spans="1:34" hidden="1">
      <c r="A156" s="463" t="s">
        <v>460</v>
      </c>
      <c r="B156" s="464" t="str">
        <f>VLOOKUP(Tableau1315[[#This Row],[PARCS]],Tableau106[],3,FALSE)</f>
        <v>A081</v>
      </c>
      <c r="C156" s="464" t="str">
        <f>VLOOKUP(Tableau1315[[#This Row],[PARCS]],Tableau106[],2,FALSE)</f>
        <v>FR12E97E</v>
      </c>
      <c r="D156" s="465" t="str">
        <f>VLOOKUP(Tableau1315[[#This Row],[PARCS]],Tableau106[],8,FALSE)</f>
        <v>EOLIEN</v>
      </c>
      <c r="E156" s="465" t="str">
        <f>VLOOKUP(A156,Tableau106[[#Headers],[#Data]],6,FALSE)</f>
        <v>N</v>
      </c>
      <c r="F156" s="466" t="str">
        <f>VLOOKUP(Tableau1315[[#This Row],[PARCS]],Tableau106[],5,FALSE)</f>
        <v>SAPN</v>
      </c>
      <c r="G156" s="464" t="str">
        <f>VLOOKUP(Tableau1315[[#This Row],[PARCS]],Tableau106[],7,FALSE)</f>
        <v>GROUPE</v>
      </c>
      <c r="H156" s="464" t="str">
        <f>VLOOKUP(Tableau1315[[#This Row],[PARCS]],Tableau106[],9,FALSE)</f>
        <v>AuE</v>
      </c>
      <c r="I156" s="350">
        <f>IFERROR(VLOOKUP(Tableau1315[[#This Row],[PARCS]],Tableau15[],10,FALSE),"")</f>
        <v>-210803.42569269516</v>
      </c>
      <c r="J156" s="20">
        <f>IFERROR(VLOOKUP(Tableau1315[[#This Row],[PARCS]],Tableau15[],18,FALSE),"")</f>
        <v>-16150</v>
      </c>
      <c r="K156" s="252">
        <f>IFERROR(VLOOKUP(Tableau1315[[#This Row],[PARCS]],Tableau15[],19,FALSE),"")</f>
        <v>-2036.2</v>
      </c>
      <c r="L156" s="20">
        <f>IFERROR(VLOOKUP(Tableau1315[[#This Row],[PARCS]],Tableau15[],28,FALSE),"")</f>
        <v>-8000</v>
      </c>
      <c r="M156" s="252">
        <f>IFERROR(VLOOKUP(Tableau1315[[#This Row],[PARCS]],Tableau15[],36,FALSE),"")</f>
        <v>0</v>
      </c>
      <c r="N156" s="252">
        <f>IFERROR(VLOOKUP(Tableau1315[[#This Row],[PARCS]],Tableau15[],37,FALSE),"")</f>
        <v>0</v>
      </c>
      <c r="O156" s="467">
        <f>SUM(Tableau1315[[#This Row],[CONTRAT O&amp;M FORFAIT GROUPE]:[CHARGES exceptionnels (BONUS, sinistres)]])</f>
        <v>-236989.62569269518</v>
      </c>
      <c r="P156" s="354">
        <f>VLOOKUP(Tableau1315[[#This Row],[PARCS]],Tableau16[],10,FALSE)</f>
        <v>-211990</v>
      </c>
      <c r="Q156" s="252">
        <f>VLOOKUP(Tableau1315[[#This Row],[PARCS]],Tableau16[],18,FALSE)</f>
        <v>-16310</v>
      </c>
      <c r="R156" s="252">
        <f>VLOOKUP(Tableau1315[[#This Row],[PARCS]],Tableau16[],19,FALSE)</f>
        <v>0</v>
      </c>
      <c r="S156" s="252">
        <f>VLOOKUP(Tableau1315[[#This Row],[PARCS]],Tableau16[],28,FALSE)</f>
        <v>-10885.841118970402</v>
      </c>
      <c r="T156" s="252">
        <f>VLOOKUP(Tableau1315[[#This Row],[PARCS]],Tableau16[],36,FALSE)</f>
        <v>-5071.72</v>
      </c>
      <c r="U156" s="252">
        <f>VLOOKUP(Tableau1315[[#This Row],[PARCS]],Tableau16[],37,FALSE)</f>
        <v>-20000</v>
      </c>
      <c r="V156" s="467">
        <f>SUM(Tableau1315[[#This Row],[CONTRAT O&amp;M FORFAIT GROUPE2]:[CHARGES exceptionnels (BONUS, sinistres)7]])</f>
        <v>-264257.56111897039</v>
      </c>
      <c r="W156" s="354">
        <f>VLOOKUP(Tableau1315[[#This Row],[PARCS]],Tableau17[],10,FALSE)</f>
        <v>-217289.74999999997</v>
      </c>
      <c r="X156" s="252">
        <f>VLOOKUP(Tableau1315[[#This Row],[PARCS]],Tableau17[],18,FALSE)</f>
        <v>-16670</v>
      </c>
      <c r="Y156" s="252">
        <f>VLOOKUP(Tableau1315[[#This Row],[PARCS]],Tableau17[],19,FALSE)</f>
        <v>0</v>
      </c>
      <c r="Z156" s="252">
        <f>VLOOKUP(Tableau1315[[#This Row],[PARCS]],Tableau17[],28,FALSE)</f>
        <v>-11591.244092724137</v>
      </c>
      <c r="AA156" s="252">
        <f>VLOOKUP(Tableau1315[[#This Row],[PARCS]],Tableau17[],36,FALSE)</f>
        <v>-5047.0999999999995</v>
      </c>
      <c r="AB156" s="252">
        <f>VLOOKUP(Tableau1315[[#This Row],[PARCS]],Tableau17[],37,FALSE)</f>
        <v>0</v>
      </c>
      <c r="AC156" s="468">
        <f>SUM(Tableau1315[[#This Row],[CONTRAT O&amp;M FORFAIT GROUPE22]:[CHARGES exceptionnels (BONUS, sinistres)77]])</f>
        <v>-250598.09409272412</v>
      </c>
      <c r="AD156" s="252">
        <f>Tableau1315[[#This Row],[TOTAL LE3]]-Tableau1315[[#This Row],[TOTAL BN-1]]</f>
        <v>-27267.935426275217</v>
      </c>
      <c r="AE156" s="351">
        <f>IFERROR((Tableau1315[[#This Row],[TOTAL LE3]]-Tableau1315[[#This Row],[TOTAL BN-1]])/Tableau1315[[#This Row],[TOTAL BN-1]],"")</f>
        <v>0.11505961641389988</v>
      </c>
      <c r="AF156" s="252">
        <f>Tableau1315[[#This Row],[TOTAL BN+1]]-Tableau1315[[#This Row],[TOTAL LE3]]</f>
        <v>13659.467026246275</v>
      </c>
      <c r="AG156" s="351">
        <f>IFERROR((Tableau1315[[#This Row],[TOTAL BN+1]]-Tableau1315[[#This Row],[TOTAL LE3]])/Tableau1315[[#This Row],[TOTAL LE3]],"")</f>
        <v>-5.1689976129374399E-2</v>
      </c>
      <c r="AH156" s="6" t="s">
        <v>766</v>
      </c>
    </row>
    <row r="157" spans="1:34">
      <c r="A157" s="463" t="s">
        <v>339</v>
      </c>
      <c r="B157" s="464" t="str">
        <f>VLOOKUP(Tableau1315[[#This Row],[PARCS]],Tableau106[],3,FALSE)</f>
        <v>F033</v>
      </c>
      <c r="C157" s="464" t="str">
        <f>VLOOKUP(Tableau1315[[#This Row],[PARCS]],Tableau106[],2,FALSE)</f>
        <v>FR56E10E</v>
      </c>
      <c r="D157" s="465" t="str">
        <f>VLOOKUP(Tableau1315[[#This Row],[PARCS]],Tableau106[],8,FALSE)</f>
        <v>EOLIEN</v>
      </c>
      <c r="E157" s="465" t="str">
        <f>VLOOKUP(A157,Tableau106[[#Headers],[#Data]],6,FALSE)</f>
        <v>N</v>
      </c>
      <c r="F157" s="466" t="str">
        <f>VLOOKUP(Tableau1315[[#This Row],[PARCS]],Tableau106[],5,FALSE)</f>
        <v>SAMI</v>
      </c>
      <c r="G157" s="464" t="str">
        <f>VLOOKUP(Tableau1315[[#This Row],[PARCS]],Tableau106[],7,FALSE)</f>
        <v>FUTUREN</v>
      </c>
      <c r="H157" s="464" t="str">
        <f>VLOOKUP(Tableau1315[[#This Row],[PARCS]],Tableau106[],9,FALSE)</f>
        <v>AnN</v>
      </c>
      <c r="I157" s="350">
        <f>IFERROR(VLOOKUP(Tableau1315[[#This Row],[PARCS]],Tableau15[],10,FALSE),"")</f>
        <v>-150414.29999999999</v>
      </c>
      <c r="J157" s="20">
        <f>IFERROR(VLOOKUP(Tableau1315[[#This Row],[PARCS]],Tableau15[],18,FALSE),"")</f>
        <v>-12150</v>
      </c>
      <c r="K157" s="252">
        <f>IFERROR(VLOOKUP(Tableau1315[[#This Row],[PARCS]],Tableau15[],19,FALSE),"")</f>
        <v>0</v>
      </c>
      <c r="L157" s="20">
        <f>IFERROR(VLOOKUP(Tableau1315[[#This Row],[PARCS]],Tableau15[],28,FALSE),"")</f>
        <v>-4500</v>
      </c>
      <c r="M157" s="252">
        <f>IFERROR(VLOOKUP(Tableau1315[[#This Row],[PARCS]],Tableau15[],36,FALSE),"")</f>
        <v>0</v>
      </c>
      <c r="N157" s="252">
        <f>IFERROR(VLOOKUP(Tableau1315[[#This Row],[PARCS]],Tableau15[],37,FALSE),"")</f>
        <v>0</v>
      </c>
      <c r="O157" s="467">
        <f>SUM(Tableau1315[[#This Row],[CONTRAT O&amp;M FORFAIT GROUPE]:[CHARGES exceptionnels (BONUS, sinistres)]])</f>
        <v>-167064.29999999999</v>
      </c>
      <c r="P157" s="354">
        <f>VLOOKUP(Tableau1315[[#This Row],[PARCS]],Tableau16[],10,FALSE)</f>
        <v>-257253.38550500001</v>
      </c>
      <c r="Q157" s="252">
        <f>VLOOKUP(Tableau1315[[#This Row],[PARCS]],Tableau16[],18,FALSE)</f>
        <v>-12160</v>
      </c>
      <c r="R157" s="252">
        <f>VLOOKUP(Tableau1315[[#This Row],[PARCS]],Tableau16[],19,FALSE)</f>
        <v>0</v>
      </c>
      <c r="S157" s="252">
        <f>VLOOKUP(Tableau1315[[#This Row],[PARCS]],Tableau16[],28,FALSE)</f>
        <v>-4250</v>
      </c>
      <c r="T157" s="252">
        <f>VLOOKUP(Tableau1315[[#This Row],[PARCS]],Tableau16[],36,FALSE)</f>
        <v>0</v>
      </c>
      <c r="U157" s="252">
        <f>VLOOKUP(Tableau1315[[#This Row],[PARCS]],Tableau16[],37,FALSE)</f>
        <v>0</v>
      </c>
      <c r="V157" s="467">
        <f>SUM(Tableau1315[[#This Row],[CONTRAT O&amp;M FORFAIT GROUPE2]:[CHARGES exceptionnels (BONUS, sinistres)7]])</f>
        <v>-273663.38550500001</v>
      </c>
      <c r="W157" s="354">
        <f>VLOOKUP(Tableau1315[[#This Row],[PARCS]],Tableau17[],10,FALSE)</f>
        <v>-263684.72014262498</v>
      </c>
      <c r="X157" s="252">
        <f>VLOOKUP(Tableau1315[[#This Row],[PARCS]],Tableau17[],18,FALSE)</f>
        <v>-10800</v>
      </c>
      <c r="Y157" s="252">
        <f>VLOOKUP(Tableau1315[[#This Row],[PARCS]],Tableau17[],19,FALSE)</f>
        <v>0</v>
      </c>
      <c r="Z157" s="252">
        <f>VLOOKUP(Tableau1315[[#This Row],[PARCS]],Tableau17[],28,FALSE)</f>
        <v>-2250</v>
      </c>
      <c r="AA157" s="252">
        <f>VLOOKUP(Tableau1315[[#This Row],[PARCS]],Tableau17[],36,FALSE)</f>
        <v>0</v>
      </c>
      <c r="AB157" s="252">
        <f>VLOOKUP(Tableau1315[[#This Row],[PARCS]],Tableau17[],37,FALSE)</f>
        <v>0</v>
      </c>
      <c r="AC157" s="468">
        <f>SUM(Tableau1315[[#This Row],[CONTRAT O&amp;M FORFAIT GROUPE22]:[CHARGES exceptionnels (BONUS, sinistres)77]])</f>
        <v>-276734.72014262498</v>
      </c>
      <c r="AD157" s="252">
        <f>Tableau1315[[#This Row],[TOTAL LE3]]-Tableau1315[[#This Row],[TOTAL BN-1]]</f>
        <v>-106599.08550500002</v>
      </c>
      <c r="AE157" s="351">
        <f>IFERROR((Tableau1315[[#This Row],[TOTAL LE3]]-Tableau1315[[#This Row],[TOTAL BN-1]])/Tableau1315[[#This Row],[TOTAL BN-1]],"")</f>
        <v>0.63807220037434709</v>
      </c>
      <c r="AF157" s="252">
        <f>Tableau1315[[#This Row],[TOTAL BN+1]]-Tableau1315[[#This Row],[TOTAL LE3]]</f>
        <v>-3071.3346376249683</v>
      </c>
      <c r="AG157" s="351">
        <f>IFERROR((Tableau1315[[#This Row],[TOTAL BN+1]]-Tableau1315[[#This Row],[TOTAL LE3]])/Tableau1315[[#This Row],[TOTAL LE3]],"")</f>
        <v>1.1223038229821406E-2</v>
      </c>
    </row>
    <row r="158" spans="1:34" hidden="1">
      <c r="A158" s="463" t="s">
        <v>342</v>
      </c>
      <c r="B158" s="464" t="str">
        <f>VLOOKUP(Tableau1315[[#This Row],[PARCS]],Tableau106[],3,FALSE)</f>
        <v>A540</v>
      </c>
      <c r="C158" s="464" t="str">
        <f>VLOOKUP(Tableau1315[[#This Row],[PARCS]],Tableau106[],2,FALSE)</f>
        <v>FR02E05E</v>
      </c>
      <c r="D158" s="465" t="str">
        <f>VLOOKUP(Tableau1315[[#This Row],[PARCS]],Tableau106[],8,FALSE)</f>
        <v>EOLIEN</v>
      </c>
      <c r="E158" s="465" t="str">
        <f>VLOOKUP(A158,Tableau106[[#Headers],[#Data]],6,FALSE)</f>
        <v>N</v>
      </c>
      <c r="F158" s="466" t="str">
        <f>VLOOKUP(Tableau1315[[#This Row],[PARCS]],Tableau106[],5,FALSE)</f>
        <v>SERY</v>
      </c>
      <c r="G158" s="464" t="str">
        <f>VLOOKUP(Tableau1315[[#This Row],[PARCS]],Tableau106[],7,FALSE)</f>
        <v>EGM</v>
      </c>
      <c r="H158" s="464" t="str">
        <f>VLOOKUP(Tableau1315[[#This Row],[PARCS]],Tableau106[],9,FALSE)</f>
        <v>NoS</v>
      </c>
      <c r="I158" s="350">
        <f>IFERROR(VLOOKUP(Tableau1315[[#This Row],[PARCS]],Tableau15[],10,FALSE),"")</f>
        <v>-205342.87687010149</v>
      </c>
      <c r="J158" s="20">
        <f>IFERROR(VLOOKUP(Tableau1315[[#This Row],[PARCS]],Tableau15[],18,FALSE),"")</f>
        <v>-40255.026455026455</v>
      </c>
      <c r="K158" s="252">
        <f>IFERROR(VLOOKUP(Tableau1315[[#This Row],[PARCS]],Tableau15[],19,FALSE),"")</f>
        <v>0</v>
      </c>
      <c r="L158" s="20">
        <f>IFERROR(VLOOKUP(Tableau1315[[#This Row],[PARCS]],Tableau15[],28,FALSE),"")</f>
        <v>-9000</v>
      </c>
      <c r="M158" s="252">
        <f>IFERROR(VLOOKUP(Tableau1315[[#This Row],[PARCS]],Tableau15[],36,FALSE),"")</f>
        <v>0</v>
      </c>
      <c r="N158" s="252">
        <f>IFERROR(VLOOKUP(Tableau1315[[#This Row],[PARCS]],Tableau15[],37,FALSE),"")</f>
        <v>0</v>
      </c>
      <c r="O158" s="467">
        <f>SUM(Tableau1315[[#This Row],[CONTRAT O&amp;M FORFAIT GROUPE]:[CHARGES exceptionnels (BONUS, sinistres)]])</f>
        <v>-254597.90332512796</v>
      </c>
      <c r="P158" s="354">
        <f>VLOOKUP(Tableau1315[[#This Row],[PARCS]],Tableau16[],10,FALSE)</f>
        <v>-206499</v>
      </c>
      <c r="Q158" s="252">
        <f>VLOOKUP(Tableau1315[[#This Row],[PARCS]],Tableau16[],18,FALSE)</f>
        <v>-190800</v>
      </c>
      <c r="R158" s="252">
        <f>VLOOKUP(Tableau1315[[#This Row],[PARCS]],Tableau16[],19,FALSE)</f>
        <v>0</v>
      </c>
      <c r="S158" s="252">
        <f>VLOOKUP(Tableau1315[[#This Row],[PARCS]],Tableau16[],28,FALSE)</f>
        <v>-10240</v>
      </c>
      <c r="T158" s="252">
        <f>VLOOKUP(Tableau1315[[#This Row],[PARCS]],Tableau16[],36,FALSE)</f>
        <v>0</v>
      </c>
      <c r="U158" s="252">
        <f>VLOOKUP(Tableau1315[[#This Row],[PARCS]],Tableau16[],37,FALSE)</f>
        <v>0</v>
      </c>
      <c r="V158" s="467">
        <f>SUM(Tableau1315[[#This Row],[CONTRAT O&amp;M FORFAIT GROUPE2]:[CHARGES exceptionnels (BONUS, sinistres)7]])</f>
        <v>-407539</v>
      </c>
      <c r="W158" s="354">
        <f>VLOOKUP(Tableau1315[[#This Row],[PARCS]],Tableau17[],10,FALSE)</f>
        <v>-211661.47499999998</v>
      </c>
      <c r="X158" s="252">
        <f>VLOOKUP(Tableau1315[[#This Row],[PARCS]],Tableau17[],18,FALSE)</f>
        <v>-127988.7</v>
      </c>
      <c r="Y158" s="252">
        <f>VLOOKUP(Tableau1315[[#This Row],[PARCS]],Tableau17[],19,FALSE)</f>
        <v>0</v>
      </c>
      <c r="Z158" s="252">
        <f>VLOOKUP(Tableau1315[[#This Row],[PARCS]],Tableau17[],28,FALSE)</f>
        <v>-8862</v>
      </c>
      <c r="AA158" s="252">
        <f>VLOOKUP(Tableau1315[[#This Row],[PARCS]],Tableau17[],36,FALSE)</f>
        <v>0</v>
      </c>
      <c r="AB158" s="252">
        <f>VLOOKUP(Tableau1315[[#This Row],[PARCS]],Tableau17[],37,FALSE)</f>
        <v>0</v>
      </c>
      <c r="AC158" s="468">
        <f>SUM(Tableau1315[[#This Row],[CONTRAT O&amp;M FORFAIT GROUPE22]:[CHARGES exceptionnels (BONUS, sinistres)77]])</f>
        <v>-348512.17499999999</v>
      </c>
      <c r="AD158" s="252">
        <f>Tableau1315[[#This Row],[TOTAL LE3]]-Tableau1315[[#This Row],[TOTAL BN-1]]</f>
        <v>-152941.09667487204</v>
      </c>
      <c r="AE158" s="351">
        <f>IFERROR((Tableau1315[[#This Row],[TOTAL LE3]]-Tableau1315[[#This Row],[TOTAL BN-1]])/Tableau1315[[#This Row],[TOTAL BN-1]],"")</f>
        <v>0.60071624580333793</v>
      </c>
      <c r="AF158" s="252">
        <f>Tableau1315[[#This Row],[TOTAL BN+1]]-Tableau1315[[#This Row],[TOTAL LE3]]</f>
        <v>59026.825000000012</v>
      </c>
      <c r="AG158" s="351">
        <f>IFERROR((Tableau1315[[#This Row],[TOTAL BN+1]]-Tableau1315[[#This Row],[TOTAL LE3]])/Tableau1315[[#This Row],[TOTAL LE3]],"")</f>
        <v>-0.1448372425706497</v>
      </c>
    </row>
    <row r="159" spans="1:34" hidden="1">
      <c r="A159" s="463" t="s">
        <v>548</v>
      </c>
      <c r="B159" s="464" t="str">
        <f>VLOOKUP(Tableau1315[[#This Row],[PARCS]],Tableau106[],3,FALSE)</f>
        <v>A119</v>
      </c>
      <c r="C159" s="464" t="str">
        <f>VLOOKUP(Tableau1315[[#This Row],[PARCS]],Tableau106[],2,FALSE)</f>
        <v>FR11S97E</v>
      </c>
      <c r="D159" s="465" t="str">
        <f>VLOOKUP(Tableau1315[[#This Row],[PARCS]],Tableau106[],8,FALSE)</f>
        <v>SOLAIRE</v>
      </c>
      <c r="E159" s="465" t="str">
        <f>VLOOKUP(A159,Tableau106[[#Headers],[#Data]],6,FALSE)</f>
        <v>S</v>
      </c>
      <c r="F159" s="466" t="str">
        <f>VLOOKUP(Tableau1315[[#This Row],[PARCS]],Tableau106[],5,FALSE)</f>
        <v>NARB</v>
      </c>
      <c r="G159" s="464" t="str">
        <f>VLOOKUP(Tableau1315[[#This Row],[PARCS]],Tableau106[],7,FALSE)</f>
        <v>GROUPE</v>
      </c>
      <c r="H159" s="464" t="str">
        <f>VLOOKUP(Tableau1315[[#This Row],[PARCS]],Tableau106[],9,FALSE)</f>
        <v>BaA</v>
      </c>
      <c r="I159" s="350">
        <f>IFERROR(VLOOKUP(Tableau1315[[#This Row],[PARCS]],Tableau15[],10,FALSE),"")</f>
        <v>-327031.02269756218</v>
      </c>
      <c r="J159" s="20">
        <f>IFERROR(VLOOKUP(Tableau1315[[#This Row],[PARCS]],Tableau15[],18,FALSE),"")</f>
        <v>-7000</v>
      </c>
      <c r="K159" s="252">
        <f>IFERROR(VLOOKUP(Tableau1315[[#This Row],[PARCS]],Tableau15[],19,FALSE),"")</f>
        <v>0</v>
      </c>
      <c r="L159" s="20">
        <f>IFERROR(VLOOKUP(Tableau1315[[#This Row],[PARCS]],Tableau15[],28,FALSE),"")</f>
        <v>-23500</v>
      </c>
      <c r="M159" s="252">
        <f>IFERROR(VLOOKUP(Tableau1315[[#This Row],[PARCS]],Tableau15[],36,FALSE),"")</f>
        <v>0</v>
      </c>
      <c r="N159" s="252">
        <f>IFERROR(VLOOKUP(Tableau1315[[#This Row],[PARCS]],Tableau15[],37,FALSE),"")</f>
        <v>-9500</v>
      </c>
      <c r="O159" s="467">
        <f>SUM(Tableau1315[[#This Row],[CONTRAT O&amp;M FORFAIT GROUPE]:[CHARGES exceptionnels (BONUS, sinistres)]])</f>
        <v>-367031.02269756218</v>
      </c>
      <c r="P159" s="354">
        <f>VLOOKUP(Tableau1315[[#This Row],[PARCS]],Tableau16[],10,FALSE)</f>
        <v>-328872</v>
      </c>
      <c r="Q159" s="252">
        <f>VLOOKUP(Tableau1315[[#This Row],[PARCS]],Tableau16[],18,FALSE)</f>
        <v>-13370.000000000002</v>
      </c>
      <c r="R159" s="252">
        <f>VLOOKUP(Tableau1315[[#This Row],[PARCS]],Tableau16[],19,FALSE)</f>
        <v>0</v>
      </c>
      <c r="S159" s="252">
        <f>VLOOKUP(Tableau1315[[#This Row],[PARCS]],Tableau16[],28,FALSE)</f>
        <v>-13650</v>
      </c>
      <c r="T159" s="252">
        <f>VLOOKUP(Tableau1315[[#This Row],[PARCS]],Tableau16[],36,FALSE)</f>
        <v>0</v>
      </c>
      <c r="U159" s="252">
        <f>VLOOKUP(Tableau1315[[#This Row],[PARCS]],Tableau16[],37,FALSE)</f>
        <v>0</v>
      </c>
      <c r="V159" s="467">
        <f>SUM(Tableau1315[[#This Row],[CONTRAT O&amp;M FORFAIT GROUPE2]:[CHARGES exceptionnels (BONUS, sinistres)7]])</f>
        <v>-355892</v>
      </c>
      <c r="W159" s="354">
        <f>VLOOKUP(Tableau1315[[#This Row],[PARCS]],Tableau17[],10,FALSE)</f>
        <v>-337093.8</v>
      </c>
      <c r="X159" s="252">
        <f>VLOOKUP(Tableau1315[[#This Row],[PARCS]],Tableau17[],18,FALSE)</f>
        <v>-13670</v>
      </c>
      <c r="Y159" s="252">
        <f>VLOOKUP(Tableau1315[[#This Row],[PARCS]],Tableau17[],19,FALSE)</f>
        <v>0</v>
      </c>
      <c r="Z159" s="252">
        <f>VLOOKUP(Tableau1315[[#This Row],[PARCS]],Tableau17[],28,FALSE)</f>
        <v>-1750</v>
      </c>
      <c r="AA159" s="252">
        <f>VLOOKUP(Tableau1315[[#This Row],[PARCS]],Tableau17[],36,FALSE)</f>
        <v>0</v>
      </c>
      <c r="AB159" s="252">
        <f>VLOOKUP(Tableau1315[[#This Row],[PARCS]],Tableau17[],37,FALSE)</f>
        <v>0</v>
      </c>
      <c r="AC159" s="468">
        <f>SUM(Tableau1315[[#This Row],[CONTRAT O&amp;M FORFAIT GROUPE22]:[CHARGES exceptionnels (BONUS, sinistres)77]])</f>
        <v>-352513.8</v>
      </c>
      <c r="AD159" s="252">
        <f>Tableau1315[[#This Row],[TOTAL LE3]]-Tableau1315[[#This Row],[TOTAL BN-1]]</f>
        <v>11139.022697562177</v>
      </c>
      <c r="AE159" s="351">
        <f>IFERROR((Tableau1315[[#This Row],[TOTAL LE3]]-Tableau1315[[#This Row],[TOTAL BN-1]])/Tableau1315[[#This Row],[TOTAL BN-1]],"")</f>
        <v>-3.0348995067757151E-2</v>
      </c>
      <c r="AF159" s="252">
        <f>Tableau1315[[#This Row],[TOTAL BN+1]]-Tableau1315[[#This Row],[TOTAL LE3]]</f>
        <v>3378.2000000000116</v>
      </c>
      <c r="AG159" s="351">
        <f>IFERROR((Tableau1315[[#This Row],[TOTAL BN+1]]-Tableau1315[[#This Row],[TOTAL LE3]])/Tableau1315[[#This Row],[TOTAL LE3]],"")</f>
        <v>-9.4922055005451419E-3</v>
      </c>
    </row>
    <row r="160" spans="1:34">
      <c r="A160" s="463" t="s">
        <v>195</v>
      </c>
      <c r="B160" s="464" t="str">
        <f>VLOOKUP(Tableau1315[[#This Row],[PARCS]],Tableau106[],3,FALSE)</f>
        <v>F034</v>
      </c>
      <c r="C160" s="464" t="str">
        <f>VLOOKUP(Tableau1315[[#This Row],[PARCS]],Tableau106[],2,FALSE)</f>
        <v>FR12E94E</v>
      </c>
      <c r="D160" s="465" t="str">
        <f>VLOOKUP(Tableau1315[[#This Row],[PARCS]],Tableau106[],8,FALSE)</f>
        <v>EOLIEN</v>
      </c>
      <c r="E160" s="465" t="str">
        <f>VLOOKUP(A160,Tableau106[[#Headers],[#Data]],6,FALSE)</f>
        <v>S</v>
      </c>
      <c r="F160" s="466" t="str">
        <f>VLOOKUP(Tableau1315[[#This Row],[PARCS]],Tableau106[],5,FALSE)</f>
        <v>PLOS</v>
      </c>
      <c r="G160" s="464" t="str">
        <f>VLOOKUP(Tableau1315[[#This Row],[PARCS]],Tableau106[],7,FALSE)</f>
        <v>FUTUREN</v>
      </c>
      <c r="H160" s="464" t="str">
        <f>VLOOKUP(Tableau1315[[#This Row],[PARCS]],Tableau106[],9,FALSE)</f>
        <v>OdP</v>
      </c>
      <c r="I160" s="350">
        <f>IFERROR(VLOOKUP(Tableau1315[[#This Row],[PARCS]],Tableau15[],10,FALSE),"")</f>
        <v>-7401.8267716535474</v>
      </c>
      <c r="J160" s="20">
        <f>IFERROR(VLOOKUP(Tableau1315[[#This Row],[PARCS]],Tableau15[],18,FALSE),"")</f>
        <v>-13500</v>
      </c>
      <c r="K160" s="252">
        <f>IFERROR(VLOOKUP(Tableau1315[[#This Row],[PARCS]],Tableau15[],19,FALSE),"")</f>
        <v>-235181.1</v>
      </c>
      <c r="L160" s="20">
        <f>IFERROR(VLOOKUP(Tableau1315[[#This Row],[PARCS]],Tableau15[],28,FALSE),"")</f>
        <v>-13221.5</v>
      </c>
      <c r="M160" s="252">
        <f>IFERROR(VLOOKUP(Tableau1315[[#This Row],[PARCS]],Tableau15[],36,FALSE),"")</f>
        <v>-110000</v>
      </c>
      <c r="N160" s="252">
        <f>IFERROR(VLOOKUP(Tableau1315[[#This Row],[PARCS]],Tableau15[],37,FALSE),"")</f>
        <v>0</v>
      </c>
      <c r="O160" s="467">
        <f>SUM(Tableau1315[[#This Row],[CONTRAT O&amp;M FORFAIT GROUPE]:[CHARGES exceptionnels (BONUS, sinistres)]])</f>
        <v>-379304.42677165358</v>
      </c>
      <c r="P160" s="354">
        <f>VLOOKUP(Tableau1315[[#This Row],[PARCS]],Tableau16[],10,FALSE)</f>
        <v>-6213</v>
      </c>
      <c r="Q160" s="350">
        <f>VLOOKUP(Tableau1315[[#This Row],[PARCS]],Tableau16[],18,FALSE)</f>
        <v>-11530</v>
      </c>
      <c r="R160" s="350">
        <f>VLOOKUP(Tableau1315[[#This Row],[PARCS]],Tableau16[],19,FALSE)</f>
        <v>-230094</v>
      </c>
      <c r="S160" s="20">
        <f>VLOOKUP(Tableau1315[[#This Row],[PARCS]],Tableau16[],28,FALSE)</f>
        <v>-16471.5</v>
      </c>
      <c r="T160" s="20">
        <f>VLOOKUP(Tableau1315[[#This Row],[PARCS]],Tableau16[],36,FALSE)</f>
        <v>-64459.72</v>
      </c>
      <c r="U160" s="20">
        <f>VLOOKUP(Tableau1315[[#This Row],[PARCS]],Tableau16[],37,FALSE)</f>
        <v>0</v>
      </c>
      <c r="V160" s="467">
        <f>SUM(Tableau1315[[#This Row],[CONTRAT O&amp;M FORFAIT GROUPE2]:[CHARGES exceptionnels (BONUS, sinistres)7]])</f>
        <v>-328768.21999999997</v>
      </c>
      <c r="W160" s="354">
        <f>VLOOKUP(Tableau1315[[#This Row],[PARCS]],Tableau17[],10,FALSE)</f>
        <v>-6368.3249999999998</v>
      </c>
      <c r="X160" s="350">
        <f>VLOOKUP(Tableau1315[[#This Row],[PARCS]],Tableau17[],18,FALSE)</f>
        <v>-4750</v>
      </c>
      <c r="Y160" s="350">
        <f>VLOOKUP(Tableau1315[[#This Row],[PARCS]],Tableau17[],19,FALSE)</f>
        <v>-235846.34999999998</v>
      </c>
      <c r="Z160" s="350">
        <f>VLOOKUP(Tableau1315[[#This Row],[PARCS]],Tableau17[],28,FALSE)</f>
        <v>-5346.5</v>
      </c>
      <c r="AA160" s="350">
        <f>VLOOKUP(Tableau1315[[#This Row],[PARCS]],Tableau17[],36,FALSE)</f>
        <v>-115047.1</v>
      </c>
      <c r="AB160" s="252">
        <f>VLOOKUP(Tableau1315[[#This Row],[PARCS]],Tableau17[],37,FALSE)</f>
        <v>0</v>
      </c>
      <c r="AC160" s="468">
        <f>SUM(Tableau1315[[#This Row],[CONTRAT O&amp;M FORFAIT GROUPE22]:[CHARGES exceptionnels (BONUS, sinistres)77]])</f>
        <v>-367358.27500000002</v>
      </c>
      <c r="AD160" s="252">
        <f>Tableau1315[[#This Row],[TOTAL LE3]]-Tableau1315[[#This Row],[TOTAL BN-1]]</f>
        <v>50536.206771653611</v>
      </c>
      <c r="AE160" s="351">
        <f>IFERROR((Tableau1315[[#This Row],[TOTAL LE3]]-Tableau1315[[#This Row],[TOTAL BN-1]])/Tableau1315[[#This Row],[TOTAL BN-1]],"")</f>
        <v>-0.13323389658744239</v>
      </c>
      <c r="AF160" s="252">
        <f>Tableau1315[[#This Row],[TOTAL BN+1]]-Tableau1315[[#This Row],[TOTAL LE3]]</f>
        <v>-38590.055000000051</v>
      </c>
      <c r="AG160" s="351">
        <f>IFERROR((Tableau1315[[#This Row],[TOTAL BN+1]]-Tableau1315[[#This Row],[TOTAL LE3]])/Tableau1315[[#This Row],[TOTAL LE3]],"")</f>
        <v>0.11737769240591459</v>
      </c>
      <c r="AH160" s="6" t="s">
        <v>490</v>
      </c>
    </row>
    <row r="161" spans="1:34" hidden="1">
      <c r="A161" s="463" t="s">
        <v>500</v>
      </c>
      <c r="B161" s="464" t="str">
        <f>VLOOKUP(Tableau1315[[#This Row],[PARCS]],Tableau106[],3,FALSE)</f>
        <v>A191</v>
      </c>
      <c r="C161" s="464" t="str">
        <f>VLOOKUP(Tableau1315[[#This Row],[PARCS]],Tableau106[],2,FALSE)</f>
        <v>FR40S04E</v>
      </c>
      <c r="D161" s="465" t="str">
        <f>VLOOKUP(Tableau1315[[#This Row],[PARCS]],Tableau106[],8,FALSE)</f>
        <v>SOLAIRE</v>
      </c>
      <c r="E161" s="465" t="str">
        <f>VLOOKUP(A161,Tableau106[[#Headers],[#Data]],6,FALSE)</f>
        <v>S</v>
      </c>
      <c r="F161" s="466" t="str">
        <f>VLOOKUP(Tableau1315[[#This Row],[PARCS]],Tableau106[],5,FALSE)</f>
        <v>GAB1</v>
      </c>
      <c r="G161" s="464" t="str">
        <f>VLOOKUP(Tableau1315[[#This Row],[PARCS]],Tableau106[],7,FALSE)</f>
        <v>GROUPE</v>
      </c>
      <c r="H161" s="464" t="str">
        <f>VLOOKUP(Tableau1315[[#This Row],[PARCS]],Tableau106[],9,FALSE)</f>
        <v>BaA</v>
      </c>
      <c r="I161" s="350">
        <f>IFERROR(VLOOKUP(Tableau1315[[#This Row],[PARCS]],Tableau15[],10,FALSE),"")</f>
        <v>-295722.87592771859</v>
      </c>
      <c r="J161" s="20">
        <f>IFERROR(VLOOKUP(Tableau1315[[#This Row],[PARCS]],Tableau15[],18,FALSE),"")</f>
        <v>-13950</v>
      </c>
      <c r="K161" s="252">
        <f>IFERROR(VLOOKUP(Tableau1315[[#This Row],[PARCS]],Tableau15[],19,FALSE),"")</f>
        <v>0</v>
      </c>
      <c r="L161" s="20">
        <f>IFERROR(VLOOKUP(Tableau1315[[#This Row],[PARCS]],Tableau15[],28,FALSE),"")</f>
        <v>-3000</v>
      </c>
      <c r="M161" s="252">
        <f>IFERROR(VLOOKUP(Tableau1315[[#This Row],[PARCS]],Tableau15[],36,FALSE),"")</f>
        <v>0</v>
      </c>
      <c r="N161" s="252">
        <f>IFERROR(VLOOKUP(Tableau1315[[#This Row],[PARCS]],Tableau15[],37,FALSE),"")</f>
        <v>-10000</v>
      </c>
      <c r="O161" s="467">
        <f>SUM(Tableau1315[[#This Row],[CONTRAT O&amp;M FORFAIT GROUPE]:[CHARGES exceptionnels (BONUS, sinistres)]])</f>
        <v>-322672.87592771859</v>
      </c>
      <c r="P161" s="354">
        <f>VLOOKUP(Tableau1315[[#This Row],[PARCS]],Tableau16[],10,FALSE)</f>
        <v>-297387</v>
      </c>
      <c r="Q161" s="350">
        <f>VLOOKUP(Tableau1315[[#This Row],[PARCS]],Tableau16[],18,FALSE)</f>
        <v>-9045</v>
      </c>
      <c r="R161" s="350">
        <f>VLOOKUP(Tableau1315[[#This Row],[PARCS]],Tableau16[],19,FALSE)</f>
        <v>0</v>
      </c>
      <c r="S161" s="20">
        <f>VLOOKUP(Tableau1315[[#This Row],[PARCS]],Tableau16[],28,FALSE)</f>
        <v>-2975</v>
      </c>
      <c r="T161" s="20">
        <f>VLOOKUP(Tableau1315[[#This Row],[PARCS]],Tableau16[],36,FALSE)</f>
        <v>0</v>
      </c>
      <c r="U161" s="20">
        <f>VLOOKUP(Tableau1315[[#This Row],[PARCS]],Tableau16[],37,FALSE)</f>
        <v>0</v>
      </c>
      <c r="V161" s="467">
        <f>SUM(Tableau1315[[#This Row],[CONTRAT O&amp;M FORFAIT GROUPE2]:[CHARGES exceptionnels (BONUS, sinistres)7]])</f>
        <v>-309407</v>
      </c>
      <c r="W161" s="354">
        <f>VLOOKUP(Tableau1315[[#This Row],[PARCS]],Tableau17[],10,FALSE)</f>
        <v>-304821.67499999999</v>
      </c>
      <c r="X161" s="350">
        <f>VLOOKUP(Tableau1315[[#This Row],[PARCS]],Tableau17[],18,FALSE)</f>
        <v>-59515</v>
      </c>
      <c r="Y161" s="350">
        <f>VLOOKUP(Tableau1315[[#This Row],[PARCS]],Tableau17[],19,FALSE)</f>
        <v>0</v>
      </c>
      <c r="Z161" s="350">
        <f>VLOOKUP(Tableau1315[[#This Row],[PARCS]],Tableau17[],28,FALSE)</f>
        <v>-2975</v>
      </c>
      <c r="AA161" s="350">
        <f>VLOOKUP(Tableau1315[[#This Row],[PARCS]],Tableau17[],36,FALSE)</f>
        <v>-6000</v>
      </c>
      <c r="AB161" s="252">
        <f>VLOOKUP(Tableau1315[[#This Row],[PARCS]],Tableau17[],37,FALSE)</f>
        <v>0</v>
      </c>
      <c r="AC161" s="468">
        <f>SUM(Tableau1315[[#This Row],[CONTRAT O&amp;M FORFAIT GROUPE22]:[CHARGES exceptionnels (BONUS, sinistres)77]])</f>
        <v>-373311.67499999999</v>
      </c>
      <c r="AD161" s="252">
        <f>Tableau1315[[#This Row],[TOTAL LE3]]-Tableau1315[[#This Row],[TOTAL BN-1]]</f>
        <v>13265.875927718589</v>
      </c>
      <c r="AE161" s="351">
        <f>IFERROR((Tableau1315[[#This Row],[TOTAL LE3]]-Tableau1315[[#This Row],[TOTAL BN-1]])/Tableau1315[[#This Row],[TOTAL BN-1]],"")</f>
        <v>-4.1112460691273771E-2</v>
      </c>
      <c r="AF161" s="252">
        <f>Tableau1315[[#This Row],[TOTAL BN+1]]-Tableau1315[[#This Row],[TOTAL LE3]]</f>
        <v>-63904.674999999988</v>
      </c>
      <c r="AG161" s="351">
        <f>IFERROR((Tableau1315[[#This Row],[TOTAL BN+1]]-Tableau1315[[#This Row],[TOTAL LE3]])/Tableau1315[[#This Row],[TOTAL LE3]],"")</f>
        <v>0.20653920240977092</v>
      </c>
    </row>
    <row r="162" spans="1:34" hidden="1">
      <c r="A162" s="463" t="s">
        <v>503</v>
      </c>
      <c r="B162" s="464" t="str">
        <f>VLOOKUP(Tableau1315[[#This Row],[PARCS]],Tableau106[],3,FALSE)</f>
        <v>A139</v>
      </c>
      <c r="C162" s="464" t="str">
        <f>VLOOKUP(Tableau1315[[#This Row],[PARCS]],Tableau106[],2,FALSE)</f>
        <v>FR40S99E</v>
      </c>
      <c r="D162" s="465" t="str">
        <f>VLOOKUP(Tableau1315[[#This Row],[PARCS]],Tableau106[],8,FALSE)</f>
        <v>SOLAIRE</v>
      </c>
      <c r="E162" s="465" t="str">
        <f>VLOOKUP(A162,Tableau106[[#Headers],[#Data]],6,FALSE)</f>
        <v>S</v>
      </c>
      <c r="F162" s="466" t="str">
        <f>VLOOKUP(Tableau1315[[#This Row],[PARCS]],Tableau106[],5,FALSE)</f>
        <v>GABT</v>
      </c>
      <c r="G162" s="464" t="str">
        <f>VLOOKUP(Tableau1315[[#This Row],[PARCS]],Tableau106[],7,FALSE)</f>
        <v>GROUPE</v>
      </c>
      <c r="H162" s="464" t="str">
        <f>VLOOKUP(Tableau1315[[#This Row],[PARCS]],Tableau106[],9,FALSE)</f>
        <v>BaA</v>
      </c>
      <c r="I162" s="350">
        <f>IFERROR(VLOOKUP(Tableau1315[[#This Row],[PARCS]],Tableau15[],10,FALSE),"")</f>
        <v>-53346.107991228084</v>
      </c>
      <c r="J162" s="20">
        <f>IFERROR(VLOOKUP(Tableau1315[[#This Row],[PARCS]],Tableau15[],18,FALSE),"")</f>
        <v>-78999</v>
      </c>
      <c r="K162" s="252">
        <f>IFERROR(VLOOKUP(Tableau1315[[#This Row],[PARCS]],Tableau15[],19,FALSE),"")</f>
        <v>0</v>
      </c>
      <c r="L162" s="20">
        <f>IFERROR(VLOOKUP(Tableau1315[[#This Row],[PARCS]],Tableau15[],28,FALSE),"")</f>
        <v>-1000</v>
      </c>
      <c r="M162" s="252">
        <f>IFERROR(VLOOKUP(Tableau1315[[#This Row],[PARCS]],Tableau15[],36,FALSE),"")</f>
        <v>0</v>
      </c>
      <c r="N162" s="252">
        <f>IFERROR(VLOOKUP(Tableau1315[[#This Row],[PARCS]],Tableau15[],37,FALSE),"")</f>
        <v>-5000</v>
      </c>
      <c r="O162" s="467">
        <f>SUM(Tableau1315[[#This Row],[CONTRAT O&amp;M FORFAIT GROUPE]:[CHARGES exceptionnels (BONUS, sinistres)]])</f>
        <v>-138345.10799122808</v>
      </c>
      <c r="P162" s="354">
        <f>VLOOKUP(Tableau1315[[#This Row],[PARCS]],Tableau16[],10,FALSE)</f>
        <v>-56903</v>
      </c>
      <c r="Q162" s="350">
        <f>VLOOKUP(Tableau1315[[#This Row],[PARCS]],Tableau16[],18,FALSE)</f>
        <v>-72059.5</v>
      </c>
      <c r="R162" s="350">
        <f>VLOOKUP(Tableau1315[[#This Row],[PARCS]],Tableau16[],19,FALSE)</f>
        <v>0</v>
      </c>
      <c r="S162" s="20">
        <f>VLOOKUP(Tableau1315[[#This Row],[PARCS]],Tableau16[],28,FALSE)</f>
        <v>-499.5</v>
      </c>
      <c r="T162" s="20">
        <f>VLOOKUP(Tableau1315[[#This Row],[PARCS]],Tableau16[],36,FALSE)</f>
        <v>0</v>
      </c>
      <c r="U162" s="20">
        <f>VLOOKUP(Tableau1315[[#This Row],[PARCS]],Tableau16[],37,FALSE)</f>
        <v>0</v>
      </c>
      <c r="V162" s="467">
        <f>SUM(Tableau1315[[#This Row],[CONTRAT O&amp;M FORFAIT GROUPE2]:[CHARGES exceptionnels (BONUS, sinistres)7]])</f>
        <v>-129462</v>
      </c>
      <c r="W162" s="354">
        <f>VLOOKUP(Tableau1315[[#This Row],[PARCS]],Tableau17[],10,FALSE)</f>
        <v>-58325.574999999997</v>
      </c>
      <c r="X162" s="350">
        <f>VLOOKUP(Tableau1315[[#This Row],[PARCS]],Tableau17[],18,FALSE)</f>
        <v>-84359.5</v>
      </c>
      <c r="Y162" s="350">
        <f>VLOOKUP(Tableau1315[[#This Row],[PARCS]],Tableau17[],19,FALSE)</f>
        <v>0</v>
      </c>
      <c r="Z162" s="350">
        <f>VLOOKUP(Tableau1315[[#This Row],[PARCS]],Tableau17[],28,FALSE)</f>
        <v>-499.5</v>
      </c>
      <c r="AA162" s="350">
        <f>VLOOKUP(Tableau1315[[#This Row],[PARCS]],Tableau17[],36,FALSE)</f>
        <v>0</v>
      </c>
      <c r="AB162" s="252">
        <f>VLOOKUP(Tableau1315[[#This Row],[PARCS]],Tableau17[],37,FALSE)</f>
        <v>0</v>
      </c>
      <c r="AC162" s="468">
        <f>SUM(Tableau1315[[#This Row],[CONTRAT O&amp;M FORFAIT GROUPE22]:[CHARGES exceptionnels (BONUS, sinistres)77]])</f>
        <v>-143184.57500000001</v>
      </c>
      <c r="AD162" s="252">
        <f>Tableau1315[[#This Row],[TOTAL LE3]]-Tableau1315[[#This Row],[TOTAL BN-1]]</f>
        <v>8883.1079912280838</v>
      </c>
      <c r="AE162" s="351">
        <f>IFERROR((Tableau1315[[#This Row],[TOTAL LE3]]-Tableau1315[[#This Row],[TOTAL BN-1]])/Tableau1315[[#This Row],[TOTAL BN-1]],"")</f>
        <v>-6.4209773082770136E-2</v>
      </c>
      <c r="AF162" s="252">
        <f>Tableau1315[[#This Row],[TOTAL BN+1]]-Tableau1315[[#This Row],[TOTAL LE3]]</f>
        <v>-13722.575000000012</v>
      </c>
      <c r="AG162" s="351">
        <f>IFERROR((Tableau1315[[#This Row],[TOTAL BN+1]]-Tableau1315[[#This Row],[TOTAL LE3]])/Tableau1315[[#This Row],[TOTAL LE3]],"")</f>
        <v>0.10599693346310123</v>
      </c>
      <c r="AH162" s="6" t="s">
        <v>767</v>
      </c>
    </row>
    <row r="163" spans="1:34" hidden="1">
      <c r="A163" s="463" t="s">
        <v>520</v>
      </c>
      <c r="B163" s="464" t="str">
        <f>VLOOKUP(Tableau1315[[#This Row],[PARCS]],Tableau106[],3,FALSE)</f>
        <v>A257</v>
      </c>
      <c r="C163" s="464" t="str">
        <f>VLOOKUP(Tableau1315[[#This Row],[PARCS]],Tableau106[],2,FALSE)</f>
        <v>FR01S06E</v>
      </c>
      <c r="D163" s="465" t="str">
        <f>VLOOKUP(Tableau1315[[#This Row],[PARCS]],Tableau106[],8,FALSE)</f>
        <v>SOLAIRE</v>
      </c>
      <c r="E163" s="465" t="str">
        <f>VLOOKUP(A163,Tableau106[[#Headers],[#Data]],6,FALSE)</f>
        <v>S</v>
      </c>
      <c r="F163" s="466" t="str">
        <f>VLOOKUP(Tableau1315[[#This Row],[PARCS]],Tableau106[],5,FALSE)</f>
        <v>LAGN</v>
      </c>
      <c r="G163" s="464" t="str">
        <f>VLOOKUP(Tableau1315[[#This Row],[PARCS]],Tableau106[],7,FALSE)</f>
        <v>GROUPE</v>
      </c>
      <c r="H163" s="464" t="str">
        <f>VLOOKUP(Tableau1315[[#This Row],[PARCS]],Tableau106[],9,FALSE)</f>
        <v>ArB</v>
      </c>
      <c r="I163" s="350">
        <f>IFERROR(VLOOKUP(Tableau1315[[#This Row],[PARCS]],Tableau15[],10,FALSE),"")</f>
        <v>0</v>
      </c>
      <c r="J163" s="20">
        <f>IFERROR(VLOOKUP(Tableau1315[[#This Row],[PARCS]],Tableau15[],18,FALSE),"")</f>
        <v>-3100</v>
      </c>
      <c r="K163" s="252">
        <f>IFERROR(VLOOKUP(Tableau1315[[#This Row],[PARCS]],Tableau15[],19,FALSE),"")</f>
        <v>-19240.053800000002</v>
      </c>
      <c r="L163" s="20">
        <f>IFERROR(VLOOKUP(Tableau1315[[#This Row],[PARCS]],Tableau15[],28,FALSE),"")</f>
        <v>-5455</v>
      </c>
      <c r="M163" s="252">
        <f>IFERROR(VLOOKUP(Tableau1315[[#This Row],[PARCS]],Tableau15[],36,FALSE),"")</f>
        <v>-7000</v>
      </c>
      <c r="N163" s="252">
        <f>IFERROR(VLOOKUP(Tableau1315[[#This Row],[PARCS]],Tableau15[],37,FALSE),"")</f>
        <v>0</v>
      </c>
      <c r="O163" s="467">
        <f>SUM(Tableau1315[[#This Row],[CONTRAT O&amp;M FORFAIT GROUPE]:[CHARGES exceptionnels (BONUS, sinistres)]])</f>
        <v>-34795.053800000002</v>
      </c>
      <c r="P163" s="354">
        <f>VLOOKUP(Tableau1315[[#This Row],[PARCS]],Tableau16[],10,FALSE)</f>
        <v>0</v>
      </c>
      <c r="Q163" s="350">
        <f>VLOOKUP(Tableau1315[[#This Row],[PARCS]],Tableau16[],18,FALSE)</f>
        <v>-725</v>
      </c>
      <c r="R163" s="350">
        <f>VLOOKUP(Tableau1315[[#This Row],[PARCS]],Tableau16[],19,FALSE)</f>
        <v>-19280</v>
      </c>
      <c r="S163" s="20">
        <f>VLOOKUP(Tableau1315[[#This Row],[PARCS]],Tableau16[],28,FALSE)</f>
        <v>-5030</v>
      </c>
      <c r="T163" s="20">
        <f>VLOOKUP(Tableau1315[[#This Row],[PARCS]],Tableau16[],36,FALSE)</f>
        <v>-6987.5</v>
      </c>
      <c r="U163" s="20">
        <f>VLOOKUP(Tableau1315[[#This Row],[PARCS]],Tableau16[],37,FALSE)</f>
        <v>0</v>
      </c>
      <c r="V163" s="467">
        <f>SUM(Tableau1315[[#This Row],[CONTRAT O&amp;M FORFAIT GROUPE2]:[CHARGES exceptionnels (BONUS, sinistres)7]])</f>
        <v>-32022.5</v>
      </c>
      <c r="W163" s="354">
        <f>VLOOKUP(Tableau1315[[#This Row],[PARCS]],Tableau17[],10,FALSE)</f>
        <v>0</v>
      </c>
      <c r="X163" s="350">
        <f>VLOOKUP(Tableau1315[[#This Row],[PARCS]],Tableau17[],18,FALSE)</f>
        <v>-725</v>
      </c>
      <c r="Y163" s="350">
        <f>VLOOKUP(Tableau1315[[#This Row],[PARCS]],Tableau17[],19,FALSE)</f>
        <v>-19762</v>
      </c>
      <c r="Z163" s="350">
        <f>VLOOKUP(Tableau1315[[#This Row],[PARCS]],Tableau17[],28,FALSE)</f>
        <v>-5932</v>
      </c>
      <c r="AA163" s="350">
        <f>VLOOKUP(Tableau1315[[#This Row],[PARCS]],Tableau17[],36,FALSE)</f>
        <v>-6898</v>
      </c>
      <c r="AB163" s="252">
        <f>VLOOKUP(Tableau1315[[#This Row],[PARCS]],Tableau17[],37,FALSE)</f>
        <v>0</v>
      </c>
      <c r="AC163" s="468">
        <f>SUM(Tableau1315[[#This Row],[CONTRAT O&amp;M FORFAIT GROUPE22]:[CHARGES exceptionnels (BONUS, sinistres)77]])</f>
        <v>-33317</v>
      </c>
      <c r="AD163" s="252">
        <f>Tableau1315[[#This Row],[TOTAL LE3]]-Tableau1315[[#This Row],[TOTAL BN-1]]</f>
        <v>2772.5538000000015</v>
      </c>
      <c r="AE163" s="351">
        <f>IFERROR((Tableau1315[[#This Row],[TOTAL LE3]]-Tableau1315[[#This Row],[TOTAL BN-1]])/Tableau1315[[#This Row],[TOTAL BN-1]],"")</f>
        <v>-7.968241164208234E-2</v>
      </c>
      <c r="AF163" s="252">
        <f>Tableau1315[[#This Row],[TOTAL BN+1]]-Tableau1315[[#This Row],[TOTAL LE3]]</f>
        <v>-1294.5</v>
      </c>
      <c r="AG163" s="351">
        <f>IFERROR((Tableau1315[[#This Row],[TOTAL BN+1]]-Tableau1315[[#This Row],[TOTAL LE3]])/Tableau1315[[#This Row],[TOTAL LE3]],"")</f>
        <v>4.0424701381840893E-2</v>
      </c>
    </row>
    <row r="164" spans="1:34" hidden="1">
      <c r="A164" s="463" t="s">
        <v>528</v>
      </c>
      <c r="B164" s="464" t="str">
        <f>VLOOKUP(Tableau1315[[#This Row],[PARCS]],Tableau106[],3,FALSE)</f>
        <v>A894</v>
      </c>
      <c r="C164" s="464" t="str">
        <f>VLOOKUP(Tableau1315[[#This Row],[PARCS]],Tableau106[],2,FALSE)</f>
        <v>FR14E99E</v>
      </c>
      <c r="D164" s="465" t="str">
        <f>VLOOKUP(Tableau1315[[#This Row],[PARCS]],Tableau106[],8,FALSE)</f>
        <v>EOLIEN</v>
      </c>
      <c r="E164" s="465" t="str">
        <f>VLOOKUP(A164,Tableau106[[#Headers],[#Data]],6,FALSE)</f>
        <v>N</v>
      </c>
      <c r="F164" s="466" t="str">
        <f>VLOOKUP(Tableau1315[[#This Row],[PARCS]],Tableau106[],5,FALSE)</f>
        <v>STMB</v>
      </c>
      <c r="G164" s="464" t="str">
        <f>VLOOKUP(Tableau1315[[#This Row],[PARCS]],Tableau106[],7,FALSE)</f>
        <v>GROUPE</v>
      </c>
      <c r="H164" s="464" t="str">
        <f>VLOOKUP(Tableau1315[[#This Row],[PARCS]],Tableau106[],9,FALSE)</f>
        <v>AnN</v>
      </c>
      <c r="I164" s="350">
        <f>IFERROR(VLOOKUP(Tableau1315[[#This Row],[PARCS]],Tableau15[],10,FALSE),"")</f>
        <v>-67626</v>
      </c>
      <c r="J164" s="20">
        <f>IFERROR(VLOOKUP(Tableau1315[[#This Row],[PARCS]],Tableau15[],18,FALSE),"")</f>
        <v>-181500</v>
      </c>
      <c r="K164" s="252">
        <f>IFERROR(VLOOKUP(Tableau1315[[#This Row],[PARCS]],Tableau15[],19,FALSE),"")</f>
        <v>0</v>
      </c>
      <c r="L164" s="20">
        <f>IFERROR(VLOOKUP(Tableau1315[[#This Row],[PARCS]],Tableau15[],28,FALSE),"")</f>
        <v>-4000</v>
      </c>
      <c r="M164" s="252">
        <f>IFERROR(VLOOKUP(Tableau1315[[#This Row],[PARCS]],Tableau15[],36,FALSE),"")</f>
        <v>0</v>
      </c>
      <c r="N164" s="252">
        <f>IFERROR(VLOOKUP(Tableau1315[[#This Row],[PARCS]],Tableau15[],37,FALSE),"")</f>
        <v>0</v>
      </c>
      <c r="O164" s="467">
        <f>SUM(Tableau1315[[#This Row],[CONTRAT O&amp;M FORFAIT GROUPE]:[CHARGES exceptionnels (BONUS, sinistres)]])</f>
        <v>-253126</v>
      </c>
      <c r="P164" s="354">
        <f>VLOOKUP(Tableau1315[[#This Row],[PARCS]],Tableau16[],10,FALSE)</f>
        <v>-68007</v>
      </c>
      <c r="Q164" s="252">
        <f>VLOOKUP(Tableau1315[[#This Row],[PARCS]],Tableau16[],18,FALSE)</f>
        <v>-103600</v>
      </c>
      <c r="R164" s="252">
        <f>VLOOKUP(Tableau1315[[#This Row],[PARCS]],Tableau16[],19,FALSE)</f>
        <v>0</v>
      </c>
      <c r="S164" s="252">
        <f>VLOOKUP(Tableau1315[[#This Row],[PARCS]],Tableau16[],28,FALSE)</f>
        <v>-4720</v>
      </c>
      <c r="T164" s="252">
        <f>VLOOKUP(Tableau1315[[#This Row],[PARCS]],Tableau16[],36,FALSE)</f>
        <v>0</v>
      </c>
      <c r="U164" s="252">
        <f>VLOOKUP(Tableau1315[[#This Row],[PARCS]],Tableau16[],37,FALSE)</f>
        <v>0</v>
      </c>
      <c r="V164" s="467">
        <f>SUM(Tableau1315[[#This Row],[CONTRAT O&amp;M FORFAIT GROUPE2]:[CHARGES exceptionnels (BONUS, sinistres)7]])</f>
        <v>-176327</v>
      </c>
      <c r="W164" s="354">
        <f>VLOOKUP(Tableau1315[[#This Row],[PARCS]],Tableau17[],10,FALSE)</f>
        <v>-69707.174999999988</v>
      </c>
      <c r="X164" s="252">
        <f>VLOOKUP(Tableau1315[[#This Row],[PARCS]],Tableau17[],18,FALSE)</f>
        <v>-103599.99999999999</v>
      </c>
      <c r="Y164" s="252">
        <f>VLOOKUP(Tableau1315[[#This Row],[PARCS]],Tableau17[],19,FALSE)</f>
        <v>0</v>
      </c>
      <c r="Z164" s="252">
        <f>VLOOKUP(Tableau1315[[#This Row],[PARCS]],Tableau17[],28,FALSE)</f>
        <v>-2500</v>
      </c>
      <c r="AA164" s="252">
        <f>VLOOKUP(Tableau1315[[#This Row],[PARCS]],Tableau17[],36,FALSE)</f>
        <v>0</v>
      </c>
      <c r="AB164" s="252">
        <f>VLOOKUP(Tableau1315[[#This Row],[PARCS]],Tableau17[],37,FALSE)</f>
        <v>0</v>
      </c>
      <c r="AC164" s="468">
        <f>SUM(Tableau1315[[#This Row],[CONTRAT O&amp;M FORFAIT GROUPE22]:[CHARGES exceptionnels (BONUS, sinistres)77]])</f>
        <v>-175807.17499999999</v>
      </c>
      <c r="AD164" s="252">
        <f>Tableau1315[[#This Row],[TOTAL LE3]]-Tableau1315[[#This Row],[TOTAL BN-1]]</f>
        <v>76799</v>
      </c>
      <c r="AE164" s="351">
        <f>IFERROR((Tableau1315[[#This Row],[TOTAL LE3]]-Tableau1315[[#This Row],[TOTAL BN-1]])/Tableau1315[[#This Row],[TOTAL BN-1]],"")</f>
        <v>-0.30340225816391836</v>
      </c>
      <c r="AF164" s="252">
        <f>Tableau1315[[#This Row],[TOTAL BN+1]]-Tableau1315[[#This Row],[TOTAL LE3]]</f>
        <v>519.82500000001164</v>
      </c>
      <c r="AG164" s="351">
        <f>IFERROR((Tableau1315[[#This Row],[TOTAL BN+1]]-Tableau1315[[#This Row],[TOTAL LE3]])/Tableau1315[[#This Row],[TOTAL LE3]],"")</f>
        <v>-2.9480737493407794E-3</v>
      </c>
    </row>
    <row r="165" spans="1:34" hidden="1">
      <c r="A165" s="463" t="s">
        <v>459</v>
      </c>
      <c r="B165" s="464" t="str">
        <f>VLOOKUP(Tableau1315[[#This Row],[PARCS]],Tableau106[],3,FALSE)</f>
        <v>A145</v>
      </c>
      <c r="C165" s="464" t="str">
        <f>VLOOKUP(Tableau1315[[#This Row],[PARCS]],Tableau106[],2,FALSE)</f>
        <v>FR31S01E</v>
      </c>
      <c r="D165" s="465" t="str">
        <f>VLOOKUP(Tableau1315[[#This Row],[PARCS]],Tableau106[],8,FALSE)</f>
        <v>SOLAIRE</v>
      </c>
      <c r="E165" s="465" t="str">
        <f>VLOOKUP(A165,Tableau106[[#Headers],[#Data]],6,FALSE)</f>
        <v>S</v>
      </c>
      <c r="F165" s="466" t="str">
        <f>VLOOKUP(Tableau1315[[#This Row],[PARCS]],Tableau106[],5,FALSE)</f>
        <v>BOUL</v>
      </c>
      <c r="G165" s="464" t="str">
        <f>VLOOKUP(Tableau1315[[#This Row],[PARCS]],Tableau106[],7,FALSE)</f>
        <v>GROUPE</v>
      </c>
      <c r="H165" s="464" t="str">
        <f>VLOOKUP(Tableau1315[[#This Row],[PARCS]],Tableau106[],9,FALSE)</f>
        <v>BaA</v>
      </c>
      <c r="I165" s="350">
        <f>IFERROR(VLOOKUP(Tableau1315[[#This Row],[PARCS]],Tableau15[],10,FALSE),"")</f>
        <v>-286256.19418276625</v>
      </c>
      <c r="J165" s="20">
        <f>IFERROR(VLOOKUP(Tableau1315[[#This Row],[PARCS]],Tableau15[],18,FALSE),"")</f>
        <v>-98075</v>
      </c>
      <c r="K165" s="252">
        <f>IFERROR(VLOOKUP(Tableau1315[[#This Row],[PARCS]],Tableau15[],19,FALSE),"")</f>
        <v>0</v>
      </c>
      <c r="L165" s="20">
        <f>IFERROR(VLOOKUP(Tableau1315[[#This Row],[PARCS]],Tableau15[],28,FALSE),"")</f>
        <v>-3000</v>
      </c>
      <c r="M165" s="252">
        <f>IFERROR(VLOOKUP(Tableau1315[[#This Row],[PARCS]],Tableau15[],36,FALSE),"")</f>
        <v>-4400</v>
      </c>
      <c r="N165" s="252">
        <f>IFERROR(VLOOKUP(Tableau1315[[#This Row],[PARCS]],Tableau15[],37,FALSE),"")</f>
        <v>-20000</v>
      </c>
      <c r="O165" s="467">
        <f>SUM(Tableau1315[[#This Row],[CONTRAT O&amp;M FORFAIT GROUPE]:[CHARGES exceptionnels (BONUS, sinistres)]])</f>
        <v>-411731.19418276625</v>
      </c>
      <c r="P165" s="354">
        <f>VLOOKUP(Tableau1315[[#This Row],[PARCS]],Tableau16[],10,FALSE)</f>
        <v>-287867</v>
      </c>
      <c r="Q165" s="350">
        <f>VLOOKUP(Tableau1315[[#This Row],[PARCS]],Tableau16[],18,FALSE)</f>
        <v>-24157.5</v>
      </c>
      <c r="R165" s="350">
        <f>VLOOKUP(Tableau1315[[#This Row],[PARCS]],Tableau16[],19,FALSE)</f>
        <v>0</v>
      </c>
      <c r="S165" s="20">
        <f>VLOOKUP(Tableau1315[[#This Row],[PARCS]],Tableau16[],28,FALSE)</f>
        <v>-19537.5</v>
      </c>
      <c r="T165" s="20">
        <f>VLOOKUP(Tableau1315[[#This Row],[PARCS]],Tableau16[],36,FALSE)</f>
        <v>-4400</v>
      </c>
      <c r="U165" s="20">
        <f>VLOOKUP(Tableau1315[[#This Row],[PARCS]],Tableau16[],37,FALSE)</f>
        <v>-22739</v>
      </c>
      <c r="V165" s="467">
        <f>SUM(Tableau1315[[#This Row],[CONTRAT O&amp;M FORFAIT GROUPE2]:[CHARGES exceptionnels (BONUS, sinistres)7]])</f>
        <v>-358701</v>
      </c>
      <c r="W165" s="354">
        <f>VLOOKUP(Tableau1315[[#This Row],[PARCS]],Tableau17[],10,FALSE)</f>
        <v>-295063.67499999999</v>
      </c>
      <c r="X165" s="350">
        <f>VLOOKUP(Tableau1315[[#This Row],[PARCS]],Tableau17[],18,FALSE)</f>
        <v>-52297.500000000007</v>
      </c>
      <c r="Y165" s="350">
        <f>VLOOKUP(Tableau1315[[#This Row],[PARCS]],Tableau17[],19,FALSE)</f>
        <v>0</v>
      </c>
      <c r="Z165" s="350">
        <f>VLOOKUP(Tableau1315[[#This Row],[PARCS]],Tableau17[],28,FALSE)</f>
        <v>-2537.5</v>
      </c>
      <c r="AA165" s="350">
        <f>VLOOKUP(Tableau1315[[#This Row],[PARCS]],Tableau17[],36,FALSE)</f>
        <v>0</v>
      </c>
      <c r="AB165" s="252">
        <f>VLOOKUP(Tableau1315[[#This Row],[PARCS]],Tableau17[],37,FALSE)</f>
        <v>0</v>
      </c>
      <c r="AC165" s="468">
        <f>SUM(Tableau1315[[#This Row],[CONTRAT O&amp;M FORFAIT GROUPE22]:[CHARGES exceptionnels (BONUS, sinistres)77]])</f>
        <v>-349898.67499999999</v>
      </c>
      <c r="AD165" s="252">
        <f>Tableau1315[[#This Row],[TOTAL LE3]]-Tableau1315[[#This Row],[TOTAL BN-1]]</f>
        <v>53030.194182766252</v>
      </c>
      <c r="AE165" s="351">
        <f>IFERROR((Tableau1315[[#This Row],[TOTAL LE3]]-Tableau1315[[#This Row],[TOTAL BN-1]])/Tableau1315[[#This Row],[TOTAL BN-1]],"")</f>
        <v>-0.12879809674859444</v>
      </c>
      <c r="AF165" s="252">
        <f>Tableau1315[[#This Row],[TOTAL BN+1]]-Tableau1315[[#This Row],[TOTAL LE3]]</f>
        <v>8802.3250000000116</v>
      </c>
      <c r="AG165" s="351">
        <f>IFERROR((Tableau1315[[#This Row],[TOTAL BN+1]]-Tableau1315[[#This Row],[TOTAL LE3]])/Tableau1315[[#This Row],[TOTAL LE3]],"")</f>
        <v>-2.4539449290634851E-2</v>
      </c>
      <c r="AH165" s="6" t="s">
        <v>768</v>
      </c>
    </row>
    <row r="166" spans="1:34" hidden="1">
      <c r="A166" s="463" t="s">
        <v>619</v>
      </c>
      <c r="B166" s="464" t="str">
        <f>VLOOKUP(Tableau1315[[#This Row],[PARCS]],Tableau106[],3,FALSE)</f>
        <v>A046</v>
      </c>
      <c r="C166" s="464" t="str">
        <f>VLOOKUP(Tableau1315[[#This Row],[PARCS]],Tableau106[],2,FALSE)</f>
        <v>FR97S75E</v>
      </c>
      <c r="D166" s="465" t="str">
        <f>VLOOKUP(Tableau1315[[#This Row],[PARCS]],Tableau106[],8,FALSE)</f>
        <v>SOLAIRE DOM</v>
      </c>
      <c r="E166" s="465" t="str">
        <f>VLOOKUP(A166,Tableau106[[#Headers],[#Data]],6,FALSE)</f>
        <v>DOM</v>
      </c>
      <c r="F166" s="466" t="str">
        <f>VLOOKUP(Tableau1315[[#This Row],[PARCS]],Tableau106[],5,FALSE)</f>
        <v>TROI</v>
      </c>
      <c r="G166" s="464" t="str">
        <f>VLOOKUP(Tableau1315[[#This Row],[PARCS]],Tableau106[],7,FALSE)</f>
        <v>GROUPE</v>
      </c>
      <c r="H166" s="464" t="str">
        <f>VLOOKUP(Tableau1315[[#This Row],[PARCS]],Tableau106[],9,FALSE)</f>
        <v>DoJ</v>
      </c>
      <c r="I166" s="350">
        <f>IFERROR(VLOOKUP(Tableau1315[[#This Row],[PARCS]],Tableau15[],10,FALSE),"")</f>
        <v>0</v>
      </c>
      <c r="J166" s="20">
        <f>IFERROR(VLOOKUP(Tableau1315[[#This Row],[PARCS]],Tableau15[],18,FALSE),"")</f>
        <v>-16100</v>
      </c>
      <c r="K166" s="252">
        <f>IFERROR(VLOOKUP(Tableau1315[[#This Row],[PARCS]],Tableau15[],19,FALSE),"")</f>
        <v>0</v>
      </c>
      <c r="L166" s="20">
        <f>IFERROR(VLOOKUP(Tableau1315[[#This Row],[PARCS]],Tableau15[],28,FALSE),"")</f>
        <v>-15500</v>
      </c>
      <c r="M166" s="252">
        <f>IFERROR(VLOOKUP(Tableau1315[[#This Row],[PARCS]],Tableau15[],36,FALSE),"")</f>
        <v>-29277.97</v>
      </c>
      <c r="N166" s="252">
        <f>IFERROR(VLOOKUP(Tableau1315[[#This Row],[PARCS]],Tableau15[],37,FALSE),"")</f>
        <v>0</v>
      </c>
      <c r="O166" s="467">
        <f>SUM(Tableau1315[[#This Row],[CONTRAT O&amp;M FORFAIT GROUPE]:[CHARGES exceptionnels (BONUS, sinistres)]])</f>
        <v>-60877.97</v>
      </c>
      <c r="P166" s="354">
        <f>VLOOKUP(Tableau1315[[#This Row],[PARCS]],Tableau16[],10,FALSE)</f>
        <v>0</v>
      </c>
      <c r="Q166" s="252">
        <f>VLOOKUP(Tableau1315[[#This Row],[PARCS]],Tableau16[],18,FALSE)</f>
        <v>-2270.5</v>
      </c>
      <c r="R166" s="252">
        <f>VLOOKUP(Tableau1315[[#This Row],[PARCS]],Tableau16[],19,FALSE)</f>
        <v>-33543</v>
      </c>
      <c r="S166" s="252">
        <f>VLOOKUP(Tableau1315[[#This Row],[PARCS]],Tableau16[],28,FALSE)</f>
        <v>-16024.562</v>
      </c>
      <c r="T166" s="252">
        <f>VLOOKUP(Tableau1315[[#This Row],[PARCS]],Tableau16[],36,FALSE)</f>
        <v>0</v>
      </c>
      <c r="U166" s="252">
        <f>VLOOKUP(Tableau1315[[#This Row],[PARCS]],Tableau16[],37,FALSE)</f>
        <v>0</v>
      </c>
      <c r="V166" s="467">
        <f>SUM(Tableau1315[[#This Row],[CONTRAT O&amp;M FORFAIT GROUPE2]:[CHARGES exceptionnels (BONUS, sinistres)7]])</f>
        <v>-51838.061999999998</v>
      </c>
      <c r="W166" s="354">
        <f>VLOOKUP(Tableau1315[[#This Row],[PARCS]],Tableau17[],10,FALSE)</f>
        <v>0</v>
      </c>
      <c r="X166" s="252">
        <f>VLOOKUP(Tableau1315[[#This Row],[PARCS]],Tableau17[],18,FALSE)</f>
        <v>-3600</v>
      </c>
      <c r="Y166" s="252">
        <f>VLOOKUP(Tableau1315[[#This Row],[PARCS]],Tableau17[],19,FALSE)</f>
        <v>-34381.574999999997</v>
      </c>
      <c r="Z166" s="252">
        <f>VLOOKUP(Tableau1315[[#This Row],[PARCS]],Tableau17[],28,FALSE)</f>
        <v>-5495.0619999999999</v>
      </c>
      <c r="AA166" s="252">
        <f>VLOOKUP(Tableau1315[[#This Row],[PARCS]],Tableau17[],36,FALSE)</f>
        <v>-29277.97</v>
      </c>
      <c r="AB166" s="252">
        <f>VLOOKUP(Tableau1315[[#This Row],[PARCS]],Tableau17[],37,FALSE)</f>
        <v>0</v>
      </c>
      <c r="AC166" s="468">
        <f>SUM(Tableau1315[[#This Row],[CONTRAT O&amp;M FORFAIT GROUPE22]:[CHARGES exceptionnels (BONUS, sinistres)77]])</f>
        <v>-72754.606999999989</v>
      </c>
      <c r="AD166" s="252">
        <f>Tableau1315[[#This Row],[TOTAL LE3]]-Tableau1315[[#This Row],[TOTAL BN-1]]</f>
        <v>9039.9080000000031</v>
      </c>
      <c r="AE166" s="351">
        <f>IFERROR((Tableau1315[[#This Row],[TOTAL LE3]]-Tableau1315[[#This Row],[TOTAL BN-1]])/Tableau1315[[#This Row],[TOTAL BN-1]],"")</f>
        <v>-0.14849227068510995</v>
      </c>
      <c r="AF166" s="252">
        <f>Tableau1315[[#This Row],[TOTAL BN+1]]-Tableau1315[[#This Row],[TOTAL LE3]]</f>
        <v>-20916.544999999991</v>
      </c>
      <c r="AG166" s="351">
        <f>IFERROR((Tableau1315[[#This Row],[TOTAL BN+1]]-Tableau1315[[#This Row],[TOTAL LE3]])/Tableau1315[[#This Row],[TOTAL LE3]],"")</f>
        <v>0.4034978198066122</v>
      </c>
      <c r="AH166" s="6" t="s">
        <v>769</v>
      </c>
    </row>
    <row r="167" spans="1:34" hidden="1">
      <c r="A167" s="463" t="s">
        <v>440</v>
      </c>
      <c r="B167" s="464" t="str">
        <f>VLOOKUP(Tableau1315[[#This Row],[PARCS]],Tableau106[],3,FALSE)</f>
        <v>A353</v>
      </c>
      <c r="C167" s="464" t="str">
        <f>VLOOKUP(Tableau1315[[#This Row],[PARCS]],Tableau106[],2,FALSE)</f>
        <v>FR33S12E</v>
      </c>
      <c r="D167" s="465" t="str">
        <f>VLOOKUP(Tableau1315[[#This Row],[PARCS]],Tableau106[],8,FALSE)</f>
        <v>SOLAIRE</v>
      </c>
      <c r="E167" s="465" t="str">
        <f>VLOOKUP(A167,Tableau106[[#Headers],[#Data]],6,FALSE)</f>
        <v>S</v>
      </c>
      <c r="F167" s="466" t="str">
        <f>VLOOKUP(Tableau1315[[#This Row],[PARCS]],Tableau106[],5,FALSE)</f>
        <v>AMBE</v>
      </c>
      <c r="G167" s="464" t="str">
        <f>VLOOKUP(Tableau1315[[#This Row],[PARCS]],Tableau106[],7,FALSE)</f>
        <v>GROUPE</v>
      </c>
      <c r="H167" s="464" t="str">
        <f>VLOOKUP(Tableau1315[[#This Row],[PARCS]],Tableau106[],9,FALSE)</f>
        <v>BaA</v>
      </c>
      <c r="I167" s="350">
        <f>IFERROR(VLOOKUP(Tableau1315[[#This Row],[PARCS]],Tableau15[],10,FALSE),"")</f>
        <v>-82955.65196220472</v>
      </c>
      <c r="J167" s="20">
        <f>IFERROR(VLOOKUP(Tableau1315[[#This Row],[PARCS]],Tableau15[],18,FALSE),"")</f>
        <v>-9700</v>
      </c>
      <c r="K167" s="252">
        <f>IFERROR(VLOOKUP(Tableau1315[[#This Row],[PARCS]],Tableau15[],19,FALSE),"")</f>
        <v>0</v>
      </c>
      <c r="L167" s="20">
        <f>IFERROR(VLOOKUP(Tableau1315[[#This Row],[PARCS]],Tableau15[],28,FALSE),"")</f>
        <v>-4850</v>
      </c>
      <c r="M167" s="252">
        <f>IFERROR(VLOOKUP(Tableau1315[[#This Row],[PARCS]],Tableau15[],36,FALSE),"")</f>
        <v>0</v>
      </c>
      <c r="N167" s="252">
        <f>IFERROR(VLOOKUP(Tableau1315[[#This Row],[PARCS]],Tableau15[],37,FALSE),"")</f>
        <v>-15000</v>
      </c>
      <c r="O167" s="467">
        <f>SUM(Tableau1315[[#This Row],[CONTRAT O&amp;M FORFAIT GROUPE]:[CHARGES exceptionnels (BONUS, sinistres)]])</f>
        <v>-112505.65196220472</v>
      </c>
      <c r="P167" s="354">
        <f>VLOOKUP(Tableau1315[[#This Row],[PARCS]],Tableau16[],10,FALSE)</f>
        <v>-83423</v>
      </c>
      <c r="Q167" s="350">
        <f>VLOOKUP(Tableau1315[[#This Row],[PARCS]],Tableau16[],18,FALSE)</f>
        <v>-8560</v>
      </c>
      <c r="R167" s="350">
        <f>VLOOKUP(Tableau1315[[#This Row],[PARCS]],Tableau16[],19,FALSE)</f>
        <v>0</v>
      </c>
      <c r="S167" s="20">
        <f>VLOOKUP(Tableau1315[[#This Row],[PARCS]],Tableau16[],28,FALSE)</f>
        <v>-2425</v>
      </c>
      <c r="T167" s="20">
        <f>VLOOKUP(Tableau1315[[#This Row],[PARCS]],Tableau16[],36,FALSE)</f>
        <v>0</v>
      </c>
      <c r="U167" s="20">
        <f>VLOOKUP(Tableau1315[[#This Row],[PARCS]],Tableau16[],37,FALSE)</f>
        <v>-972</v>
      </c>
      <c r="V167" s="467">
        <f>SUM(Tableau1315[[#This Row],[CONTRAT O&amp;M FORFAIT GROUPE2]:[CHARGES exceptionnels (BONUS, sinistres)7]])</f>
        <v>-95380</v>
      </c>
      <c r="W167" s="354">
        <f>VLOOKUP(Tableau1315[[#This Row],[PARCS]],Tableau17[],10,FALSE)</f>
        <v>-85508.574999999997</v>
      </c>
      <c r="X167" s="350">
        <f>VLOOKUP(Tableau1315[[#This Row],[PARCS]],Tableau17[],18,FALSE)</f>
        <v>-11715.000000000002</v>
      </c>
      <c r="Y167" s="350">
        <f>VLOOKUP(Tableau1315[[#This Row],[PARCS]],Tableau17[],19,FALSE)</f>
        <v>0</v>
      </c>
      <c r="Z167" s="350">
        <f>VLOOKUP(Tableau1315[[#This Row],[PARCS]],Tableau17[],28,FALSE)</f>
        <v>-2425</v>
      </c>
      <c r="AA167" s="350">
        <f>VLOOKUP(Tableau1315[[#This Row],[PARCS]],Tableau17[],36,FALSE)</f>
        <v>0</v>
      </c>
      <c r="AB167" s="252">
        <f>VLOOKUP(Tableau1315[[#This Row],[PARCS]],Tableau17[],37,FALSE)</f>
        <v>0</v>
      </c>
      <c r="AC167" s="468">
        <f>SUM(Tableau1315[[#This Row],[CONTRAT O&amp;M FORFAIT GROUPE22]:[CHARGES exceptionnels (BONUS, sinistres)77]])</f>
        <v>-99648.574999999997</v>
      </c>
      <c r="AD167" s="252">
        <f>Tableau1315[[#This Row],[TOTAL LE3]]-Tableau1315[[#This Row],[TOTAL BN-1]]</f>
        <v>17125.65196220472</v>
      </c>
      <c r="AE167" s="351">
        <f>IFERROR((Tableau1315[[#This Row],[TOTAL LE3]]-Tableau1315[[#This Row],[TOTAL BN-1]])/Tableau1315[[#This Row],[TOTAL BN-1]],"")</f>
        <v>-0.15222036994157354</v>
      </c>
      <c r="AF167" s="252">
        <f>Tableau1315[[#This Row],[TOTAL BN+1]]-Tableau1315[[#This Row],[TOTAL LE3]]</f>
        <v>-4268.5749999999971</v>
      </c>
      <c r="AG167" s="351">
        <f>IFERROR((Tableau1315[[#This Row],[TOTAL BN+1]]-Tableau1315[[#This Row],[TOTAL LE3]])/Tableau1315[[#This Row],[TOTAL LE3]],"")</f>
        <v>4.4753355001048406E-2</v>
      </c>
    </row>
    <row r="168" spans="1:34" hidden="1">
      <c r="A168" s="463" t="s">
        <v>613</v>
      </c>
      <c r="B168" s="464" t="str">
        <f>VLOOKUP(Tableau1315[[#This Row],[PARCS]],Tableau106[],3,FALSE)</f>
        <v>A313</v>
      </c>
      <c r="C168" s="464" t="str">
        <f>VLOOKUP(Tableau1315[[#This Row],[PARCS]],Tableau106[],2,FALSE)</f>
        <v>FR89S03E</v>
      </c>
      <c r="D168" s="465" t="str">
        <f>VLOOKUP(Tableau1315[[#This Row],[PARCS]],Tableau106[],8,FALSE)</f>
        <v>SOLAIRE</v>
      </c>
      <c r="E168" s="465" t="str">
        <f>VLOOKUP(A168,Tableau106[[#Headers],[#Data]],6,FALSE)</f>
        <v>N</v>
      </c>
      <c r="F168" s="466" t="str">
        <f>VLOOKUP(Tableau1315[[#This Row],[PARCS]],Tableau106[],5,FALSE)</f>
        <v>SUBL</v>
      </c>
      <c r="G168" s="464" t="str">
        <f>VLOOKUP(Tableau1315[[#This Row],[PARCS]],Tableau106[],7,FALSE)</f>
        <v>GROUPE</v>
      </c>
      <c r="H168" s="464" t="str">
        <f>VLOOKUP(Tableau1315[[#This Row],[PARCS]],Tableau106[],9,FALSE)</f>
        <v>LoG</v>
      </c>
      <c r="I168" s="350">
        <f>IFERROR(VLOOKUP(Tableau1315[[#This Row],[PARCS]],Tableau15[],10,FALSE),"")</f>
        <v>-51510</v>
      </c>
      <c r="J168" s="20">
        <f>IFERROR(VLOOKUP(Tableau1315[[#This Row],[PARCS]],Tableau15[],18,FALSE),"")</f>
        <v>-56554.100529100528</v>
      </c>
      <c r="K168" s="252">
        <f>IFERROR(VLOOKUP(Tableau1315[[#This Row],[PARCS]],Tableau15[],19,FALSE),"")</f>
        <v>0</v>
      </c>
      <c r="L168" s="20">
        <f>IFERROR(VLOOKUP(Tableau1315[[#This Row],[PARCS]],Tableau15[],28,FALSE),"")</f>
        <v>-11750</v>
      </c>
      <c r="M168" s="252">
        <f>IFERROR(VLOOKUP(Tableau1315[[#This Row],[PARCS]],Tableau15[],36,FALSE),"")</f>
        <v>0</v>
      </c>
      <c r="N168" s="252">
        <f>IFERROR(VLOOKUP(Tableau1315[[#This Row],[PARCS]],Tableau15[],37,FALSE),"")</f>
        <v>0</v>
      </c>
      <c r="O168" s="467">
        <f>SUM(Tableau1315[[#This Row],[CONTRAT O&amp;M FORFAIT GROUPE]:[CHARGES exceptionnels (BONUS, sinistres)]])</f>
        <v>-119814.10052910053</v>
      </c>
      <c r="P168" s="354">
        <f>VLOOKUP(Tableau1315[[#This Row],[PARCS]],Tableau16[],10,FALSE)</f>
        <v>-57000</v>
      </c>
      <c r="Q168" s="252">
        <f>VLOOKUP(Tableau1315[[#This Row],[PARCS]],Tableau16[],18,FALSE)</f>
        <v>-37540</v>
      </c>
      <c r="R168" s="252">
        <f>VLOOKUP(Tableau1315[[#This Row],[PARCS]],Tableau16[],19,FALSE)</f>
        <v>0</v>
      </c>
      <c r="S168" s="252">
        <f>VLOOKUP(Tableau1315[[#This Row],[PARCS]],Tableau16[],28,FALSE)</f>
        <v>0</v>
      </c>
      <c r="T168" s="252">
        <f>VLOOKUP(Tableau1315[[#This Row],[PARCS]],Tableau16[],36,FALSE)</f>
        <v>0</v>
      </c>
      <c r="U168" s="252">
        <f>VLOOKUP(Tableau1315[[#This Row],[PARCS]],Tableau16[],37,FALSE)</f>
        <v>0</v>
      </c>
      <c r="V168" s="467">
        <f>SUM(Tableau1315[[#This Row],[CONTRAT O&amp;M FORFAIT GROUPE2]:[CHARGES exceptionnels (BONUS, sinistres)7]])</f>
        <v>-94540</v>
      </c>
      <c r="W168" s="354">
        <f>VLOOKUP(Tableau1315[[#This Row],[PARCS]],Tableau17[],10,FALSE)</f>
        <v>-69570</v>
      </c>
      <c r="X168" s="252">
        <f>VLOOKUP(Tableau1315[[#This Row],[PARCS]],Tableau17[],18,FALSE)</f>
        <v>-29832</v>
      </c>
      <c r="Y168" s="252">
        <f>VLOOKUP(Tableau1315[[#This Row],[PARCS]],Tableau17[],19,FALSE)</f>
        <v>0</v>
      </c>
      <c r="Z168" s="252">
        <f>VLOOKUP(Tableau1315[[#This Row],[PARCS]],Tableau17[],28,FALSE)</f>
        <v>-2525</v>
      </c>
      <c r="AA168" s="252">
        <f>VLOOKUP(Tableau1315[[#This Row],[PARCS]],Tableau17[],36,FALSE)</f>
        <v>0</v>
      </c>
      <c r="AB168" s="252">
        <f>VLOOKUP(Tableau1315[[#This Row],[PARCS]],Tableau17[],37,FALSE)</f>
        <v>0</v>
      </c>
      <c r="AC168" s="468">
        <f>SUM(Tableau1315[[#This Row],[CONTRAT O&amp;M FORFAIT GROUPE22]:[CHARGES exceptionnels (BONUS, sinistres)77]])</f>
        <v>-101927</v>
      </c>
      <c r="AD168" s="252">
        <f>Tableau1315[[#This Row],[TOTAL LE3]]-Tableau1315[[#This Row],[TOTAL BN-1]]</f>
        <v>25274.100529100528</v>
      </c>
      <c r="AE168" s="351">
        <f>IFERROR((Tableau1315[[#This Row],[TOTAL LE3]]-Tableau1315[[#This Row],[TOTAL BN-1]])/Tableau1315[[#This Row],[TOTAL BN-1]],"")</f>
        <v>-0.21094429134375497</v>
      </c>
      <c r="AF168" s="252">
        <f>Tableau1315[[#This Row],[TOTAL BN+1]]-Tableau1315[[#This Row],[TOTAL LE3]]</f>
        <v>-7387</v>
      </c>
      <c r="AG168" s="351">
        <f>IFERROR((Tableau1315[[#This Row],[TOTAL BN+1]]-Tableau1315[[#This Row],[TOTAL LE3]])/Tableau1315[[#This Row],[TOTAL LE3]],"")</f>
        <v>7.8136238629151686E-2</v>
      </c>
      <c r="AH168" s="6" t="s">
        <v>738</v>
      </c>
    </row>
    <row r="169" spans="1:34" hidden="1">
      <c r="A169" s="463" t="s">
        <v>476</v>
      </c>
      <c r="B169" s="464" t="str">
        <f>VLOOKUP(Tableau1315[[#This Row],[PARCS]],Tableau106[],3,FALSE)</f>
        <v>A290</v>
      </c>
      <c r="C169" s="464" t="str">
        <f>VLOOKUP(Tableau1315[[#This Row],[PARCS]],Tableau106[],2,FALSE)</f>
        <v>FR86S03E</v>
      </c>
      <c r="D169" s="465" t="str">
        <f>VLOOKUP(Tableau1315[[#This Row],[PARCS]],Tableau106[],8,FALSE)</f>
        <v>SOLAIRE</v>
      </c>
      <c r="E169" s="465" t="str">
        <f>VLOOKUP(A169,Tableau106[[#Headers],[#Data]],6,FALSE)</f>
        <v>N</v>
      </c>
      <c r="F169" s="466" t="str">
        <f>VLOOKUP(Tableau1315[[#This Row],[PARCS]],Tableau106[],5,FALSE)</f>
        <v>CIVA</v>
      </c>
      <c r="G169" s="464" t="str">
        <f>VLOOKUP(Tableau1315[[#This Row],[PARCS]],Tableau106[],7,FALSE)</f>
        <v>GROUPE</v>
      </c>
      <c r="H169" s="464" t="str">
        <f>VLOOKUP(Tableau1315[[#This Row],[PARCS]],Tableau106[],9,FALSE)</f>
        <v>ArB</v>
      </c>
      <c r="I169" s="350">
        <f>IFERROR(VLOOKUP(Tableau1315[[#This Row],[PARCS]],Tableau15[],10,FALSE),"")</f>
        <v>0</v>
      </c>
      <c r="J169" s="20">
        <f>IFERROR(VLOOKUP(Tableau1315[[#This Row],[PARCS]],Tableau15[],18,FALSE),"")</f>
        <v>-5500</v>
      </c>
      <c r="K169" s="252">
        <f>IFERROR(VLOOKUP(Tableau1315[[#This Row],[PARCS]],Tableau15[],19,FALSE),"")</f>
        <v>-44000</v>
      </c>
      <c r="L169" s="20">
        <f>IFERROR(VLOOKUP(Tableau1315[[#This Row],[PARCS]],Tableau15[],28,FALSE),"")</f>
        <v>-2750</v>
      </c>
      <c r="M169" s="252">
        <f>IFERROR(VLOOKUP(Tableau1315[[#This Row],[PARCS]],Tableau15[],36,FALSE),"")</f>
        <v>0</v>
      </c>
      <c r="N169" s="252">
        <f>IFERROR(VLOOKUP(Tableau1315[[#This Row],[PARCS]],Tableau15[],37,FALSE),"")</f>
        <v>0</v>
      </c>
      <c r="O169" s="467">
        <f>SUM(Tableau1315[[#This Row],[CONTRAT O&amp;M FORFAIT GROUPE]:[CHARGES exceptionnels (BONUS, sinistres)]])</f>
        <v>-52250</v>
      </c>
      <c r="P169" s="354">
        <f>VLOOKUP(Tableau1315[[#This Row],[PARCS]],Tableau16[],10,FALSE)</f>
        <v>0</v>
      </c>
      <c r="Q169" s="350">
        <f>VLOOKUP(Tableau1315[[#This Row],[PARCS]],Tableau16[],18,FALSE)</f>
        <v>-1375</v>
      </c>
      <c r="R169" s="350">
        <f>VLOOKUP(Tableau1315[[#This Row],[PARCS]],Tableau16[],19,FALSE)</f>
        <v>-34000</v>
      </c>
      <c r="S169" s="20">
        <f>VLOOKUP(Tableau1315[[#This Row],[PARCS]],Tableau16[],28,FALSE)</f>
        <v>-4775</v>
      </c>
      <c r="T169" s="20">
        <f>VLOOKUP(Tableau1315[[#This Row],[PARCS]],Tableau16[],36,FALSE)</f>
        <v>0</v>
      </c>
      <c r="U169" s="20">
        <f>VLOOKUP(Tableau1315[[#This Row],[PARCS]],Tableau16[],37,FALSE)</f>
        <v>0</v>
      </c>
      <c r="V169" s="467">
        <f>SUM(Tableau1315[[#This Row],[CONTRAT O&amp;M FORFAIT GROUPE2]:[CHARGES exceptionnels (BONUS, sinistres)7]])</f>
        <v>-40150</v>
      </c>
      <c r="W169" s="354">
        <f>VLOOKUP(Tableau1315[[#This Row],[PARCS]],Tableau17[],10,FALSE)</f>
        <v>0</v>
      </c>
      <c r="X169" s="350">
        <f>VLOOKUP(Tableau1315[[#This Row],[PARCS]],Tableau17[],18,FALSE)</f>
        <v>-1375</v>
      </c>
      <c r="Y169" s="350">
        <f>VLOOKUP(Tableau1315[[#This Row],[PARCS]],Tableau17[],19,FALSE)</f>
        <v>-34850</v>
      </c>
      <c r="Z169" s="350">
        <f>VLOOKUP(Tableau1315[[#This Row],[PARCS]],Tableau17[],28,FALSE)</f>
        <v>-1375</v>
      </c>
      <c r="AA169" s="350">
        <f>VLOOKUP(Tableau1315[[#This Row],[PARCS]],Tableau17[],36,FALSE)</f>
        <v>-6000</v>
      </c>
      <c r="AB169" s="252">
        <f>VLOOKUP(Tableau1315[[#This Row],[PARCS]],Tableau17[],37,FALSE)</f>
        <v>0</v>
      </c>
      <c r="AC169" s="468">
        <f>SUM(Tableau1315[[#This Row],[CONTRAT O&amp;M FORFAIT GROUPE22]:[CHARGES exceptionnels (BONUS, sinistres)77]])</f>
        <v>-43600</v>
      </c>
      <c r="AD169" s="252">
        <f>Tableau1315[[#This Row],[TOTAL LE3]]-Tableau1315[[#This Row],[TOTAL BN-1]]</f>
        <v>12100</v>
      </c>
      <c r="AE169" s="351">
        <f>IFERROR((Tableau1315[[#This Row],[TOTAL LE3]]-Tableau1315[[#This Row],[TOTAL BN-1]])/Tableau1315[[#This Row],[TOTAL BN-1]],"")</f>
        <v>-0.23157894736842105</v>
      </c>
      <c r="AF169" s="252">
        <f>Tableau1315[[#This Row],[TOTAL BN+1]]-Tableau1315[[#This Row],[TOTAL LE3]]</f>
        <v>-3450</v>
      </c>
      <c r="AG169" s="351">
        <f>IFERROR((Tableau1315[[#This Row],[TOTAL BN+1]]-Tableau1315[[#This Row],[TOTAL LE3]])/Tableau1315[[#This Row],[TOTAL LE3]],"")</f>
        <v>8.5927770859277705E-2</v>
      </c>
      <c r="AH169" s="6" t="s">
        <v>770</v>
      </c>
    </row>
    <row r="170" spans="1:34" hidden="1">
      <c r="A170" s="463" t="s">
        <v>557</v>
      </c>
      <c r="B170" s="464" t="str">
        <f>VLOOKUP(Tableau1315[[#This Row],[PARCS]],Tableau106[],3,FALSE)</f>
        <v>A541</v>
      </c>
      <c r="C170" s="464" t="str">
        <f>VLOOKUP(Tableau1315[[#This Row],[PARCS]],Tableau106[],2,FALSE)</f>
        <v>FR55E08E</v>
      </c>
      <c r="D170" s="465" t="str">
        <f>VLOOKUP(Tableau1315[[#This Row],[PARCS]],Tableau106[],8,FALSE)</f>
        <v>EOLIEN</v>
      </c>
      <c r="E170" s="465" t="str">
        <f>VLOOKUP(A170,Tableau106[[#Headers],[#Data]],6,FALSE)</f>
        <v>N</v>
      </c>
      <c r="F170" s="466" t="str">
        <f>VLOOKUP(Tableau1315[[#This Row],[PARCS]],Tableau106[],5,FALSE)</f>
        <v>STEN</v>
      </c>
      <c r="G170" s="464" t="str">
        <f>VLOOKUP(Tableau1315[[#This Row],[PARCS]],Tableau106[],7,FALSE)</f>
        <v>EGM</v>
      </c>
      <c r="H170" s="464" t="str">
        <f>VLOOKUP(Tableau1315[[#This Row],[PARCS]],Tableau106[],9,FALSE)</f>
        <v>MaA</v>
      </c>
      <c r="I170" s="350">
        <f>IFERROR(VLOOKUP(Tableau1315[[#This Row],[PARCS]],Tableau15[],10,FALSE),"")</f>
        <v>-256678.59608762685</v>
      </c>
      <c r="J170" s="20">
        <f>IFERROR(VLOOKUP(Tableau1315[[#This Row],[PARCS]],Tableau15[],18,FALSE),"")</f>
        <v>-2800</v>
      </c>
      <c r="K170" s="252">
        <f>IFERROR(VLOOKUP(Tableau1315[[#This Row],[PARCS]],Tableau15[],19,FALSE),"")</f>
        <v>0</v>
      </c>
      <c r="L170" s="20">
        <f>IFERROR(VLOOKUP(Tableau1315[[#This Row],[PARCS]],Tableau15[],28,FALSE),"")</f>
        <v>-1400</v>
      </c>
      <c r="M170" s="252">
        <f>IFERROR(VLOOKUP(Tableau1315[[#This Row],[PARCS]],Tableau15[],36,FALSE),"")</f>
        <v>-5000</v>
      </c>
      <c r="N170" s="252">
        <f>IFERROR(VLOOKUP(Tableau1315[[#This Row],[PARCS]],Tableau15[],37,FALSE),"")</f>
        <v>0</v>
      </c>
      <c r="O170" s="467">
        <f>SUM(Tableau1315[[#This Row],[CONTRAT O&amp;M FORFAIT GROUPE]:[CHARGES exceptionnels (BONUS, sinistres)]])</f>
        <v>-265878.59608762688</v>
      </c>
      <c r="P170" s="354">
        <f>VLOOKUP(Tableau1315[[#This Row],[PARCS]],Tableau16[],10,FALSE)</f>
        <v>-258123</v>
      </c>
      <c r="Q170" s="252">
        <f>VLOOKUP(Tableau1315[[#This Row],[PARCS]],Tableau16[],18,FALSE)</f>
        <v>-156900</v>
      </c>
      <c r="R170" s="252">
        <f>VLOOKUP(Tableau1315[[#This Row],[PARCS]],Tableau16[],19,FALSE)</f>
        <v>0</v>
      </c>
      <c r="S170" s="252">
        <f>VLOOKUP(Tableau1315[[#This Row],[PARCS]],Tableau16[],28,FALSE)</f>
        <v>-23580</v>
      </c>
      <c r="T170" s="252">
        <f>VLOOKUP(Tableau1315[[#This Row],[PARCS]],Tableau16[],36,FALSE)</f>
        <v>0</v>
      </c>
      <c r="U170" s="252">
        <f>VLOOKUP(Tableau1315[[#This Row],[PARCS]],Tableau16[],37,FALSE)</f>
        <v>-13086</v>
      </c>
      <c r="V170" s="467">
        <f>SUM(Tableau1315[[#This Row],[CONTRAT O&amp;M FORFAIT GROUPE2]:[CHARGES exceptionnels (BONUS, sinistres)7]])</f>
        <v>-451689</v>
      </c>
      <c r="W170" s="354">
        <f>VLOOKUP(Tableau1315[[#This Row],[PARCS]],Tableau17[],10,FALSE)</f>
        <v>-264576.07499999995</v>
      </c>
      <c r="X170" s="252">
        <f>VLOOKUP(Tableau1315[[#This Row],[PARCS]],Tableau17[],18,FALSE)</f>
        <v>-160600.00000000003</v>
      </c>
      <c r="Y170" s="252">
        <f>VLOOKUP(Tableau1315[[#This Row],[PARCS]],Tableau17[],19,FALSE)</f>
        <v>0</v>
      </c>
      <c r="Z170" s="252">
        <f>VLOOKUP(Tableau1315[[#This Row],[PARCS]],Tableau17[],28,FALSE)</f>
        <v>-2875</v>
      </c>
      <c r="AA170" s="252">
        <f>VLOOKUP(Tableau1315[[#This Row],[PARCS]],Tableau17[],36,FALSE)</f>
        <v>0</v>
      </c>
      <c r="AB170" s="252">
        <f>VLOOKUP(Tableau1315[[#This Row],[PARCS]],Tableau17[],37,FALSE)</f>
        <v>0</v>
      </c>
      <c r="AC170" s="468">
        <f>SUM(Tableau1315[[#This Row],[CONTRAT O&amp;M FORFAIT GROUPE22]:[CHARGES exceptionnels (BONUS, sinistres)77]])</f>
        <v>-428051.07499999995</v>
      </c>
      <c r="AD170" s="252">
        <f>Tableau1315[[#This Row],[TOTAL LE3]]-Tableau1315[[#This Row],[TOTAL BN-1]]</f>
        <v>-185810.40391237312</v>
      </c>
      <c r="AE170" s="351">
        <f>IFERROR((Tableau1315[[#This Row],[TOTAL LE3]]-Tableau1315[[#This Row],[TOTAL BN-1]])/Tableau1315[[#This Row],[TOTAL BN-1]],"")</f>
        <v>0.69885431413642152</v>
      </c>
      <c r="AF170" s="252">
        <f>Tableau1315[[#This Row],[TOTAL BN+1]]-Tableau1315[[#This Row],[TOTAL LE3]]</f>
        <v>23637.925000000047</v>
      </c>
      <c r="AG170" s="351">
        <f>IFERROR((Tableau1315[[#This Row],[TOTAL BN+1]]-Tableau1315[[#This Row],[TOTAL LE3]])/Tableau1315[[#This Row],[TOTAL LE3]],"")</f>
        <v>-5.2332301650029216E-2</v>
      </c>
    </row>
    <row r="171" spans="1:34" hidden="1">
      <c r="A171" s="463" t="s">
        <v>491</v>
      </c>
      <c r="B171" s="464" t="str">
        <f>VLOOKUP(Tableau1315[[#This Row],[PARCS]],Tableau106[],3,FALSE)</f>
        <v>A266</v>
      </c>
      <c r="C171" s="464" t="str">
        <f>VLOOKUP(Tableau1315[[#This Row],[PARCS]],Tableau106[],2,FALSE)</f>
        <v>FR71S05E</v>
      </c>
      <c r="D171" s="465" t="str">
        <f>VLOOKUP(Tableau1315[[#This Row],[PARCS]],Tableau106[],8,FALSE)</f>
        <v>SOLAIRE</v>
      </c>
      <c r="E171" s="465" t="str">
        <f>VLOOKUP(A171,Tableau106[[#Headers],[#Data]],6,FALSE)</f>
        <v>N</v>
      </c>
      <c r="F171" s="466" t="str">
        <f>VLOOKUP(Tableau1315[[#This Row],[PARCS]],Tableau106[],5,FALSE)</f>
        <v>EPIN</v>
      </c>
      <c r="G171" s="464" t="str">
        <f>VLOOKUP(Tableau1315[[#This Row],[PARCS]],Tableau106[],7,FALSE)</f>
        <v>GROUPE</v>
      </c>
      <c r="H171" s="464" t="str">
        <f>VLOOKUP(Tableau1315[[#This Row],[PARCS]],Tableau106[],9,FALSE)</f>
        <v>LoG</v>
      </c>
      <c r="I171" s="350">
        <f>IFERROR(VLOOKUP(Tableau1315[[#This Row],[PARCS]],Tableau15[],10,FALSE),"")</f>
        <v>-14500</v>
      </c>
      <c r="J171" s="20">
        <f>IFERROR(VLOOKUP(Tableau1315[[#This Row],[PARCS]],Tableau15[],18,FALSE),"")</f>
        <v>-2900</v>
      </c>
      <c r="K171" s="252">
        <f>IFERROR(VLOOKUP(Tableau1315[[#This Row],[PARCS]],Tableau15[],19,FALSE),"")</f>
        <v>0</v>
      </c>
      <c r="L171" s="20">
        <f>IFERROR(VLOOKUP(Tableau1315[[#This Row],[PARCS]],Tableau15[],28,FALSE),"")</f>
        <v>-1450</v>
      </c>
      <c r="M171" s="252">
        <f>IFERROR(VLOOKUP(Tableau1315[[#This Row],[PARCS]],Tableau15[],36,FALSE),"")</f>
        <v>0</v>
      </c>
      <c r="N171" s="252">
        <f>IFERROR(VLOOKUP(Tableau1315[[#This Row],[PARCS]],Tableau15[],37,FALSE),"")</f>
        <v>0</v>
      </c>
      <c r="O171" s="467">
        <f>SUM(Tableau1315[[#This Row],[CONTRAT O&amp;M FORFAIT GROUPE]:[CHARGES exceptionnels (BONUS, sinistres)]])</f>
        <v>-18850</v>
      </c>
      <c r="P171" s="354">
        <f>VLOOKUP(Tableau1315[[#This Row],[PARCS]],Tableau16[],10,FALSE)</f>
        <v>-12400</v>
      </c>
      <c r="Q171" s="350">
        <f>VLOOKUP(Tableau1315[[#This Row],[PARCS]],Tableau16[],18,FALSE)</f>
        <v>-2015</v>
      </c>
      <c r="R171" s="350">
        <f>VLOOKUP(Tableau1315[[#This Row],[PARCS]],Tableau16[],19,FALSE)</f>
        <v>0</v>
      </c>
      <c r="S171" s="20">
        <f>VLOOKUP(Tableau1315[[#This Row],[PARCS]],Tableau16[],28,FALSE)</f>
        <v>0</v>
      </c>
      <c r="T171" s="20">
        <f>VLOOKUP(Tableau1315[[#This Row],[PARCS]],Tableau16[],36,FALSE)</f>
        <v>0</v>
      </c>
      <c r="U171" s="20">
        <f>VLOOKUP(Tableau1315[[#This Row],[PARCS]],Tableau16[],37,FALSE)</f>
        <v>0</v>
      </c>
      <c r="V171" s="467">
        <f>SUM(Tableau1315[[#This Row],[CONTRAT O&amp;M FORFAIT GROUPE2]:[CHARGES exceptionnels (BONUS, sinistres)7]])</f>
        <v>-14415</v>
      </c>
      <c r="W171" s="354">
        <f>VLOOKUP(Tableau1315[[#This Row],[PARCS]],Tableau17[],10,FALSE)</f>
        <v>-36107</v>
      </c>
      <c r="X171" s="350">
        <f>VLOOKUP(Tableau1315[[#This Row],[PARCS]],Tableau17[],18,FALSE)</f>
        <v>-775</v>
      </c>
      <c r="Y171" s="350">
        <f>VLOOKUP(Tableau1315[[#This Row],[PARCS]],Tableau17[],19,FALSE)</f>
        <v>0</v>
      </c>
      <c r="Z171" s="350">
        <f>VLOOKUP(Tableau1315[[#This Row],[PARCS]],Tableau17[],28,FALSE)</f>
        <v>-775</v>
      </c>
      <c r="AA171" s="350">
        <f>VLOOKUP(Tableau1315[[#This Row],[PARCS]],Tableau17[],36,FALSE)</f>
        <v>-5000</v>
      </c>
      <c r="AB171" s="252">
        <f>VLOOKUP(Tableau1315[[#This Row],[PARCS]],Tableau17[],37,FALSE)</f>
        <v>0</v>
      </c>
      <c r="AC171" s="468">
        <f>SUM(Tableau1315[[#This Row],[CONTRAT O&amp;M FORFAIT GROUPE22]:[CHARGES exceptionnels (BONUS, sinistres)77]])</f>
        <v>-42657</v>
      </c>
      <c r="AD171" s="252">
        <f>Tableau1315[[#This Row],[TOTAL LE3]]-Tableau1315[[#This Row],[TOTAL BN-1]]</f>
        <v>4435</v>
      </c>
      <c r="AE171" s="351">
        <f>IFERROR((Tableau1315[[#This Row],[TOTAL LE3]]-Tableau1315[[#This Row],[TOTAL BN-1]])/Tableau1315[[#This Row],[TOTAL BN-1]],"")</f>
        <v>-0.23527851458885943</v>
      </c>
      <c r="AF171" s="252">
        <f>Tableau1315[[#This Row],[TOTAL BN+1]]-Tableau1315[[#This Row],[TOTAL LE3]]</f>
        <v>-28242</v>
      </c>
      <c r="AG171" s="351">
        <f>IFERROR((Tableau1315[[#This Row],[TOTAL BN+1]]-Tableau1315[[#This Row],[TOTAL LE3]])/Tableau1315[[#This Row],[TOTAL LE3]],"")</f>
        <v>1.9592091571279917</v>
      </c>
      <c r="AH171" s="6" t="s">
        <v>771</v>
      </c>
    </row>
    <row r="172" spans="1:34" hidden="1">
      <c r="A172" s="463" t="s">
        <v>436</v>
      </c>
      <c r="B172" s="464" t="str">
        <f>VLOOKUP(Tableau1315[[#This Row],[PARCS]],Tableau106[],3,FALSE)</f>
        <v>A280</v>
      </c>
      <c r="C172" s="464" t="str">
        <f>VLOOKUP(Tableau1315[[#This Row],[PARCS]],Tableau106[],2,FALSE)</f>
        <v>FR89E08E</v>
      </c>
      <c r="D172" s="465" t="str">
        <f>VLOOKUP(Tableau1315[[#This Row],[PARCS]],Tableau106[],8,FALSE)</f>
        <v>EOLIEN</v>
      </c>
      <c r="E172" s="465" t="str">
        <f>VLOOKUP(A172,Tableau106[[#Headers],[#Data]],6,FALSE)</f>
        <v>N</v>
      </c>
      <c r="F172" s="466" t="str">
        <f>VLOOKUP(Tableau1315[[#This Row],[PARCS]],Tableau106[],5,FALSE)</f>
        <v>TLGR</v>
      </c>
      <c r="G172" s="464" t="str">
        <f>VLOOKUP(Tableau1315[[#This Row],[PARCS]],Tableau106[],7,FALSE)</f>
        <v>GROUPE</v>
      </c>
      <c r="H172" s="464" t="str">
        <f>VLOOKUP(Tableau1315[[#This Row],[PARCS]],Tableau106[],9,FALSE)</f>
        <v>LoH</v>
      </c>
      <c r="I172" s="350">
        <f>IFERROR(VLOOKUP(Tableau1315[[#This Row],[PARCS]],Tableau15[],10,FALSE),"")</f>
        <v>-9178.1913070866121</v>
      </c>
      <c r="J172" s="20">
        <f>IFERROR(VLOOKUP(Tableau1315[[#This Row],[PARCS]],Tableau15[],18,FALSE),"")</f>
        <v>-20000</v>
      </c>
      <c r="K172" s="252">
        <f>IFERROR(VLOOKUP(Tableau1315[[#This Row],[PARCS]],Tableau15[],19,FALSE),"")</f>
        <v>0</v>
      </c>
      <c r="L172" s="20">
        <f>IFERROR(VLOOKUP(Tableau1315[[#This Row],[PARCS]],Tableau15[],28,FALSE),"")</f>
        <v>-10000</v>
      </c>
      <c r="M172" s="252">
        <f>IFERROR(VLOOKUP(Tableau1315[[#This Row],[PARCS]],Tableau15[],36,FALSE),"")</f>
        <v>-42000</v>
      </c>
      <c r="N172" s="252">
        <f>IFERROR(VLOOKUP(Tableau1315[[#This Row],[PARCS]],Tableau15[],37,FALSE),"")</f>
        <v>0</v>
      </c>
      <c r="O172" s="467">
        <f>SUM(Tableau1315[[#This Row],[CONTRAT O&amp;M FORFAIT GROUPE]:[CHARGES exceptionnels (BONUS, sinistres)]])</f>
        <v>-81178.191307086614</v>
      </c>
      <c r="P172" s="354">
        <f>VLOOKUP(Tableau1315[[#This Row],[PARCS]],Tableau16[],10,FALSE)</f>
        <v>-9230</v>
      </c>
      <c r="Q172" s="252">
        <f>VLOOKUP(Tableau1315[[#This Row],[PARCS]],Tableau16[],18,FALSE)</f>
        <v>-11436</v>
      </c>
      <c r="R172" s="252">
        <f>VLOOKUP(Tableau1315[[#This Row],[PARCS]],Tableau16[],19,FALSE)</f>
        <v>-220826</v>
      </c>
      <c r="S172" s="252">
        <f>VLOOKUP(Tableau1315[[#This Row],[PARCS]],Tableau16[],28,FALSE)</f>
        <v>-7400</v>
      </c>
      <c r="T172" s="252">
        <f>VLOOKUP(Tableau1315[[#This Row],[PARCS]],Tableau16[],36,FALSE)</f>
        <v>-42667.880000000005</v>
      </c>
      <c r="U172" s="252">
        <f>VLOOKUP(Tableau1315[[#This Row],[PARCS]],Tableau16[],37,FALSE)</f>
        <v>-2000</v>
      </c>
      <c r="V172" s="467">
        <f>SUM(Tableau1315[[#This Row],[CONTRAT O&amp;M FORFAIT GROUPE2]:[CHARGES exceptionnels (BONUS, sinistres)7]])</f>
        <v>-293559.88</v>
      </c>
      <c r="W172" s="354">
        <f>VLOOKUP(Tableau1315[[#This Row],[PARCS]],Tableau17[],10,FALSE)</f>
        <v>-9460.75</v>
      </c>
      <c r="X172" s="252">
        <f>VLOOKUP(Tableau1315[[#This Row],[PARCS]],Tableau17[],18,FALSE)</f>
        <v>-11476</v>
      </c>
      <c r="Y172" s="252">
        <f>VLOOKUP(Tableau1315[[#This Row],[PARCS]],Tableau17[],19,FALSE)</f>
        <v>-226346.65</v>
      </c>
      <c r="Z172" s="252">
        <f>VLOOKUP(Tableau1315[[#This Row],[PARCS]],Tableau17[],28,FALSE)</f>
        <v>-5400</v>
      </c>
      <c r="AA172" s="252">
        <f>VLOOKUP(Tableau1315[[#This Row],[PARCS]],Tableau17[],36,FALSE)</f>
        <v>-35047.1</v>
      </c>
      <c r="AB172" s="252">
        <f>VLOOKUP(Tableau1315[[#This Row],[PARCS]],Tableau17[],37,FALSE)</f>
        <v>0</v>
      </c>
      <c r="AC172" s="468">
        <f>SUM(Tableau1315[[#This Row],[CONTRAT O&amp;M FORFAIT GROUPE22]:[CHARGES exceptionnels (BONUS, sinistres)77]])</f>
        <v>-287730.5</v>
      </c>
      <c r="AD172" s="252">
        <f>Tableau1315[[#This Row],[TOTAL LE3]]-Tableau1315[[#This Row],[TOTAL BN-1]]</f>
        <v>-212381.68869291339</v>
      </c>
      <c r="AE172" s="351">
        <f>IFERROR((Tableau1315[[#This Row],[TOTAL LE3]]-Tableau1315[[#This Row],[TOTAL BN-1]])/Tableau1315[[#This Row],[TOTAL BN-1]],"")</f>
        <v>2.6162407079199497</v>
      </c>
      <c r="AF172" s="252">
        <f>Tableau1315[[#This Row],[TOTAL BN+1]]-Tableau1315[[#This Row],[TOTAL LE3]]</f>
        <v>5829.3800000000047</v>
      </c>
      <c r="AG172" s="351">
        <f>IFERROR((Tableau1315[[#This Row],[TOTAL BN+1]]-Tableau1315[[#This Row],[TOTAL LE3]])/Tableau1315[[#This Row],[TOTAL LE3]],"")</f>
        <v>-1.9857550016712109E-2</v>
      </c>
    </row>
    <row r="173" spans="1:34" hidden="1">
      <c r="A173" s="463" t="s">
        <v>486</v>
      </c>
      <c r="B173" s="464" t="str">
        <f>VLOOKUP(Tableau1315[[#This Row],[PARCS]],Tableau106[],3,FALSE)</f>
        <v>A290</v>
      </c>
      <c r="C173" s="464" t="str">
        <f>VLOOKUP(Tableau1315[[#This Row],[PARCS]],Tableau106[],2,FALSE)</f>
        <v>FR38S07E</v>
      </c>
      <c r="D173" s="465" t="str">
        <f>VLOOKUP(Tableau1315[[#This Row],[PARCS]],Tableau106[],8,FALSE)</f>
        <v>SOLAIRE</v>
      </c>
      <c r="E173" s="465" t="str">
        <f>VLOOKUP(A173,Tableau106[[#Headers],[#Data]],6,FALSE)</f>
        <v>S</v>
      </c>
      <c r="F173" s="466" t="str">
        <f>VLOOKUP(Tableau1315[[#This Row],[PARCS]],Tableau106[],5,FALSE)</f>
        <v>CRMA</v>
      </c>
      <c r="G173" s="464" t="str">
        <f>VLOOKUP(Tableau1315[[#This Row],[PARCS]],Tableau106[],7,FALSE)</f>
        <v>GROUPE</v>
      </c>
      <c r="H173" s="464" t="str">
        <f>VLOOKUP(Tableau1315[[#This Row],[PARCS]],Tableau106[],9,FALSE)</f>
        <v>ZaA</v>
      </c>
      <c r="I173" s="350">
        <f>IFERROR(VLOOKUP(Tableau1315[[#This Row],[PARCS]],Tableau15[],10,FALSE),"")</f>
        <v>-88128</v>
      </c>
      <c r="J173" s="20">
        <f>IFERROR(VLOOKUP(Tableau1315[[#This Row],[PARCS]],Tableau15[],18,FALSE),"")</f>
        <v>-10800</v>
      </c>
      <c r="K173" s="252">
        <f>IFERROR(VLOOKUP(Tableau1315[[#This Row],[PARCS]],Tableau15[],19,FALSE),"")</f>
        <v>0</v>
      </c>
      <c r="L173" s="20">
        <f>IFERROR(VLOOKUP(Tableau1315[[#This Row],[PARCS]],Tableau15[],28,FALSE),"")</f>
        <v>-5400</v>
      </c>
      <c r="M173" s="252">
        <f>IFERROR(VLOOKUP(Tableau1315[[#This Row],[PARCS]],Tableau15[],36,FALSE),"")</f>
        <v>-19000</v>
      </c>
      <c r="N173" s="252">
        <f>IFERROR(VLOOKUP(Tableau1315[[#This Row],[PARCS]],Tableau15[],37,FALSE),"")</f>
        <v>0</v>
      </c>
      <c r="O173" s="467">
        <f>SUM(Tableau1315[[#This Row],[CONTRAT O&amp;M FORFAIT GROUPE]:[CHARGES exceptionnels (BONUS, sinistres)]])</f>
        <v>-123328</v>
      </c>
      <c r="P173" s="354">
        <f>VLOOKUP(Tableau1315[[#This Row],[PARCS]],Tableau16[],10,FALSE)</f>
        <v>-75355</v>
      </c>
      <c r="Q173" s="350">
        <f>VLOOKUP(Tableau1315[[#This Row],[PARCS]],Tableau16[],18,FALSE)</f>
        <v>-7535.5</v>
      </c>
      <c r="R173" s="350">
        <f>VLOOKUP(Tableau1315[[#This Row],[PARCS]],Tableau16[],19,FALSE)</f>
        <v>0</v>
      </c>
      <c r="S173" s="20">
        <f>VLOOKUP(Tableau1315[[#This Row],[PARCS]],Tableau16[],28,FALSE)</f>
        <v>-3240</v>
      </c>
      <c r="T173" s="20">
        <f>VLOOKUP(Tableau1315[[#This Row],[PARCS]],Tableau16[],36,FALSE)</f>
        <v>-7944</v>
      </c>
      <c r="U173" s="20">
        <f>VLOOKUP(Tableau1315[[#This Row],[PARCS]],Tableau16[],37,FALSE)</f>
        <v>0</v>
      </c>
      <c r="V173" s="467">
        <f>SUM(Tableau1315[[#This Row],[CONTRAT O&amp;M FORFAIT GROUPE2]:[CHARGES exceptionnels (BONUS, sinistres)7]])</f>
        <v>-94074.5</v>
      </c>
      <c r="W173" s="354">
        <f>VLOOKUP(Tableau1315[[#This Row],[PARCS]],Tableau17[],10,FALSE)</f>
        <v>-77238.875</v>
      </c>
      <c r="X173" s="350">
        <f>VLOOKUP(Tableau1315[[#This Row],[PARCS]],Tableau17[],18,FALSE)</f>
        <v>-2700</v>
      </c>
      <c r="Y173" s="350">
        <f>VLOOKUP(Tableau1315[[#This Row],[PARCS]],Tableau17[],19,FALSE)</f>
        <v>0</v>
      </c>
      <c r="Z173" s="350">
        <f>VLOOKUP(Tableau1315[[#This Row],[PARCS]],Tableau17[],28,FALSE)</f>
        <v>-2700</v>
      </c>
      <c r="AA173" s="350">
        <f>VLOOKUP(Tableau1315[[#This Row],[PARCS]],Tableau17[],36,FALSE)</f>
        <v>-10000</v>
      </c>
      <c r="AB173" s="252">
        <f>VLOOKUP(Tableau1315[[#This Row],[PARCS]],Tableau17[],37,FALSE)</f>
        <v>0</v>
      </c>
      <c r="AC173" s="468">
        <f>SUM(Tableau1315[[#This Row],[CONTRAT O&amp;M FORFAIT GROUPE22]:[CHARGES exceptionnels (BONUS, sinistres)77]])</f>
        <v>-92638.875</v>
      </c>
      <c r="AD173" s="252">
        <f>Tableau1315[[#This Row],[TOTAL LE3]]-Tableau1315[[#This Row],[TOTAL BN-1]]</f>
        <v>29253.5</v>
      </c>
      <c r="AE173" s="351">
        <f>IFERROR((Tableau1315[[#This Row],[TOTAL LE3]]-Tableau1315[[#This Row],[TOTAL BN-1]])/Tableau1315[[#This Row],[TOTAL BN-1]],"")</f>
        <v>-0.23720079787234041</v>
      </c>
      <c r="AF173" s="252">
        <f>Tableau1315[[#This Row],[TOTAL BN+1]]-Tableau1315[[#This Row],[TOTAL LE3]]</f>
        <v>1435.625</v>
      </c>
      <c r="AG173" s="351">
        <f>IFERROR((Tableau1315[[#This Row],[TOTAL BN+1]]-Tableau1315[[#This Row],[TOTAL LE3]])/Tableau1315[[#This Row],[TOTAL LE3]],"")</f>
        <v>-1.5260511615793865E-2</v>
      </c>
    </row>
    <row r="174" spans="1:34" hidden="1">
      <c r="A174" s="463" t="s">
        <v>592</v>
      </c>
      <c r="B174" s="464" t="str">
        <f>VLOOKUP(Tableau1315[[#This Row],[PARCS]],Tableau106[],3,FALSE)</f>
        <v>A257</v>
      </c>
      <c r="C174" s="464" t="str">
        <f>VLOOKUP(Tableau1315[[#This Row],[PARCS]],Tableau106[],2,FALSE)</f>
        <v>FR01S03E</v>
      </c>
      <c r="D174" s="465" t="str">
        <f>VLOOKUP(Tableau1315[[#This Row],[PARCS]],Tableau106[],8,FALSE)</f>
        <v>SOLAIRE</v>
      </c>
      <c r="E174" s="465" t="str">
        <f>VLOOKUP(A174,Tableau106[[#Headers],[#Data]],6,FALSE)</f>
        <v>S</v>
      </c>
      <c r="F174" s="466" t="str">
        <f>VLOOKUP(Tableau1315[[#This Row],[PARCS]],Tableau106[],5,FALSE)</f>
        <v>SAMO</v>
      </c>
      <c r="G174" s="464" t="str">
        <f>VLOOKUP(Tableau1315[[#This Row],[PARCS]],Tableau106[],7,FALSE)</f>
        <v>GROUPE</v>
      </c>
      <c r="H174" s="464" t="str">
        <f>VLOOKUP(Tableau1315[[#This Row],[PARCS]],Tableau106[],9,FALSE)</f>
        <v>ArB</v>
      </c>
      <c r="I174" s="350">
        <f>IFERROR(VLOOKUP(Tableau1315[[#This Row],[PARCS]],Tableau15[],10,FALSE),"")</f>
        <v>-23500</v>
      </c>
      <c r="J174" s="20">
        <f>IFERROR(VLOOKUP(Tableau1315[[#This Row],[PARCS]],Tableau15[],18,FALSE),"")</f>
        <v>-19645</v>
      </c>
      <c r="K174" s="252">
        <f>IFERROR(VLOOKUP(Tableau1315[[#This Row],[PARCS]],Tableau15[],19,FALSE),"")</f>
        <v>0</v>
      </c>
      <c r="L174" s="20">
        <f>IFERROR(VLOOKUP(Tableau1315[[#This Row],[PARCS]],Tableau15[],28,FALSE),"")</f>
        <v>0</v>
      </c>
      <c r="M174" s="252">
        <f>IFERROR(VLOOKUP(Tableau1315[[#This Row],[PARCS]],Tableau15[],36,FALSE),"")</f>
        <v>0</v>
      </c>
      <c r="N174" s="252">
        <f>IFERROR(VLOOKUP(Tableau1315[[#This Row],[PARCS]],Tableau15[],37,FALSE),"")</f>
        <v>0</v>
      </c>
      <c r="O174" s="467">
        <f>SUM(Tableau1315[[#This Row],[CONTRAT O&amp;M FORFAIT GROUPE]:[CHARGES exceptionnels (BONUS, sinistres)]])</f>
        <v>-43145</v>
      </c>
      <c r="P174" s="354">
        <f>VLOOKUP(Tableau1315[[#This Row],[PARCS]],Tableau16[],10,FALSE)</f>
        <v>0</v>
      </c>
      <c r="Q174" s="252">
        <f>VLOOKUP(Tableau1315[[#This Row],[PARCS]],Tableau16[],18,FALSE)</f>
        <v>-900</v>
      </c>
      <c r="R174" s="252">
        <f>VLOOKUP(Tableau1315[[#This Row],[PARCS]],Tableau16[],19,FALSE)</f>
        <v>-23750</v>
      </c>
      <c r="S174" s="252">
        <f>VLOOKUP(Tableau1315[[#This Row],[PARCS]],Tableau16[],28,FALSE)</f>
        <v>-7081</v>
      </c>
      <c r="T174" s="252">
        <f>VLOOKUP(Tableau1315[[#This Row],[PARCS]],Tableau16[],36,FALSE)</f>
        <v>0</v>
      </c>
      <c r="U174" s="252">
        <f>VLOOKUP(Tableau1315[[#This Row],[PARCS]],Tableau16[],37,FALSE)</f>
        <v>0</v>
      </c>
      <c r="V174" s="467">
        <f>SUM(Tableau1315[[#This Row],[CONTRAT O&amp;M FORFAIT GROUPE2]:[CHARGES exceptionnels (BONUS, sinistres)7]])</f>
        <v>-31731</v>
      </c>
      <c r="W174" s="354">
        <f>VLOOKUP(Tableau1315[[#This Row],[PARCS]],Tableau17[],10,FALSE)</f>
        <v>0</v>
      </c>
      <c r="X174" s="252">
        <f>VLOOKUP(Tableau1315[[#This Row],[PARCS]],Tableau17[],18,FALSE)</f>
        <v>0</v>
      </c>
      <c r="Y174" s="252">
        <f>VLOOKUP(Tableau1315[[#This Row],[PARCS]],Tableau17[],19,FALSE)</f>
        <v>-24343.749999999996</v>
      </c>
      <c r="Z174" s="252">
        <f>VLOOKUP(Tableau1315[[#This Row],[PARCS]],Tableau17[],28,FALSE)</f>
        <v>-7081</v>
      </c>
      <c r="AA174" s="252">
        <f>VLOOKUP(Tableau1315[[#This Row],[PARCS]],Tableau17[],36,FALSE)</f>
        <v>-5000</v>
      </c>
      <c r="AB174" s="252">
        <f>VLOOKUP(Tableau1315[[#This Row],[PARCS]],Tableau17[],37,FALSE)</f>
        <v>0</v>
      </c>
      <c r="AC174" s="468">
        <f>SUM(Tableau1315[[#This Row],[CONTRAT O&amp;M FORFAIT GROUPE22]:[CHARGES exceptionnels (BONUS, sinistres)77]])</f>
        <v>-36424.75</v>
      </c>
      <c r="AD174" s="252">
        <f>Tableau1315[[#This Row],[TOTAL LE3]]-Tableau1315[[#This Row],[TOTAL BN-1]]</f>
        <v>11414</v>
      </c>
      <c r="AE174" s="351">
        <f>IFERROR((Tableau1315[[#This Row],[TOTAL LE3]]-Tableau1315[[#This Row],[TOTAL BN-1]])/Tableau1315[[#This Row],[TOTAL BN-1]],"")</f>
        <v>-0.26454977401784679</v>
      </c>
      <c r="AF174" s="252">
        <f>Tableau1315[[#This Row],[TOTAL BN+1]]-Tableau1315[[#This Row],[TOTAL LE3]]</f>
        <v>-4693.75</v>
      </c>
      <c r="AG174" s="351">
        <f>IFERROR((Tableau1315[[#This Row],[TOTAL BN+1]]-Tableau1315[[#This Row],[TOTAL LE3]])/Tableau1315[[#This Row],[TOTAL LE3]],"")</f>
        <v>0.14792316661939428</v>
      </c>
      <c r="AH174" s="6" t="s">
        <v>772</v>
      </c>
    </row>
    <row r="175" spans="1:34" hidden="1">
      <c r="A175" s="463" t="s">
        <v>522</v>
      </c>
      <c r="B175" s="464" t="str">
        <f>VLOOKUP(Tableau1315[[#This Row],[PARCS]],Tableau106[],3,FALSE)</f>
        <v>A258</v>
      </c>
      <c r="C175" s="464" t="str">
        <f>VLOOKUP(Tableau1315[[#This Row],[PARCS]],Tableau106[],2,FALSE)</f>
        <v>FR05S02E</v>
      </c>
      <c r="D175" s="465" t="str">
        <f>VLOOKUP(Tableau1315[[#This Row],[PARCS]],Tableau106[],8,FALSE)</f>
        <v>SOLAIRE</v>
      </c>
      <c r="E175" s="465" t="str">
        <f>VLOOKUP(A175,Tableau106[[#Headers],[#Data]],6,FALSE)</f>
        <v>S</v>
      </c>
      <c r="F175" s="466" t="str">
        <f>VLOOKUP(Tableau1315[[#This Row],[PARCS]],Tableau106[],5,FALSE)</f>
        <v>LAZE</v>
      </c>
      <c r="G175" s="464" t="str">
        <f>VLOOKUP(Tableau1315[[#This Row],[PARCS]],Tableau106[],7,FALSE)</f>
        <v>GROUPE</v>
      </c>
      <c r="H175" s="464" t="str">
        <f>VLOOKUP(Tableau1315[[#This Row],[PARCS]],Tableau106[],9,FALSE)</f>
        <v>ArB</v>
      </c>
      <c r="I175" s="350">
        <f>IFERROR(VLOOKUP(Tableau1315[[#This Row],[PARCS]],Tableau15[],10,FALSE),"")</f>
        <v>0</v>
      </c>
      <c r="J175" s="20">
        <f>IFERROR(VLOOKUP(Tableau1315[[#This Row],[PARCS]],Tableau15[],18,FALSE),"")</f>
        <v>-18800</v>
      </c>
      <c r="K175" s="252">
        <f>IFERROR(VLOOKUP(Tableau1315[[#This Row],[PARCS]],Tableau15[],19,FALSE),"")</f>
        <v>-150400</v>
      </c>
      <c r="L175" s="20">
        <f>IFERROR(VLOOKUP(Tableau1315[[#This Row],[PARCS]],Tableau15[],28,FALSE),"")</f>
        <v>-9400</v>
      </c>
      <c r="M175" s="252">
        <f>IFERROR(VLOOKUP(Tableau1315[[#This Row],[PARCS]],Tableau15[],36,FALSE),"")</f>
        <v>-5300</v>
      </c>
      <c r="N175" s="252">
        <f>IFERROR(VLOOKUP(Tableau1315[[#This Row],[PARCS]],Tableau15[],37,FALSE),"")</f>
        <v>0</v>
      </c>
      <c r="O175" s="467">
        <f>SUM(Tableau1315[[#This Row],[CONTRAT O&amp;M FORFAIT GROUPE]:[CHARGES exceptionnels (BONUS, sinistres)]])</f>
        <v>-183900</v>
      </c>
      <c r="P175" s="354">
        <f>VLOOKUP(Tableau1315[[#This Row],[PARCS]],Tableau16[],10,FALSE)</f>
        <v>-80000</v>
      </c>
      <c r="Q175" s="350">
        <f>VLOOKUP(Tableau1315[[#This Row],[PARCS]],Tableau16[],18,FALSE)</f>
        <v>-4950</v>
      </c>
      <c r="R175" s="350">
        <f>VLOOKUP(Tableau1315[[#This Row],[PARCS]],Tableau16[],19,FALSE)</f>
        <v>0</v>
      </c>
      <c r="S175" s="20">
        <f>VLOOKUP(Tableau1315[[#This Row],[PARCS]],Tableau16[],28,FALSE)</f>
        <v>-12950</v>
      </c>
      <c r="T175" s="20">
        <f>VLOOKUP(Tableau1315[[#This Row],[PARCS]],Tableau16[],36,FALSE)</f>
        <v>0</v>
      </c>
      <c r="U175" s="20">
        <f>VLOOKUP(Tableau1315[[#This Row],[PARCS]],Tableau16[],37,FALSE)</f>
        <v>0</v>
      </c>
      <c r="V175" s="467">
        <f>SUM(Tableau1315[[#This Row],[CONTRAT O&amp;M FORFAIT GROUPE2]:[CHARGES exceptionnels (BONUS, sinistres)7]])</f>
        <v>-97900</v>
      </c>
      <c r="W175" s="354">
        <f>VLOOKUP(Tableau1315[[#This Row],[PARCS]],Tableau17[],10,FALSE)</f>
        <v>-160000</v>
      </c>
      <c r="X175" s="350">
        <f>VLOOKUP(Tableau1315[[#This Row],[PARCS]],Tableau17[],18,FALSE)</f>
        <v>-4950</v>
      </c>
      <c r="Y175" s="350">
        <f>VLOOKUP(Tableau1315[[#This Row],[PARCS]],Tableau17[],19,FALSE)</f>
        <v>0</v>
      </c>
      <c r="Z175" s="350">
        <f>VLOOKUP(Tableau1315[[#This Row],[PARCS]],Tableau17[],28,FALSE)</f>
        <v>-24950</v>
      </c>
      <c r="AA175" s="350">
        <f>VLOOKUP(Tableau1315[[#This Row],[PARCS]],Tableau17[],36,FALSE)</f>
        <v>-5300</v>
      </c>
      <c r="AB175" s="252">
        <f>VLOOKUP(Tableau1315[[#This Row],[PARCS]],Tableau17[],37,FALSE)</f>
        <v>0</v>
      </c>
      <c r="AC175" s="468">
        <f>SUM(Tableau1315[[#This Row],[CONTRAT O&amp;M FORFAIT GROUPE22]:[CHARGES exceptionnels (BONUS, sinistres)77]])</f>
        <v>-195200</v>
      </c>
      <c r="AD175" s="252">
        <f>Tableau1315[[#This Row],[TOTAL LE3]]-Tableau1315[[#This Row],[TOTAL BN-1]]</f>
        <v>86000</v>
      </c>
      <c r="AE175" s="351">
        <f>IFERROR((Tableau1315[[#This Row],[TOTAL LE3]]-Tableau1315[[#This Row],[TOTAL BN-1]])/Tableau1315[[#This Row],[TOTAL BN-1]],"")</f>
        <v>-0.46764545948885261</v>
      </c>
      <c r="AF175" s="252">
        <f>Tableau1315[[#This Row],[TOTAL BN+1]]-Tableau1315[[#This Row],[TOTAL LE3]]</f>
        <v>-97300</v>
      </c>
      <c r="AG175" s="351">
        <f>IFERROR((Tableau1315[[#This Row],[TOTAL BN+1]]-Tableau1315[[#This Row],[TOTAL LE3]])/Tableau1315[[#This Row],[TOTAL LE3]],"")</f>
        <v>0.99387129724208378</v>
      </c>
      <c r="AH175" s="6" t="s">
        <v>773</v>
      </c>
    </row>
    <row r="176" spans="1:34" hidden="1">
      <c r="A176" s="463" t="s">
        <v>451</v>
      </c>
      <c r="B176" s="464" t="str">
        <f>VLOOKUP(Tableau1315[[#This Row],[PARCS]],Tableau106[],3,FALSE)</f>
        <v>A541</v>
      </c>
      <c r="C176" s="464" t="str">
        <f>VLOOKUP(Tableau1315[[#This Row],[PARCS]],Tableau106[],2,FALSE)</f>
        <v>FR79E02E</v>
      </c>
      <c r="D176" s="465" t="str">
        <f>VLOOKUP(Tableau1315[[#This Row],[PARCS]],Tableau106[],8,FALSE)</f>
        <v>EOLIEN</v>
      </c>
      <c r="E176" s="465" t="str">
        <f>VLOOKUP(A176,Tableau106[[#Headers],[#Data]],6,FALSE)</f>
        <v>N</v>
      </c>
      <c r="F176" s="466" t="str">
        <f>VLOOKUP(Tableau1315[[#This Row],[PARCS]],Tableau106[],5,FALSE)</f>
        <v>TRAY</v>
      </c>
      <c r="G176" s="464" t="str">
        <f>VLOOKUP(Tableau1315[[#This Row],[PARCS]],Tableau106[],7,FALSE)</f>
        <v>EGM</v>
      </c>
      <c r="H176" s="464" t="str">
        <f>VLOOKUP(Tableau1315[[#This Row],[PARCS]],Tableau106[],9,FALSE)</f>
        <v>BoK</v>
      </c>
      <c r="I176" s="350">
        <f>IFERROR(VLOOKUP(Tableau1315[[#This Row],[PARCS]],Tableau15[],10,FALSE),"")</f>
        <v>-256678.59608762685</v>
      </c>
      <c r="J176" s="20">
        <f>IFERROR(VLOOKUP(Tableau1315[[#This Row],[PARCS]],Tableau15[],18,FALSE),"")</f>
        <v>-129930</v>
      </c>
      <c r="K176" s="252">
        <f>IFERROR(VLOOKUP(Tableau1315[[#This Row],[PARCS]],Tableau15[],19,FALSE),"")</f>
        <v>0</v>
      </c>
      <c r="L176" s="20">
        <f>IFERROR(VLOOKUP(Tableau1315[[#This Row],[PARCS]],Tableau15[],28,FALSE),"")</f>
        <v>-127465</v>
      </c>
      <c r="M176" s="252">
        <f>IFERROR(VLOOKUP(Tableau1315[[#This Row],[PARCS]],Tableau15[],36,FALSE),"")</f>
        <v>0</v>
      </c>
      <c r="N176" s="252">
        <f>IFERROR(VLOOKUP(Tableau1315[[#This Row],[PARCS]],Tableau15[],37,FALSE),"")</f>
        <v>-85000</v>
      </c>
      <c r="O176" s="467">
        <f>SUM(Tableau1315[[#This Row],[CONTRAT O&amp;M FORFAIT GROUPE]:[CHARGES exceptionnels (BONUS, sinistres)]])</f>
        <v>-599073.59608762688</v>
      </c>
      <c r="P176" s="354">
        <f>VLOOKUP(Tableau1315[[#This Row],[PARCS]],Tableau16[],10,FALSE)</f>
        <v>-258123</v>
      </c>
      <c r="Q176" s="252">
        <f>VLOOKUP(Tableau1315[[#This Row],[PARCS]],Tableau16[],18,FALSE)</f>
        <v>-409500</v>
      </c>
      <c r="R176" s="252">
        <f>VLOOKUP(Tableau1315[[#This Row],[PARCS]],Tableau16[],19,FALSE)</f>
        <v>0</v>
      </c>
      <c r="S176" s="252">
        <f>VLOOKUP(Tableau1315[[#This Row],[PARCS]],Tableau16[],28,FALSE)</f>
        <v>-116250</v>
      </c>
      <c r="T176" s="252">
        <f>VLOOKUP(Tableau1315[[#This Row],[PARCS]],Tableau16[],36,FALSE)</f>
        <v>-36071.72</v>
      </c>
      <c r="U176" s="252">
        <f>VLOOKUP(Tableau1315[[#This Row],[PARCS]],Tableau16[],37,FALSE)</f>
        <v>0</v>
      </c>
      <c r="V176" s="467">
        <f>SUM(Tableau1315[[#This Row],[CONTRAT O&amp;M FORFAIT GROUPE2]:[CHARGES exceptionnels (BONUS, sinistres)7]])</f>
        <v>-819944.72</v>
      </c>
      <c r="W176" s="354">
        <f>VLOOKUP(Tableau1315[[#This Row],[PARCS]],Tableau17[],10,FALSE)</f>
        <v>-264576.07499999995</v>
      </c>
      <c r="X176" s="252">
        <f>VLOOKUP(Tableau1315[[#This Row],[PARCS]],Tableau17[],18,FALSE)</f>
        <v>-192500</v>
      </c>
      <c r="Y176" s="252">
        <f>VLOOKUP(Tableau1315[[#This Row],[PARCS]],Tableau17[],19,FALSE)</f>
        <v>0</v>
      </c>
      <c r="Z176" s="252">
        <f>VLOOKUP(Tableau1315[[#This Row],[PARCS]],Tableau17[],28,FALSE)</f>
        <v>-42500</v>
      </c>
      <c r="AA176" s="252">
        <f>VLOOKUP(Tableau1315[[#This Row],[PARCS]],Tableau17[],36,FALSE)</f>
        <v>-36047.1</v>
      </c>
      <c r="AB176" s="252">
        <f>VLOOKUP(Tableau1315[[#This Row],[PARCS]],Tableau17[],37,FALSE)</f>
        <v>0</v>
      </c>
      <c r="AC176" s="468">
        <f>SUM(Tableau1315[[#This Row],[CONTRAT O&amp;M FORFAIT GROUPE22]:[CHARGES exceptionnels (BONUS, sinistres)77]])</f>
        <v>-535623.17499999993</v>
      </c>
      <c r="AD176" s="252">
        <f>Tableau1315[[#This Row],[TOTAL LE3]]-Tableau1315[[#This Row],[TOTAL BN-1]]</f>
        <v>-220871.12391237309</v>
      </c>
      <c r="AE176" s="351">
        <f>IFERROR((Tableau1315[[#This Row],[TOTAL LE3]]-Tableau1315[[#This Row],[TOTAL BN-1]])/Tableau1315[[#This Row],[TOTAL BN-1]],"")</f>
        <v>0.36868779621538539</v>
      </c>
      <c r="AF176" s="252">
        <f>Tableau1315[[#This Row],[TOTAL BN+1]]-Tableau1315[[#This Row],[TOTAL LE3]]</f>
        <v>284321.54500000004</v>
      </c>
      <c r="AG176" s="351">
        <f>IFERROR((Tableau1315[[#This Row],[TOTAL BN+1]]-Tableau1315[[#This Row],[TOTAL LE3]])/Tableau1315[[#This Row],[TOTAL LE3]],"")</f>
        <v>-0.34675696795754724</v>
      </c>
    </row>
    <row r="177" spans="1:34">
      <c r="A177" s="463" t="s">
        <v>349</v>
      </c>
      <c r="B177" s="464" t="str">
        <f>VLOOKUP(Tableau1315[[#This Row],[PARCS]],Tableau106[],3,FALSE)</f>
        <v>F099</v>
      </c>
      <c r="C177" s="464" t="str">
        <f>VLOOKUP(Tableau1315[[#This Row],[PARCS]],Tableau106[],2,FALSE)</f>
        <v>FR12E93E</v>
      </c>
      <c r="D177" s="465" t="str">
        <f>VLOOKUP(Tableau1315[[#This Row],[PARCS]],Tableau106[],8,FALSE)</f>
        <v>EOLIEN</v>
      </c>
      <c r="E177" s="465" t="str">
        <f>VLOOKUP(A177,Tableau106[[#Headers],[#Data]],6,FALSE)</f>
        <v>S</v>
      </c>
      <c r="F177" s="466" t="str">
        <f>VLOOKUP(Tableau1315[[#This Row],[PARCS]],Tableau106[],5,FALSE)</f>
        <v>FAYD</v>
      </c>
      <c r="G177" s="464" t="str">
        <f>VLOOKUP(Tableau1315[[#This Row],[PARCS]],Tableau106[],7,FALSE)</f>
        <v>FUTUREN</v>
      </c>
      <c r="H177" s="464" t="str">
        <f>VLOOKUP(Tableau1315[[#This Row],[PARCS]],Tableau106[],9,FALSE)</f>
        <v>OdP</v>
      </c>
      <c r="I177" s="350">
        <f>IFERROR(VLOOKUP(Tableau1315[[#This Row],[PARCS]],Tableau15[],10,FALSE),"")</f>
        <v>-9472.6677165354322</v>
      </c>
      <c r="J177" s="20">
        <f>IFERROR(VLOOKUP(Tableau1315[[#This Row],[PARCS]],Tableau15[],18,FALSE),"")</f>
        <v>-13800</v>
      </c>
      <c r="K177" s="252">
        <f>IFERROR(VLOOKUP(Tableau1315[[#This Row],[PARCS]],Tableau15[],19,FALSE),"")</f>
        <v>-245367.1905</v>
      </c>
      <c r="L177" s="20">
        <f>IFERROR(VLOOKUP(Tableau1315[[#This Row],[PARCS]],Tableau15[],28,FALSE),"")</f>
        <v>-17400</v>
      </c>
      <c r="M177" s="252">
        <f>IFERROR(VLOOKUP(Tableau1315[[#This Row],[PARCS]],Tableau15[],36,FALSE),"")</f>
        <v>-10000</v>
      </c>
      <c r="N177" s="252">
        <f>IFERROR(VLOOKUP(Tableau1315[[#This Row],[PARCS]],Tableau15[],37,FALSE),"")</f>
        <v>0</v>
      </c>
      <c r="O177" s="467">
        <f>SUM(Tableau1315[[#This Row],[CONTRAT O&amp;M FORFAIT GROUPE]:[CHARGES exceptionnels (BONUS, sinistres)]])</f>
        <v>-296039.85821653542</v>
      </c>
      <c r="P177" s="354">
        <f>VLOOKUP(Tableau1315[[#This Row],[PARCS]],Tableau16[],10,FALSE)</f>
        <v>-9526</v>
      </c>
      <c r="Q177" s="252">
        <f>VLOOKUP(Tableau1315[[#This Row],[PARCS]],Tableau16[],18,FALSE)</f>
        <v>-12320</v>
      </c>
      <c r="R177" s="252">
        <f>VLOOKUP(Tableau1315[[#This Row],[PARCS]],Tableau16[],19,FALSE)</f>
        <v>-130000</v>
      </c>
      <c r="S177" s="252">
        <f>VLOOKUP(Tableau1315[[#This Row],[PARCS]],Tableau16[],28,FALSE)</f>
        <v>-19500</v>
      </c>
      <c r="T177" s="252">
        <f>VLOOKUP(Tableau1315[[#This Row],[PARCS]],Tableau16[],36,FALSE)</f>
        <v>-67835.72</v>
      </c>
      <c r="U177" s="252">
        <f>VLOOKUP(Tableau1315[[#This Row],[PARCS]],Tableau16[],37,FALSE)</f>
        <v>0</v>
      </c>
      <c r="V177" s="467">
        <f>SUM(Tableau1315[[#This Row],[CONTRAT O&amp;M FORFAIT GROUPE2]:[CHARGES exceptionnels (BONUS, sinistres)7]])</f>
        <v>-239181.72</v>
      </c>
      <c r="W177" s="354">
        <f>VLOOKUP(Tableau1315[[#This Row],[PARCS]],Tableau17[],10,FALSE)</f>
        <v>-9526</v>
      </c>
      <c r="X177" s="252">
        <f>VLOOKUP(Tableau1315[[#This Row],[PARCS]],Tableau17[],18,FALSE)</f>
        <v>-5690</v>
      </c>
      <c r="Y177" s="252">
        <f>VLOOKUP(Tableau1315[[#This Row],[PARCS]],Tableau17[],19,FALSE)</f>
        <v>-133250</v>
      </c>
      <c r="Z177" s="252">
        <f>VLOOKUP(Tableau1315[[#This Row],[PARCS]],Tableau17[],28,FALSE)</f>
        <v>-12436.202000000001</v>
      </c>
      <c r="AA177" s="252">
        <f>VLOOKUP(Tableau1315[[#This Row],[PARCS]],Tableau17[],36,FALSE)</f>
        <v>-60047.1</v>
      </c>
      <c r="AB177" s="252">
        <f>VLOOKUP(Tableau1315[[#This Row],[PARCS]],Tableau17[],37,FALSE)</f>
        <v>0</v>
      </c>
      <c r="AC177" s="468">
        <f>SUM(Tableau1315[[#This Row],[CONTRAT O&amp;M FORFAIT GROUPE22]:[CHARGES exceptionnels (BONUS, sinistres)77]])</f>
        <v>-220949.302</v>
      </c>
      <c r="AD177" s="252">
        <f>Tableau1315[[#This Row],[TOTAL LE3]]-Tableau1315[[#This Row],[TOTAL BN-1]]</f>
        <v>56858.138216535415</v>
      </c>
      <c r="AE177" s="351">
        <f>IFERROR((Tableau1315[[#This Row],[TOTAL LE3]]-Tableau1315[[#This Row],[TOTAL BN-1]])/Tableau1315[[#This Row],[TOTAL BN-1]],"")</f>
        <v>-0.19206244239904713</v>
      </c>
      <c r="AF177" s="252">
        <f>Tableau1315[[#This Row],[TOTAL BN+1]]-Tableau1315[[#This Row],[TOTAL LE3]]</f>
        <v>18232.418000000005</v>
      </c>
      <c r="AG177" s="351">
        <f>IFERROR((Tableau1315[[#This Row],[TOTAL BN+1]]-Tableau1315[[#This Row],[TOTAL LE3]])/Tableau1315[[#This Row],[TOTAL LE3]],"")</f>
        <v>-7.6228308752023383E-2</v>
      </c>
      <c r="AH177" s="6" t="s">
        <v>490</v>
      </c>
    </row>
    <row r="178" spans="1:34" hidden="1">
      <c r="A178" s="463" t="s">
        <v>367</v>
      </c>
      <c r="B178" s="464" t="str">
        <f>VLOOKUP(Tableau1315[[#This Row],[PARCS]],Tableau106[],3,FALSE)</f>
        <v>A167</v>
      </c>
      <c r="C178" s="464" t="str">
        <f>VLOOKUP(Tableau1315[[#This Row],[PARCS]],Tableau106[],2,FALSE)</f>
        <v>FR973S01E</v>
      </c>
      <c r="D178" s="465" t="str">
        <f>VLOOKUP(Tableau1315[[#This Row],[PARCS]],Tableau106[],8,FALSE)</f>
        <v>SOLAIRE DOM</v>
      </c>
      <c r="E178" s="465" t="str">
        <f>VLOOKUP(A178,Tableau106[[#Headers],[#Data]],6,FALSE)</f>
        <v>DOM</v>
      </c>
      <c r="F178" s="466" t="str">
        <f>VLOOKUP(Tableau1315[[#This Row],[PARCS]],Tableau106[],5,FALSE)</f>
        <v>TOC2</v>
      </c>
      <c r="G178" s="464" t="str">
        <f>VLOOKUP(Tableau1315[[#This Row],[PARCS]],Tableau106[],7,FALSE)</f>
        <v>GROUPE</v>
      </c>
      <c r="H178" s="464" t="str">
        <f>VLOOKUP(Tableau1315[[#This Row],[PARCS]],Tableau106[],9,FALSE)</f>
        <v>DoJ</v>
      </c>
      <c r="I178" s="350">
        <f>IFERROR(VLOOKUP(Tableau1315[[#This Row],[PARCS]],Tableau15[],10,FALSE),"")</f>
        <v>0</v>
      </c>
      <c r="J178" s="20">
        <f>IFERROR(VLOOKUP(Tableau1315[[#This Row],[PARCS]],Tableau15[],18,FALSE),"")</f>
        <v>-4998</v>
      </c>
      <c r="K178" s="252">
        <f>IFERROR(VLOOKUP(Tableau1315[[#This Row],[PARCS]],Tableau15[],19,FALSE),"")</f>
        <v>-524321.5</v>
      </c>
      <c r="L178" s="20">
        <f>IFERROR(VLOOKUP(Tableau1315[[#This Row],[PARCS]],Tableau15[],28,FALSE),"")</f>
        <v>-41999</v>
      </c>
      <c r="M178" s="252">
        <f>IFERROR(VLOOKUP(Tableau1315[[#This Row],[PARCS]],Tableau15[],36,FALSE),"")</f>
        <v>0</v>
      </c>
      <c r="N178" s="252">
        <f>IFERROR(VLOOKUP(Tableau1315[[#This Row],[PARCS]],Tableau15[],37,FALSE),"")</f>
        <v>0</v>
      </c>
      <c r="O178" s="467">
        <f>SUM(Tableau1315[[#This Row],[CONTRAT O&amp;M FORFAIT GROUPE]:[CHARGES exceptionnels (BONUS, sinistres)]])</f>
        <v>-571318.5</v>
      </c>
      <c r="P178" s="354">
        <f>VLOOKUP(Tableau1315[[#This Row],[PARCS]],Tableau16[],10,FALSE)</f>
        <v>0</v>
      </c>
      <c r="Q178" s="252">
        <f>VLOOKUP(Tableau1315[[#This Row],[PARCS]],Tableau16[],18,FALSE)</f>
        <v>-1250</v>
      </c>
      <c r="R178" s="252">
        <f>VLOOKUP(Tableau1315[[#This Row],[PARCS]],Tableau16[],19,FALSE)</f>
        <v>-126435</v>
      </c>
      <c r="S178" s="252">
        <f>VLOOKUP(Tableau1315[[#This Row],[PARCS]],Tableau16[],28,FALSE)</f>
        <v>-158105.33600000001</v>
      </c>
      <c r="T178" s="252">
        <f>VLOOKUP(Tableau1315[[#This Row],[PARCS]],Tableau16[],36,FALSE)</f>
        <v>-7150</v>
      </c>
      <c r="U178" s="252">
        <f>VLOOKUP(Tableau1315[[#This Row],[PARCS]],Tableau16[],37,FALSE)</f>
        <v>0</v>
      </c>
      <c r="V178" s="467">
        <f>SUM(Tableau1315[[#This Row],[CONTRAT O&amp;M FORFAIT GROUPE2]:[CHARGES exceptionnels (BONUS, sinistres)7]])</f>
        <v>-292940.33600000001</v>
      </c>
      <c r="W178" s="354">
        <f>VLOOKUP(Tableau1315[[#This Row],[PARCS]],Tableau17[],10,FALSE)</f>
        <v>0</v>
      </c>
      <c r="X178" s="252">
        <f>VLOOKUP(Tableau1315[[#This Row],[PARCS]],Tableau17[],18,FALSE)</f>
        <v>-1250</v>
      </c>
      <c r="Y178" s="252">
        <f>VLOOKUP(Tableau1315[[#This Row],[PARCS]],Tableau17[],19,FALSE)</f>
        <v>-129595.87499999999</v>
      </c>
      <c r="Z178" s="252">
        <f>VLOOKUP(Tableau1315[[#This Row],[PARCS]],Tableau17[],28,FALSE)</f>
        <v>-16652.736000000001</v>
      </c>
      <c r="AA178" s="252">
        <f>VLOOKUP(Tableau1315[[#This Row],[PARCS]],Tableau17[],36,FALSE)</f>
        <v>0</v>
      </c>
      <c r="AB178" s="252">
        <f>VLOOKUP(Tableau1315[[#This Row],[PARCS]],Tableau17[],37,FALSE)</f>
        <v>0</v>
      </c>
      <c r="AC178" s="468">
        <f>SUM(Tableau1315[[#This Row],[CONTRAT O&amp;M FORFAIT GROUPE22]:[CHARGES exceptionnels (BONUS, sinistres)77]])</f>
        <v>-147498.61099999998</v>
      </c>
      <c r="AD178" s="252">
        <f>Tableau1315[[#This Row],[TOTAL LE3]]-Tableau1315[[#This Row],[TOTAL BN-1]]</f>
        <v>278378.16399999999</v>
      </c>
      <c r="AE178" s="351">
        <f>IFERROR((Tableau1315[[#This Row],[TOTAL LE3]]-Tableau1315[[#This Row],[TOTAL BN-1]])/Tableau1315[[#This Row],[TOTAL BN-1]],"")</f>
        <v>-0.48725564461854465</v>
      </c>
      <c r="AF178" s="252">
        <f>Tableau1315[[#This Row],[TOTAL BN+1]]-Tableau1315[[#This Row],[TOTAL LE3]]</f>
        <v>145441.72500000003</v>
      </c>
      <c r="AG178" s="351">
        <f>IFERROR((Tableau1315[[#This Row],[TOTAL BN+1]]-Tableau1315[[#This Row],[TOTAL LE3]])/Tableau1315[[#This Row],[TOTAL LE3]],"")</f>
        <v>-0.49648924073057671</v>
      </c>
      <c r="AH178" s="6" t="s">
        <v>774</v>
      </c>
    </row>
    <row r="179" spans="1:34" hidden="1">
      <c r="A179" s="463" t="s">
        <v>447</v>
      </c>
      <c r="B179" s="464" t="str">
        <f>VLOOKUP(Tableau1315[[#This Row],[PARCS]],Tableau106[],3,FALSE)</f>
        <v>A898</v>
      </c>
      <c r="C179" s="464" t="str">
        <f>VLOOKUP(Tableau1315[[#This Row],[PARCS]],Tableau106[],2,FALSE)</f>
        <v>FR55E12E</v>
      </c>
      <c r="D179" s="465" t="str">
        <f>VLOOKUP(Tableau1315[[#This Row],[PARCS]],Tableau106[],8,FALSE)</f>
        <v>EOLIEN</v>
      </c>
      <c r="E179" s="465" t="str">
        <f>VLOOKUP(A179,Tableau106[[#Headers],[#Data]],6,FALSE)</f>
        <v>N</v>
      </c>
      <c r="F179" s="466" t="str">
        <f>VLOOKUP(Tableau1315[[#This Row],[PARCS]],Tableau106[],5,FALSE)</f>
        <v>SOUR</v>
      </c>
      <c r="G179" s="464" t="str">
        <f>VLOOKUP(Tableau1315[[#This Row],[PARCS]],Tableau106[],7,FALSE)</f>
        <v>GROUPE</v>
      </c>
      <c r="H179" s="464" t="str">
        <f>VLOOKUP(Tableau1315[[#This Row],[PARCS]],Tableau106[],9,FALSE)</f>
        <v>LoH</v>
      </c>
      <c r="I179" s="350">
        <f>IFERROR(VLOOKUP(Tableau1315[[#This Row],[PARCS]],Tableau15[],10,FALSE),"")</f>
        <v>-25252.493702770775</v>
      </c>
      <c r="J179" s="20">
        <f>IFERROR(VLOOKUP(Tableau1315[[#This Row],[PARCS]],Tableau15[],18,FALSE),"")</f>
        <v>-841</v>
      </c>
      <c r="K179" s="252">
        <f>IFERROR(VLOOKUP(Tableau1315[[#This Row],[PARCS]],Tableau15[],19,FALSE),"")</f>
        <v>-31561.1</v>
      </c>
      <c r="L179" s="20">
        <f>IFERROR(VLOOKUP(Tableau1315[[#This Row],[PARCS]],Tableau15[],28,FALSE),"")</f>
        <v>-10720</v>
      </c>
      <c r="M179" s="252">
        <f>IFERROR(VLOOKUP(Tableau1315[[#This Row],[PARCS]],Tableau15[],36,FALSE),"")</f>
        <v>0</v>
      </c>
      <c r="N179" s="252">
        <f>IFERROR(VLOOKUP(Tableau1315[[#This Row],[PARCS]],Tableau15[],37,FALSE),"")</f>
        <v>0</v>
      </c>
      <c r="O179" s="467">
        <f>SUM(Tableau1315[[#This Row],[CONTRAT O&amp;M FORFAIT GROUPE]:[CHARGES exceptionnels (BONUS, sinistres)]])</f>
        <v>-68374.59370277077</v>
      </c>
      <c r="P179" s="354">
        <f>VLOOKUP(Tableau1315[[#This Row],[PARCS]],Tableau16[],10,FALSE)</f>
        <v>-22614</v>
      </c>
      <c r="Q179" s="252">
        <f>VLOOKUP(Tableau1315[[#This Row],[PARCS]],Tableau16[],18,FALSE)</f>
        <v>-29240</v>
      </c>
      <c r="R179" s="252">
        <f>VLOOKUP(Tableau1315[[#This Row],[PARCS]],Tableau16[],19,FALSE)</f>
        <v>-543600</v>
      </c>
      <c r="S179" s="252">
        <f>VLOOKUP(Tableau1315[[#This Row],[PARCS]],Tableau16[],28,FALSE)</f>
        <v>-103900</v>
      </c>
      <c r="T179" s="252">
        <f>VLOOKUP(Tableau1315[[#This Row],[PARCS]],Tableau16[],36,FALSE)</f>
        <v>-11500</v>
      </c>
      <c r="U179" s="252">
        <f>VLOOKUP(Tableau1315[[#This Row],[PARCS]],Tableau16[],37,FALSE)</f>
        <v>-2000</v>
      </c>
      <c r="V179" s="467">
        <f>SUM(Tableau1315[[#This Row],[CONTRAT O&amp;M FORFAIT GROUPE2]:[CHARGES exceptionnels (BONUS, sinistres)7]])</f>
        <v>-712854</v>
      </c>
      <c r="W179" s="354">
        <f>VLOOKUP(Tableau1315[[#This Row],[PARCS]],Tableau17[],10,FALSE)</f>
        <v>-23179.35</v>
      </c>
      <c r="X179" s="252">
        <f>VLOOKUP(Tableau1315[[#This Row],[PARCS]],Tableau17[],18,FALSE)</f>
        <v>-29520</v>
      </c>
      <c r="Y179" s="252">
        <f>VLOOKUP(Tableau1315[[#This Row],[PARCS]],Tableau17[],19,FALSE)</f>
        <v>-557190</v>
      </c>
      <c r="Z179" s="252">
        <f>VLOOKUP(Tableau1315[[#This Row],[PARCS]],Tableau17[],28,FALSE)</f>
        <v>-20620</v>
      </c>
      <c r="AA179" s="252">
        <f>VLOOKUP(Tableau1315[[#This Row],[PARCS]],Tableau17[],36,FALSE)</f>
        <v>-5047.0999999999995</v>
      </c>
      <c r="AB179" s="252">
        <f>VLOOKUP(Tableau1315[[#This Row],[PARCS]],Tableau17[],37,FALSE)</f>
        <v>0</v>
      </c>
      <c r="AC179" s="468">
        <f>SUM(Tableau1315[[#This Row],[CONTRAT O&amp;M FORFAIT GROUPE22]:[CHARGES exceptionnels (BONUS, sinistres)77]])</f>
        <v>-635556.44999999995</v>
      </c>
      <c r="AD179" s="252">
        <f>Tableau1315[[#This Row],[TOTAL LE3]]-Tableau1315[[#This Row],[TOTAL BN-1]]</f>
        <v>-644479.40629722923</v>
      </c>
      <c r="AE179" s="351">
        <f>IFERROR((Tableau1315[[#This Row],[TOTAL LE3]]-Tableau1315[[#This Row],[TOTAL BN-1]])/Tableau1315[[#This Row],[TOTAL BN-1]],"")</f>
        <v>9.4257146023978891</v>
      </c>
      <c r="AF179" s="252">
        <f>Tableau1315[[#This Row],[TOTAL BN+1]]-Tableau1315[[#This Row],[TOTAL LE3]]</f>
        <v>77297.550000000047</v>
      </c>
      <c r="AG179" s="351">
        <f>IFERROR((Tableau1315[[#This Row],[TOTAL BN+1]]-Tableau1315[[#This Row],[TOTAL LE3]])/Tableau1315[[#This Row],[TOTAL LE3]],"")</f>
        <v>-0.10843391493910401</v>
      </c>
    </row>
    <row r="180" spans="1:34" hidden="1">
      <c r="A180" s="463" t="s">
        <v>474</v>
      </c>
      <c r="B180" s="464" t="str">
        <f>VLOOKUP(Tableau1315[[#This Row],[PARCS]],Tableau106[],3,FALSE)</f>
        <v>A530</v>
      </c>
      <c r="C180" s="464" t="str">
        <f>VLOOKUP(Tableau1315[[#This Row],[PARCS]],Tableau106[],2,FALSE)</f>
        <v>FR51E02E</v>
      </c>
      <c r="D180" s="465" t="str">
        <f>VLOOKUP(Tableau1315[[#This Row],[PARCS]],Tableau106[],8,FALSE)</f>
        <v>EOLIEN</v>
      </c>
      <c r="E180" s="465" t="str">
        <f>VLOOKUP(A180,Tableau106[[#Headers],[#Data]],6,FALSE)</f>
        <v>N</v>
      </c>
      <c r="F180" s="466" t="str">
        <f>VLOOKUP(Tableau1315[[#This Row],[PARCS]],Tableau106[],5,FALSE)</f>
        <v>VANA</v>
      </c>
      <c r="G180" s="464" t="str">
        <f>VLOOKUP(Tableau1315[[#This Row],[PARCS]],Tableau106[],7,FALSE)</f>
        <v>GROUPE</v>
      </c>
      <c r="H180" s="464" t="str">
        <f>VLOOKUP(Tableau1315[[#This Row],[PARCS]],Tableau106[],9,FALSE)</f>
        <v>BaB</v>
      </c>
      <c r="I180" s="350">
        <f>IFERROR(VLOOKUP(Tableau1315[[#This Row],[PARCS]],Tableau15[],10,FALSE),"")</f>
        <v>-12626.246851385387</v>
      </c>
      <c r="J180" s="20">
        <f>IFERROR(VLOOKUP(Tableau1315[[#This Row],[PARCS]],Tableau15[],18,FALSE),"")</f>
        <v>-29000</v>
      </c>
      <c r="K180" s="252">
        <f>IFERROR(VLOOKUP(Tableau1315[[#This Row],[PARCS]],Tableau15[],19,FALSE),"")</f>
        <v>-520957.16818799998</v>
      </c>
      <c r="L180" s="20">
        <f>IFERROR(VLOOKUP(Tableau1315[[#This Row],[PARCS]],Tableau15[],28,FALSE),"")</f>
        <v>-28400</v>
      </c>
      <c r="M180" s="252">
        <f>IFERROR(VLOOKUP(Tableau1315[[#This Row],[PARCS]],Tableau15[],36,FALSE),"")</f>
        <v>0</v>
      </c>
      <c r="N180" s="252">
        <f>IFERROR(VLOOKUP(Tableau1315[[#This Row],[PARCS]],Tableau15[],37,FALSE),"")</f>
        <v>0</v>
      </c>
      <c r="O180" s="467">
        <f>SUM(Tableau1315[[#This Row],[CONTRAT O&amp;M FORFAIT GROUPE]:[CHARGES exceptionnels (BONUS, sinistres)]])</f>
        <v>-590983.41503938532</v>
      </c>
      <c r="P180" s="354">
        <f>VLOOKUP(Tableau1315[[#This Row],[PARCS]],Tableau16[],10,FALSE)</f>
        <v>-9553</v>
      </c>
      <c r="Q180" s="252">
        <f>VLOOKUP(Tableau1315[[#This Row],[PARCS]],Tableau16[],18,FALSE)</f>
        <v>-21275</v>
      </c>
      <c r="R180" s="252">
        <f>VLOOKUP(Tableau1315[[#This Row],[PARCS]],Tableau16[],19,FALSE)</f>
        <v>-339217</v>
      </c>
      <c r="S180" s="252">
        <f>VLOOKUP(Tableau1315[[#This Row],[PARCS]],Tableau16[],28,FALSE)</f>
        <v>-18525</v>
      </c>
      <c r="T180" s="252">
        <f>VLOOKUP(Tableau1315[[#This Row],[PARCS]],Tableau16[],36,FALSE)</f>
        <v>0</v>
      </c>
      <c r="U180" s="252">
        <f>VLOOKUP(Tableau1315[[#This Row],[PARCS]],Tableau16[],37,FALSE)</f>
        <v>0</v>
      </c>
      <c r="V180" s="467">
        <f>SUM(Tableau1315[[#This Row],[CONTRAT O&amp;M FORFAIT GROUPE2]:[CHARGES exceptionnels (BONUS, sinistres)7]])</f>
        <v>-388570</v>
      </c>
      <c r="W180" s="354">
        <f>VLOOKUP(Tableau1315[[#This Row],[PARCS]],Tableau17[],10,FALSE)</f>
        <v>-9791.8249999999989</v>
      </c>
      <c r="X180" s="252">
        <f>VLOOKUP(Tableau1315[[#This Row],[PARCS]],Tableau17[],18,FALSE)</f>
        <v>-21585</v>
      </c>
      <c r="Y180" s="252">
        <f>VLOOKUP(Tableau1315[[#This Row],[PARCS]],Tableau17[],19,FALSE)</f>
        <v>-347697.42499999999</v>
      </c>
      <c r="Z180" s="252">
        <f>VLOOKUP(Tableau1315[[#This Row],[PARCS]],Tableau17[],28,FALSE)</f>
        <v>-18525</v>
      </c>
      <c r="AA180" s="252">
        <f>VLOOKUP(Tableau1315[[#This Row],[PARCS]],Tableau17[],36,FALSE)</f>
        <v>0</v>
      </c>
      <c r="AB180" s="252">
        <f>VLOOKUP(Tableau1315[[#This Row],[PARCS]],Tableau17[],37,FALSE)</f>
        <v>0</v>
      </c>
      <c r="AC180" s="468">
        <f>SUM(Tableau1315[[#This Row],[CONTRAT O&amp;M FORFAIT GROUPE22]:[CHARGES exceptionnels (BONUS, sinistres)77]])</f>
        <v>-397599.25</v>
      </c>
      <c r="AD180" s="252">
        <f>Tableau1315[[#This Row],[TOTAL LE3]]-Tableau1315[[#This Row],[TOTAL BN-1]]</f>
        <v>202413.41503938532</v>
      </c>
      <c r="AE180" s="351">
        <f>IFERROR((Tableau1315[[#This Row],[TOTAL LE3]]-Tableau1315[[#This Row],[TOTAL BN-1]])/Tableau1315[[#This Row],[TOTAL BN-1]],"")</f>
        <v>-0.34250269954850721</v>
      </c>
      <c r="AF180" s="252">
        <f>Tableau1315[[#This Row],[TOTAL BN+1]]-Tableau1315[[#This Row],[TOTAL LE3]]</f>
        <v>-9029.25</v>
      </c>
      <c r="AG180" s="351">
        <f>IFERROR((Tableau1315[[#This Row],[TOTAL BN+1]]-Tableau1315[[#This Row],[TOTAL LE3]])/Tableau1315[[#This Row],[TOTAL LE3]],"")</f>
        <v>2.3237125871786293E-2</v>
      </c>
    </row>
    <row r="181" spans="1:34" hidden="1">
      <c r="A181" s="463" t="s">
        <v>438</v>
      </c>
      <c r="B181" s="464" t="str">
        <f>VLOOKUP(Tableau1315[[#This Row],[PARCS]],Tableau106[],3,FALSE)</f>
        <v>A044</v>
      </c>
      <c r="C181" s="464" t="str">
        <f>VLOOKUP(Tableau1315[[#This Row],[PARCS]],Tableau106[],2,FALSE)</f>
        <v>FR34E99E</v>
      </c>
      <c r="D181" s="465" t="str">
        <f>VLOOKUP(Tableau1315[[#This Row],[PARCS]],Tableau106[],8,FALSE)</f>
        <v>EOLIEN</v>
      </c>
      <c r="E181" s="465" t="str">
        <f>VLOOKUP(A181,Tableau106[[#Headers],[#Data]],6,FALSE)</f>
        <v>S</v>
      </c>
      <c r="F181" s="466" t="str">
        <f>VLOOKUP(Tableau1315[[#This Row],[PARCS]],Tableau106[],5,FALSE)</f>
        <v>OUPI</v>
      </c>
      <c r="G181" s="464" t="str">
        <f>VLOOKUP(Tableau1315[[#This Row],[PARCS]],Tableau106[],7,FALSE)</f>
        <v>GROUPE</v>
      </c>
      <c r="H181" s="464" t="str">
        <f>VLOOKUP(Tableau1315[[#This Row],[PARCS]],Tableau106[],9,FALSE)</f>
        <v>SaH</v>
      </c>
      <c r="I181" s="350">
        <f>IFERROR(VLOOKUP(Tableau1315[[#This Row],[PARCS]],Tableau15[],10,FALSE),"")</f>
        <v>-102937.17600000001</v>
      </c>
      <c r="J181" s="20">
        <f>IFERROR(VLOOKUP(Tableau1315[[#This Row],[PARCS]],Tableau15[],18,FALSE),"")</f>
        <v>-48100</v>
      </c>
      <c r="K181" s="252">
        <f>IFERROR(VLOOKUP(Tableau1315[[#This Row],[PARCS]],Tableau15[],19,FALSE),"")</f>
        <v>0</v>
      </c>
      <c r="L181" s="20">
        <f>IFERROR(VLOOKUP(Tableau1315[[#This Row],[PARCS]],Tableau15[],28,FALSE),"")</f>
        <v>-20550</v>
      </c>
      <c r="M181" s="252">
        <f>IFERROR(VLOOKUP(Tableau1315[[#This Row],[PARCS]],Tableau15[],36,FALSE),"")</f>
        <v>0</v>
      </c>
      <c r="N181" s="252">
        <f>IFERROR(VLOOKUP(Tableau1315[[#This Row],[PARCS]],Tableau15[],37,FALSE),"")</f>
        <v>0</v>
      </c>
      <c r="O181" s="467">
        <f>SUM(Tableau1315[[#This Row],[CONTRAT O&amp;M FORFAIT GROUPE]:[CHARGES exceptionnels (BONUS, sinistres)]])</f>
        <v>-171587.17600000001</v>
      </c>
      <c r="P181" s="354">
        <f>VLOOKUP(Tableau1315[[#This Row],[PARCS]],Tableau16[],10,FALSE)</f>
        <v>-25000</v>
      </c>
      <c r="Q181" s="252">
        <f>VLOOKUP(Tableau1315[[#This Row],[PARCS]],Tableau16[],18,FALSE)</f>
        <v>-25370</v>
      </c>
      <c r="R181" s="252">
        <f>VLOOKUP(Tableau1315[[#This Row],[PARCS]],Tableau16[],19,FALSE)</f>
        <v>0</v>
      </c>
      <c r="S181" s="252">
        <f>VLOOKUP(Tableau1315[[#This Row],[PARCS]],Tableau16[],28,FALSE)</f>
        <v>0</v>
      </c>
      <c r="T181" s="252">
        <f>VLOOKUP(Tableau1315[[#This Row],[PARCS]],Tableau16[],36,FALSE)</f>
        <v>0</v>
      </c>
      <c r="U181" s="252">
        <f>VLOOKUP(Tableau1315[[#This Row],[PARCS]],Tableau16[],37,FALSE)</f>
        <v>0</v>
      </c>
      <c r="V181" s="467">
        <f>SUM(Tableau1315[[#This Row],[CONTRAT O&amp;M FORFAIT GROUPE2]:[CHARGES exceptionnels (BONUS, sinistres)7]])</f>
        <v>-50370</v>
      </c>
      <c r="W181" s="354">
        <f>VLOOKUP(Tableau1315[[#This Row],[PARCS]],Tableau17[],10,FALSE)</f>
        <v>0</v>
      </c>
      <c r="X181" s="252">
        <f>VLOOKUP(Tableau1315[[#This Row],[PARCS]],Tableau17[],18,FALSE)</f>
        <v>-4025</v>
      </c>
      <c r="Y181" s="252">
        <f>VLOOKUP(Tableau1315[[#This Row],[PARCS]],Tableau17[],19,FALSE)</f>
        <v>0</v>
      </c>
      <c r="Z181" s="252">
        <f>VLOOKUP(Tableau1315[[#This Row],[PARCS]],Tableau17[],28,FALSE)</f>
        <v>-2025</v>
      </c>
      <c r="AA181" s="252">
        <f>VLOOKUP(Tableau1315[[#This Row],[PARCS]],Tableau17[],36,FALSE)</f>
        <v>0</v>
      </c>
      <c r="AB181" s="252">
        <f>VLOOKUP(Tableau1315[[#This Row],[PARCS]],Tableau17[],37,FALSE)</f>
        <v>0</v>
      </c>
      <c r="AC181" s="468">
        <f>SUM(Tableau1315[[#This Row],[CONTRAT O&amp;M FORFAIT GROUPE22]:[CHARGES exceptionnels (BONUS, sinistres)77]])</f>
        <v>-6050</v>
      </c>
      <c r="AD181" s="252">
        <f>Tableau1315[[#This Row],[TOTAL LE3]]-Tableau1315[[#This Row],[TOTAL BN-1]]</f>
        <v>121217.17600000001</v>
      </c>
      <c r="AE181" s="351">
        <f>IFERROR((Tableau1315[[#This Row],[TOTAL LE3]]-Tableau1315[[#This Row],[TOTAL BN-1]])/Tableau1315[[#This Row],[TOTAL BN-1]],"")</f>
        <v>-0.70644659365452811</v>
      </c>
      <c r="AF181" s="252">
        <f>Tableau1315[[#This Row],[TOTAL BN+1]]-Tableau1315[[#This Row],[TOTAL LE3]]</f>
        <v>44320</v>
      </c>
      <c r="AG181" s="351">
        <f>IFERROR((Tableau1315[[#This Row],[TOTAL BN+1]]-Tableau1315[[#This Row],[TOTAL LE3]])/Tableau1315[[#This Row],[TOTAL LE3]],"")</f>
        <v>-0.8798888227119317</v>
      </c>
      <c r="AH181" s="6" t="s">
        <v>775</v>
      </c>
    </row>
    <row r="182" spans="1:34" hidden="1">
      <c r="A182" s="463" t="s">
        <v>585</v>
      </c>
      <c r="B182" s="464" t="str">
        <f>VLOOKUP(Tableau1315[[#This Row],[PARCS]],Tableau106[],3,FALSE)</f>
        <v>A104</v>
      </c>
      <c r="C182" s="464" t="str">
        <f>VLOOKUP(Tableau1315[[#This Row],[PARCS]],Tableau106[],2,FALSE)</f>
        <v>FR76E98E</v>
      </c>
      <c r="D182" s="465" t="str">
        <f>VLOOKUP(Tableau1315[[#This Row],[PARCS]],Tableau106[],8,FALSE)</f>
        <v>EOLIEN</v>
      </c>
      <c r="E182" s="465" t="str">
        <f>VLOOKUP(A182,Tableau106[[#Headers],[#Data]],6,FALSE)</f>
        <v>N</v>
      </c>
      <c r="F182" s="466" t="str">
        <f>VLOOKUP(Tableau1315[[#This Row],[PARCS]],Tableau106[],5,FALSE)</f>
        <v>VEUL</v>
      </c>
      <c r="G182" s="464" t="str">
        <f>VLOOKUP(Tableau1315[[#This Row],[PARCS]],Tableau106[],7,FALSE)</f>
        <v>GROUPE</v>
      </c>
      <c r="H182" s="464" t="str">
        <f>VLOOKUP(Tableau1315[[#This Row],[PARCS]],Tableau106[],9,FALSE)</f>
        <v>AnN</v>
      </c>
      <c r="I182" s="350">
        <f>IFERROR(VLOOKUP(Tableau1315[[#This Row],[PARCS]],Tableau15[],10,FALSE),"")</f>
        <v>-12626.246851385387</v>
      </c>
      <c r="J182" s="20">
        <f>IFERROR(VLOOKUP(Tableau1315[[#This Row],[PARCS]],Tableau15[],18,FALSE),"")</f>
        <v>-5000</v>
      </c>
      <c r="K182" s="252">
        <f>IFERROR(VLOOKUP(Tableau1315[[#This Row],[PARCS]],Tableau15[],19,FALSE),"")</f>
        <v>0</v>
      </c>
      <c r="L182" s="20">
        <f>IFERROR(VLOOKUP(Tableau1315[[#This Row],[PARCS]],Tableau15[],28,FALSE),"")</f>
        <v>-2500</v>
      </c>
      <c r="M182" s="252">
        <f>IFERROR(VLOOKUP(Tableau1315[[#This Row],[PARCS]],Tableau15[],36,FALSE),"")</f>
        <v>0</v>
      </c>
      <c r="N182" s="252">
        <f>IFERROR(VLOOKUP(Tableau1315[[#This Row],[PARCS]],Tableau15[],37,FALSE),"")</f>
        <v>0</v>
      </c>
      <c r="O182" s="467">
        <f>SUM(Tableau1315[[#This Row],[CONTRAT O&amp;M FORFAIT GROUPE]:[CHARGES exceptionnels (BONUS, sinistres)]])</f>
        <v>-20126.246851385389</v>
      </c>
      <c r="P182" s="354">
        <f>VLOOKUP(Tableau1315[[#This Row],[PARCS]],Tableau16[],10,FALSE)</f>
        <v>-9803</v>
      </c>
      <c r="Q182" s="252">
        <f>VLOOKUP(Tableau1315[[#This Row],[PARCS]],Tableau16[],18,FALSE)</f>
        <v>-7700</v>
      </c>
      <c r="R182" s="252">
        <f>VLOOKUP(Tableau1315[[#This Row],[PARCS]],Tableau16[],19,FALSE)</f>
        <v>-140000</v>
      </c>
      <c r="S182" s="252">
        <f>VLOOKUP(Tableau1315[[#This Row],[PARCS]],Tableau16[],28,FALSE)</f>
        <v>-22370</v>
      </c>
      <c r="T182" s="252">
        <f>VLOOKUP(Tableau1315[[#This Row],[PARCS]],Tableau16[],36,FALSE)</f>
        <v>0</v>
      </c>
      <c r="U182" s="252">
        <f>VLOOKUP(Tableau1315[[#This Row],[PARCS]],Tableau16[],37,FALSE)</f>
        <v>0</v>
      </c>
      <c r="V182" s="467">
        <f>SUM(Tableau1315[[#This Row],[CONTRAT O&amp;M FORFAIT GROUPE2]:[CHARGES exceptionnels (BONUS, sinistres)7]])</f>
        <v>-179873</v>
      </c>
      <c r="W182" s="354">
        <f>VLOOKUP(Tableau1315[[#This Row],[PARCS]],Tableau17[],10,FALSE)</f>
        <v>-10048.074999999999</v>
      </c>
      <c r="X182" s="252">
        <f>VLOOKUP(Tableau1315[[#This Row],[PARCS]],Tableau17[],18,FALSE)</f>
        <v>-7820</v>
      </c>
      <c r="Y182" s="252">
        <f>VLOOKUP(Tableau1315[[#This Row],[PARCS]],Tableau17[],19,FALSE)</f>
        <v>-143500</v>
      </c>
      <c r="Z182" s="252">
        <f>VLOOKUP(Tableau1315[[#This Row],[PARCS]],Tableau17[],28,FALSE)</f>
        <v>-6680</v>
      </c>
      <c r="AA182" s="252">
        <f>VLOOKUP(Tableau1315[[#This Row],[PARCS]],Tableau17[],36,FALSE)</f>
        <v>0</v>
      </c>
      <c r="AB182" s="252">
        <f>VLOOKUP(Tableau1315[[#This Row],[PARCS]],Tableau17[],37,FALSE)</f>
        <v>0</v>
      </c>
      <c r="AC182" s="468">
        <f>SUM(Tableau1315[[#This Row],[CONTRAT O&amp;M FORFAIT GROUPE22]:[CHARGES exceptionnels (BONUS, sinistres)77]])</f>
        <v>-168048.07500000001</v>
      </c>
      <c r="AD182" s="252">
        <f>Tableau1315[[#This Row],[TOTAL LE3]]-Tableau1315[[#This Row],[TOTAL BN-1]]</f>
        <v>-159746.7531486146</v>
      </c>
      <c r="AE182" s="351">
        <f>IFERROR((Tableau1315[[#This Row],[TOTAL LE3]]-Tableau1315[[#This Row],[TOTAL BN-1]])/Tableau1315[[#This Row],[TOTAL BN-1]],"")</f>
        <v>7.9372351103612964</v>
      </c>
      <c r="AF182" s="252">
        <f>Tableau1315[[#This Row],[TOTAL BN+1]]-Tableau1315[[#This Row],[TOTAL LE3]]</f>
        <v>11824.924999999988</v>
      </c>
      <c r="AG182" s="351">
        <f>IFERROR((Tableau1315[[#This Row],[TOTAL BN+1]]-Tableau1315[[#This Row],[TOTAL LE3]])/Tableau1315[[#This Row],[TOTAL LE3]],"")</f>
        <v>-6.5740411290188011E-2</v>
      </c>
    </row>
    <row r="183" spans="1:34" hidden="1">
      <c r="A183" s="463" t="s">
        <v>488</v>
      </c>
      <c r="B183" s="464" t="str">
        <f>VLOOKUP(Tableau1315[[#This Row],[PARCS]],Tableau106[],3,FALSE)</f>
        <v>A540</v>
      </c>
      <c r="C183" s="464" t="str">
        <f>VLOOKUP(Tableau1315[[#This Row],[PARCS]],Tableau106[],2,FALSE)</f>
        <v>FR02E06E</v>
      </c>
      <c r="D183" s="465" t="str">
        <f>VLOOKUP(Tableau1315[[#This Row],[PARCS]],Tableau106[],8,FALSE)</f>
        <v>EOLIEN</v>
      </c>
      <c r="E183" s="465" t="str">
        <f>VLOOKUP(A183,Tableau106[[#Headers],[#Data]],6,FALSE)</f>
        <v>N</v>
      </c>
      <c r="F183" s="466" t="str">
        <f>VLOOKUP(Tableau1315[[#This Row],[PARCS]],Tableau106[],5,FALSE)</f>
        <v>VISE</v>
      </c>
      <c r="G183" s="464" t="str">
        <f>VLOOKUP(Tableau1315[[#This Row],[PARCS]],Tableau106[],7,FALSE)</f>
        <v>EGM</v>
      </c>
      <c r="H183" s="464" t="str">
        <f>VLOOKUP(Tableau1315[[#This Row],[PARCS]],Tableau106[],9,FALSE)</f>
        <v>NoS</v>
      </c>
      <c r="I183" s="350">
        <f>IFERROR(VLOOKUP(Tableau1315[[#This Row],[PARCS]],Tableau15[],10,FALSE),"")</f>
        <v>-154007.1576525761</v>
      </c>
      <c r="J183" s="20">
        <f>IFERROR(VLOOKUP(Tableau1315[[#This Row],[PARCS]],Tableau15[],18,FALSE),"")</f>
        <v>-13800</v>
      </c>
      <c r="K183" s="252">
        <f>IFERROR(VLOOKUP(Tableau1315[[#This Row],[PARCS]],Tableau15[],19,FALSE),"")</f>
        <v>-243084.18441023771</v>
      </c>
      <c r="L183" s="20">
        <f>IFERROR(VLOOKUP(Tableau1315[[#This Row],[PARCS]],Tableau15[],28,FALSE),"")</f>
        <v>-10172.5</v>
      </c>
      <c r="M183" s="252">
        <f>IFERROR(VLOOKUP(Tableau1315[[#This Row],[PARCS]],Tableau15[],36,FALSE),"")</f>
        <v>0</v>
      </c>
      <c r="N183" s="252">
        <f>IFERROR(VLOOKUP(Tableau1315[[#This Row],[PARCS]],Tableau15[],37,FALSE),"")</f>
        <v>0</v>
      </c>
      <c r="O183" s="467">
        <f>SUM(Tableau1315[[#This Row],[CONTRAT O&amp;M FORFAIT GROUPE]:[CHARGES exceptionnels (BONUS, sinistres)]])</f>
        <v>-421063.84206281381</v>
      </c>
      <c r="P183" s="354">
        <f>VLOOKUP(Tableau1315[[#This Row],[PARCS]],Tableau16[],10,FALSE)</f>
        <v>-154874</v>
      </c>
      <c r="Q183" s="252">
        <f>VLOOKUP(Tableau1315[[#This Row],[PARCS]],Tableau16[],18,FALSE)</f>
        <v>-92300</v>
      </c>
      <c r="R183" s="252">
        <f>VLOOKUP(Tableau1315[[#This Row],[PARCS]],Tableau16[],19,FALSE)</f>
        <v>0</v>
      </c>
      <c r="S183" s="252">
        <f>VLOOKUP(Tableau1315[[#This Row],[PARCS]],Tableau16[],28,FALSE)</f>
        <v>-11830</v>
      </c>
      <c r="T183" s="252">
        <f>VLOOKUP(Tableau1315[[#This Row],[PARCS]],Tableau16[],36,FALSE)</f>
        <v>0</v>
      </c>
      <c r="U183" s="252">
        <f>VLOOKUP(Tableau1315[[#This Row],[PARCS]],Tableau16[],37,FALSE)</f>
        <v>0</v>
      </c>
      <c r="V183" s="467">
        <f>SUM(Tableau1315[[#This Row],[CONTRAT O&amp;M FORFAIT GROUPE2]:[CHARGES exceptionnels (BONUS, sinistres)7]])</f>
        <v>-259004</v>
      </c>
      <c r="W183" s="354">
        <f>VLOOKUP(Tableau1315[[#This Row],[PARCS]],Tableau17[],10,FALSE)</f>
        <v>-158745.84999999998</v>
      </c>
      <c r="X183" s="252">
        <f>VLOOKUP(Tableau1315[[#This Row],[PARCS]],Tableau17[],18,FALSE)</f>
        <v>-64300</v>
      </c>
      <c r="Y183" s="252">
        <f>VLOOKUP(Tableau1315[[#This Row],[PARCS]],Tableau17[],19,FALSE)</f>
        <v>0</v>
      </c>
      <c r="Z183" s="252">
        <f>VLOOKUP(Tableau1315[[#This Row],[PARCS]],Tableau17[],28,FALSE)</f>
        <v>-89100</v>
      </c>
      <c r="AA183" s="252">
        <f>VLOOKUP(Tableau1315[[#This Row],[PARCS]],Tableau17[],36,FALSE)</f>
        <v>0</v>
      </c>
      <c r="AB183" s="252">
        <f>VLOOKUP(Tableau1315[[#This Row],[PARCS]],Tableau17[],37,FALSE)</f>
        <v>0</v>
      </c>
      <c r="AC183" s="468">
        <f>SUM(Tableau1315[[#This Row],[CONTRAT O&amp;M FORFAIT GROUPE22]:[CHARGES exceptionnels (BONUS, sinistres)77]])</f>
        <v>-312145.84999999998</v>
      </c>
      <c r="AD183" s="252">
        <f>Tableau1315[[#This Row],[TOTAL LE3]]-Tableau1315[[#This Row],[TOTAL BN-1]]</f>
        <v>162059.84206281381</v>
      </c>
      <c r="AE183" s="351">
        <f>IFERROR((Tableau1315[[#This Row],[TOTAL LE3]]-Tableau1315[[#This Row],[TOTAL BN-1]])/Tableau1315[[#This Row],[TOTAL BN-1]],"")</f>
        <v>-0.38488187745799818</v>
      </c>
      <c r="AF183" s="252">
        <f>Tableau1315[[#This Row],[TOTAL BN+1]]-Tableau1315[[#This Row],[TOTAL LE3]]</f>
        <v>-53141.849999999977</v>
      </c>
      <c r="AG183" s="351">
        <f>IFERROR((Tableau1315[[#This Row],[TOTAL BN+1]]-Tableau1315[[#This Row],[TOTAL LE3]])/Tableau1315[[#This Row],[TOTAL LE3]],"")</f>
        <v>0.20517771926302286</v>
      </c>
    </row>
    <row r="184" spans="1:34" hidden="1">
      <c r="A184" s="463" t="s">
        <v>776</v>
      </c>
      <c r="B184" s="464" t="str">
        <f>VLOOKUP(Tableau1315[[#This Row],[PARCS]],Tableau106[],3,FALSE)</f>
        <v>A252</v>
      </c>
      <c r="C184" s="464" t="str">
        <f>VLOOKUP(Tableau1315[[#This Row],[PARCS]],Tableau106[],2,FALSE)</f>
        <v>FR30S15E</v>
      </c>
      <c r="D184" s="465" t="str">
        <f>VLOOKUP(Tableau1315[[#This Row],[PARCS]],Tableau106[],8,FALSE)</f>
        <v>SOLAIRE</v>
      </c>
      <c r="E184" s="465" t="str">
        <f>VLOOKUP(A184,Tableau106[[#Headers],[#Data]],6,FALSE)</f>
        <v>S</v>
      </c>
      <c r="F184" s="466" t="str">
        <f>VLOOKUP(Tableau1315[[#This Row],[PARCS]],Tableau106[],5,FALSE)</f>
        <v>ARSA</v>
      </c>
      <c r="G184" s="464" t="str">
        <f>VLOOKUP(Tableau1315[[#This Row],[PARCS]],Tableau106[],7,FALSE)</f>
        <v>GROUPE</v>
      </c>
      <c r="H184" s="464" t="str">
        <f>VLOOKUP(Tableau1315[[#This Row],[PARCS]],Tableau106[],9,FALSE)</f>
        <v>ArB</v>
      </c>
      <c r="I184" s="350" t="str">
        <f>IFERROR(VLOOKUP(Tableau1315[[#This Row],[PARCS]],Tableau15[],10,FALSE),"")</f>
        <v/>
      </c>
      <c r="J184" s="20" t="str">
        <f>IFERROR(VLOOKUP(Tableau1315[[#This Row],[PARCS]],Tableau15[],18,FALSE),"")</f>
        <v/>
      </c>
      <c r="K184" s="252" t="str">
        <f>IFERROR(VLOOKUP(Tableau1315[[#This Row],[PARCS]],Tableau15[],19,FALSE),"")</f>
        <v/>
      </c>
      <c r="L184" s="20" t="str">
        <f>IFERROR(VLOOKUP(Tableau1315[[#This Row],[PARCS]],Tableau15[],28,FALSE),"")</f>
        <v/>
      </c>
      <c r="M184" s="252" t="str">
        <f>IFERROR(VLOOKUP(Tableau1315[[#This Row],[PARCS]],Tableau15[],36,FALSE),"")</f>
        <v/>
      </c>
      <c r="N184" s="252" t="str">
        <f>IFERROR(VLOOKUP(Tableau1315[[#This Row],[PARCS]],Tableau15[],37,FALSE),"")</f>
        <v/>
      </c>
      <c r="O184" s="467">
        <f>SUM(Tableau1315[[#This Row],[CONTRAT O&amp;M FORFAIT GROUPE]:[CHARGES exceptionnels (BONUS, sinistres)]])</f>
        <v>0</v>
      </c>
      <c r="P184" s="354">
        <f>VLOOKUP(Tableau1315[[#This Row],[PARCS]],Tableau16[],10,FALSE)</f>
        <v>-32000</v>
      </c>
      <c r="Q184" s="252">
        <f>VLOOKUP(Tableau1315[[#This Row],[PARCS]],Tableau16[],18,FALSE)</f>
        <v>-4225</v>
      </c>
      <c r="R184" s="252">
        <f>VLOOKUP(Tableau1315[[#This Row],[PARCS]],Tableau16[],19,FALSE)</f>
        <v>0</v>
      </c>
      <c r="S184" s="252">
        <f>VLOOKUP(Tableau1315[[#This Row],[PARCS]],Tableau16[],28,FALSE)</f>
        <v>0</v>
      </c>
      <c r="T184" s="252">
        <f>VLOOKUP(Tableau1315[[#This Row],[PARCS]],Tableau16[],36,FALSE)</f>
        <v>-5700</v>
      </c>
      <c r="U184" s="252">
        <f>VLOOKUP(Tableau1315[[#This Row],[PARCS]],Tableau16[],37,FALSE)</f>
        <v>0</v>
      </c>
      <c r="V184" s="467">
        <f>SUM(Tableau1315[[#This Row],[CONTRAT O&amp;M FORFAIT GROUPE2]:[CHARGES exceptionnels (BONUS, sinistres)7]])</f>
        <v>-41925</v>
      </c>
      <c r="W184" s="354">
        <f>VLOOKUP(Tableau1315[[#This Row],[PARCS]],Tableau17[],10,FALSE)</f>
        <v>-32800</v>
      </c>
      <c r="X184" s="252">
        <f>VLOOKUP(Tableau1315[[#This Row],[PARCS]],Tableau17[],18,FALSE)</f>
        <v>-1025</v>
      </c>
      <c r="Y184" s="252">
        <f>VLOOKUP(Tableau1315[[#This Row],[PARCS]],Tableau17[],19,FALSE)</f>
        <v>0</v>
      </c>
      <c r="Z184" s="252">
        <f>VLOOKUP(Tableau1315[[#This Row],[PARCS]],Tableau17[],28,FALSE)</f>
        <v>-1025</v>
      </c>
      <c r="AA184" s="252">
        <f>VLOOKUP(Tableau1315[[#This Row],[PARCS]],Tableau17[],36,FALSE)</f>
        <v>-5700</v>
      </c>
      <c r="AB184" s="252">
        <f>VLOOKUP(Tableau1315[[#This Row],[PARCS]],Tableau17[],37,FALSE)</f>
        <v>0</v>
      </c>
      <c r="AC184" s="468">
        <f>SUM(Tableau1315[[#This Row],[CONTRAT O&amp;M FORFAIT GROUPE22]:[CHARGES exceptionnels (BONUS, sinistres)77]])</f>
        <v>-40550</v>
      </c>
      <c r="AD184" s="252">
        <f>Tableau1315[[#This Row],[TOTAL LE3]]-Tableau1315[[#This Row],[TOTAL BN-1]]</f>
        <v>-41925</v>
      </c>
      <c r="AE184" s="351" t="str">
        <f>IFERROR((Tableau1315[[#This Row],[TOTAL LE3]]-Tableau1315[[#This Row],[TOTAL BN-1]])/Tableau1315[[#This Row],[TOTAL BN-1]],"")</f>
        <v/>
      </c>
      <c r="AF184" s="252">
        <f>Tableau1315[[#This Row],[TOTAL BN+1]]-Tableau1315[[#This Row],[TOTAL LE3]]</f>
        <v>1375</v>
      </c>
      <c r="AG184" s="351">
        <f>IFERROR((Tableau1315[[#This Row],[TOTAL BN+1]]-Tableau1315[[#This Row],[TOTAL LE3]])/Tableau1315[[#This Row],[TOTAL LE3]],"")</f>
        <v>-3.2796660703637445E-2</v>
      </c>
    </row>
    <row r="185" spans="1:34" hidden="1">
      <c r="A185" s="463" t="s">
        <v>636</v>
      </c>
      <c r="B185" s="464" t="str">
        <f>VLOOKUP(Tableau1315[[#This Row],[PARCS]],Tableau106[],3,FALSE)</f>
        <v>A955</v>
      </c>
      <c r="C185" s="464" t="str">
        <f>VLOOKUP(Tableau1315[[#This Row],[PARCS]],Tableau106[],2,FALSE)</f>
        <v>FR01S08E</v>
      </c>
      <c r="D185" s="465" t="str">
        <f>VLOOKUP(Tableau1315[[#This Row],[PARCS]],Tableau106[],8,FALSE)</f>
        <v>SOLAIRE</v>
      </c>
      <c r="E185" s="465" t="str">
        <f>VLOOKUP(A185,Tableau106[[#Headers],[#Data]],6,FALSE)</f>
        <v>S</v>
      </c>
      <c r="F185" s="466" t="str">
        <f>VLOOKUP(Tableau1315[[#This Row],[PARCS]],Tableau106[],5,FALSE)</f>
        <v>DROM</v>
      </c>
      <c r="G185" s="464" t="str">
        <f>VLOOKUP(Tableau1315[[#This Row],[PARCS]],Tableau106[],7,FALSE)</f>
        <v>GROUPE</v>
      </c>
      <c r="H185" s="464" t="e">
        <f>VLOOKUP(Tableau1315[[#This Row],[PARCS]],Tableau106[],9,FALSE)</f>
        <v>#N/A</v>
      </c>
      <c r="I185" s="350">
        <f>IFERROR(VLOOKUP(Tableau1315[[#This Row],[PARCS]],Tableau15[],10,FALSE),"")</f>
        <v>0</v>
      </c>
      <c r="J185" s="20">
        <f>IFERROR(VLOOKUP(Tableau1315[[#This Row],[PARCS]],Tableau15[],18,FALSE),"")</f>
        <v>-2200</v>
      </c>
      <c r="K185" s="252">
        <f>IFERROR(VLOOKUP(Tableau1315[[#This Row],[PARCS]],Tableau15[],19,FALSE),"")</f>
        <v>-17600</v>
      </c>
      <c r="L185" s="20">
        <f>IFERROR(VLOOKUP(Tableau1315[[#This Row],[PARCS]],Tableau15[],28,FALSE),"")</f>
        <v>-1100</v>
      </c>
      <c r="M185" s="252">
        <f>IFERROR(VLOOKUP(Tableau1315[[#This Row],[PARCS]],Tableau15[],36,FALSE),"")</f>
        <v>0</v>
      </c>
      <c r="N185" s="252">
        <f>IFERROR(VLOOKUP(Tableau1315[[#This Row],[PARCS]],Tableau15[],37,FALSE),"")</f>
        <v>0</v>
      </c>
      <c r="O185" s="467">
        <f>SUM(Tableau1315[[#This Row],[CONTRAT O&amp;M FORFAIT GROUPE]:[CHARGES exceptionnels (BONUS, sinistres)]])</f>
        <v>-20900</v>
      </c>
      <c r="P185" s="354">
        <f>VLOOKUP(Tableau1315[[#This Row],[PARCS]],Tableau16[],10,FALSE)</f>
        <v>-16000</v>
      </c>
      <c r="Q185" s="252">
        <f>VLOOKUP(Tableau1315[[#This Row],[PARCS]],Tableau16[],18,FALSE)</f>
        <v>-2150</v>
      </c>
      <c r="R185" s="252">
        <f>VLOOKUP(Tableau1315[[#This Row],[PARCS]],Tableau16[],19,FALSE)</f>
        <v>0</v>
      </c>
      <c r="S185" s="252">
        <f>VLOOKUP(Tableau1315[[#This Row],[PARCS]],Tableau16[],28,FALSE)</f>
        <v>-550</v>
      </c>
      <c r="T185" s="252">
        <f>VLOOKUP(Tableau1315[[#This Row],[PARCS]],Tableau16[],36,FALSE)</f>
        <v>0</v>
      </c>
      <c r="U185" s="252">
        <f>VLOOKUP(Tableau1315[[#This Row],[PARCS]],Tableau16[],37,FALSE)</f>
        <v>0</v>
      </c>
      <c r="V185" s="467">
        <f>SUM(Tableau1315[[#This Row],[CONTRAT O&amp;M FORFAIT GROUPE2]:[CHARGES exceptionnels (BONUS, sinistres)7]])</f>
        <v>-18700</v>
      </c>
      <c r="W185" s="354">
        <f>VLOOKUP(Tableau1315[[#This Row],[PARCS]],Tableau17[],10,FALSE)</f>
        <v>-16400</v>
      </c>
      <c r="X185" s="252">
        <f>VLOOKUP(Tableau1315[[#This Row],[PARCS]],Tableau17[],18,FALSE)</f>
        <v>-550</v>
      </c>
      <c r="Y185" s="252">
        <f>VLOOKUP(Tableau1315[[#This Row],[PARCS]],Tableau17[],19,FALSE)</f>
        <v>0</v>
      </c>
      <c r="Z185" s="252">
        <f>VLOOKUP(Tableau1315[[#This Row],[PARCS]],Tableau17[],28,FALSE)</f>
        <v>-550</v>
      </c>
      <c r="AA185" s="252">
        <f>VLOOKUP(Tableau1315[[#This Row],[PARCS]],Tableau17[],36,FALSE)</f>
        <v>-5047.0999999999995</v>
      </c>
      <c r="AB185" s="252">
        <f>VLOOKUP(Tableau1315[[#This Row],[PARCS]],Tableau17[],37,FALSE)</f>
        <v>0</v>
      </c>
      <c r="AC185" s="468">
        <f>SUM(Tableau1315[[#This Row],[CONTRAT O&amp;M FORFAIT GROUPE22]:[CHARGES exceptionnels (BONUS, sinistres)77]])</f>
        <v>-22547.1</v>
      </c>
      <c r="AD185" s="252">
        <f>Tableau1315[[#This Row],[TOTAL LE3]]-Tableau1315[[#This Row],[TOTAL BN-1]]</f>
        <v>2200</v>
      </c>
      <c r="AE185" s="351">
        <f>IFERROR((Tableau1315[[#This Row],[TOTAL LE3]]-Tableau1315[[#This Row],[TOTAL BN-1]])/Tableau1315[[#This Row],[TOTAL BN-1]],"")</f>
        <v>-0.10526315789473684</v>
      </c>
      <c r="AF185" s="252">
        <f>Tableau1315[[#This Row],[TOTAL BN+1]]-Tableau1315[[#This Row],[TOTAL LE3]]</f>
        <v>-3847.0999999999985</v>
      </c>
      <c r="AG185" s="351">
        <f>IFERROR((Tableau1315[[#This Row],[TOTAL BN+1]]-Tableau1315[[#This Row],[TOTAL LE3]])/Tableau1315[[#This Row],[TOTAL LE3]],"")</f>
        <v>0.20572727272727265</v>
      </c>
    </row>
    <row r="186" spans="1:34" hidden="1">
      <c r="A186" s="463" t="s">
        <v>637</v>
      </c>
      <c r="B186" s="464" t="str">
        <f>VLOOKUP(Tableau1315[[#This Row],[PARCS]],Tableau106[],3,FALSE)</f>
        <v>A239</v>
      </c>
      <c r="C186" s="464" t="str">
        <f>VLOOKUP(Tableau1315[[#This Row],[PARCS]],Tableau106[],2,FALSE)</f>
        <v>FR87S01E</v>
      </c>
      <c r="D186" s="465" t="str">
        <f>VLOOKUP(Tableau1315[[#This Row],[PARCS]],Tableau106[],8,FALSE)</f>
        <v>SOLAIRE</v>
      </c>
      <c r="E186" s="465" t="str">
        <f>VLOOKUP(A186,Tableau106[[#Headers],[#Data]],6,FALSE)</f>
        <v>N</v>
      </c>
      <c r="F186" s="466" t="str">
        <f>VLOOKUP(Tableau1315[[#This Row],[PARCS]],Tableau106[],5,FALSE)</f>
        <v>MABE</v>
      </c>
      <c r="G186" s="464" t="str">
        <f>VLOOKUP(Tableau1315[[#This Row],[PARCS]],Tableau106[],7,FALSE)</f>
        <v>GROUPE</v>
      </c>
      <c r="H186" s="464" t="str">
        <f>VLOOKUP(Tableau1315[[#This Row],[PARCS]],Tableau106[],9,FALSE)</f>
        <v>ArB</v>
      </c>
      <c r="I186" s="350">
        <f>IFERROR(VLOOKUP(Tableau1315[[#This Row],[PARCS]],Tableau15[],10,FALSE),"")</f>
        <v>-25000</v>
      </c>
      <c r="J186" s="20">
        <f>IFERROR(VLOOKUP(Tableau1315[[#This Row],[PARCS]],Tableau15[],18,FALSE),"")</f>
        <v>-5000</v>
      </c>
      <c r="K186" s="252">
        <f>IFERROR(VLOOKUP(Tableau1315[[#This Row],[PARCS]],Tableau15[],19,FALSE),"")</f>
        <v>0</v>
      </c>
      <c r="L186" s="20">
        <f>IFERROR(VLOOKUP(Tableau1315[[#This Row],[PARCS]],Tableau15[],28,FALSE),"")</f>
        <v>-2500</v>
      </c>
      <c r="M186" s="252">
        <f>IFERROR(VLOOKUP(Tableau1315[[#This Row],[PARCS]],Tableau15[],36,FALSE),"")</f>
        <v>0</v>
      </c>
      <c r="N186" s="252">
        <f>IFERROR(VLOOKUP(Tableau1315[[#This Row],[PARCS]],Tableau15[],37,FALSE),"")</f>
        <v>0</v>
      </c>
      <c r="O186" s="467">
        <f>SUM(Tableau1315[[#This Row],[CONTRAT O&amp;M FORFAIT GROUPE]:[CHARGES exceptionnels (BONUS, sinistres)]])</f>
        <v>-32500</v>
      </c>
      <c r="P186" s="354">
        <f>VLOOKUP(Tableau1315[[#This Row],[PARCS]],Tableau16[],10,FALSE)</f>
        <v>-40000</v>
      </c>
      <c r="Q186" s="252">
        <f>VLOOKUP(Tableau1315[[#This Row],[PARCS]],Tableau16[],18,FALSE)</f>
        <v>-5250</v>
      </c>
      <c r="R186" s="252">
        <f>VLOOKUP(Tableau1315[[#This Row],[PARCS]],Tableau16[],19,FALSE)</f>
        <v>0</v>
      </c>
      <c r="S186" s="252">
        <f>VLOOKUP(Tableau1315[[#This Row],[PARCS]],Tableau16[],28,FALSE)</f>
        <v>-1250</v>
      </c>
      <c r="T186" s="252">
        <f>VLOOKUP(Tableau1315[[#This Row],[PARCS]],Tableau16[],36,FALSE)</f>
        <v>0</v>
      </c>
      <c r="U186" s="252">
        <f>VLOOKUP(Tableau1315[[#This Row],[PARCS]],Tableau16[],37,FALSE)</f>
        <v>0</v>
      </c>
      <c r="V186" s="467">
        <f>SUM(Tableau1315[[#This Row],[CONTRAT O&amp;M FORFAIT GROUPE2]:[CHARGES exceptionnels (BONUS, sinistres)7]])</f>
        <v>-46500</v>
      </c>
      <c r="W186" s="354">
        <f>VLOOKUP(Tableau1315[[#This Row],[PARCS]],Tableau17[],10,FALSE)</f>
        <v>-41000</v>
      </c>
      <c r="X186" s="252">
        <f>VLOOKUP(Tableau1315[[#This Row],[PARCS]],Tableau17[],18,FALSE)</f>
        <v>-1250</v>
      </c>
      <c r="Y186" s="252">
        <f>VLOOKUP(Tableau1315[[#This Row],[PARCS]],Tableau17[],19,FALSE)</f>
        <v>0</v>
      </c>
      <c r="Z186" s="252">
        <f>VLOOKUP(Tableau1315[[#This Row],[PARCS]],Tableau17[],28,FALSE)</f>
        <v>-1250</v>
      </c>
      <c r="AA186" s="252">
        <f>VLOOKUP(Tableau1315[[#This Row],[PARCS]],Tableau17[],36,FALSE)</f>
        <v>-5047.0999999999995</v>
      </c>
      <c r="AB186" s="252">
        <f>VLOOKUP(Tableau1315[[#This Row],[PARCS]],Tableau17[],37,FALSE)</f>
        <v>0</v>
      </c>
      <c r="AC186" s="468">
        <f>SUM(Tableau1315[[#This Row],[CONTRAT O&amp;M FORFAIT GROUPE22]:[CHARGES exceptionnels (BONUS, sinistres)77]])</f>
        <v>-48547.1</v>
      </c>
      <c r="AD186" s="252">
        <f>Tableau1315[[#This Row],[TOTAL LE3]]-Tableau1315[[#This Row],[TOTAL BN-1]]</f>
        <v>-14000</v>
      </c>
      <c r="AE186" s="351">
        <f>IFERROR((Tableau1315[[#This Row],[TOTAL LE3]]-Tableau1315[[#This Row],[TOTAL BN-1]])/Tableau1315[[#This Row],[TOTAL BN-1]],"")</f>
        <v>0.43076923076923079</v>
      </c>
      <c r="AF186" s="252">
        <f>Tableau1315[[#This Row],[TOTAL BN+1]]-Tableau1315[[#This Row],[TOTAL LE3]]</f>
        <v>-2047.0999999999985</v>
      </c>
      <c r="AG186" s="351">
        <f>IFERROR((Tableau1315[[#This Row],[TOTAL BN+1]]-Tableau1315[[#This Row],[TOTAL LE3]])/Tableau1315[[#This Row],[TOTAL LE3]],"")</f>
        <v>4.4023655913978464E-2</v>
      </c>
    </row>
    <row r="187" spans="1:34" hidden="1">
      <c r="A187" s="463" t="s">
        <v>658</v>
      </c>
      <c r="B187" s="464" t="str">
        <f>VLOOKUP(Tableau1315[[#This Row],[PARCS]],Tableau106[],3,FALSE)</f>
        <v>A044</v>
      </c>
      <c r="C187" s="464" t="str">
        <f>VLOOKUP(Tableau1315[[#This Row],[PARCS]],Tableau106[],2,FALSE)</f>
        <v>FR34E99E</v>
      </c>
      <c r="D187" s="465" t="str">
        <f>VLOOKUP(Tableau1315[[#This Row],[PARCS]],Tableau106[],8,FALSE)</f>
        <v>EOLIEN</v>
      </c>
      <c r="E187" s="465" t="str">
        <f>VLOOKUP(A187,Tableau106[[#Headers],[#Data]],6,FALSE)</f>
        <v>S</v>
      </c>
      <c r="F187" s="466" t="str">
        <f>VLOOKUP(Tableau1315[[#This Row],[PARCS]],Tableau106[],5,FALSE)</f>
        <v>OUP2</v>
      </c>
      <c r="G187" s="464" t="str">
        <f>VLOOKUP(Tableau1315[[#This Row],[PARCS]],Tableau106[],7,FALSE)</f>
        <v>GROUPE</v>
      </c>
      <c r="H187" s="464" t="str">
        <f>VLOOKUP(Tableau1315[[#This Row],[PARCS]],Tableau106[],9,FALSE)</f>
        <v>SaH</v>
      </c>
      <c r="I187" s="350" t="str">
        <f>IFERROR(VLOOKUP(Tableau1315[[#This Row],[PARCS]],Tableau15[],10,FALSE),"")</f>
        <v/>
      </c>
      <c r="J187" s="20" t="str">
        <f>IFERROR(VLOOKUP(Tableau1315[[#This Row],[PARCS]],Tableau15[],18,FALSE),"")</f>
        <v/>
      </c>
      <c r="K187" s="252" t="str">
        <f>IFERROR(VLOOKUP(Tableau1315[[#This Row],[PARCS]],Tableau15[],19,FALSE),"")</f>
        <v/>
      </c>
      <c r="L187" s="20" t="str">
        <f>IFERROR(VLOOKUP(Tableau1315[[#This Row],[PARCS]],Tableau15[],28,FALSE),"")</f>
        <v/>
      </c>
      <c r="M187" s="252" t="str">
        <f>IFERROR(VLOOKUP(Tableau1315[[#This Row],[PARCS]],Tableau15[],36,FALSE),"")</f>
        <v/>
      </c>
      <c r="N187" s="252" t="str">
        <f>IFERROR(VLOOKUP(Tableau1315[[#This Row],[PARCS]],Tableau15[],37,FALSE),"")</f>
        <v/>
      </c>
      <c r="O187" s="467">
        <f>SUM(Tableau1315[[#This Row],[CONTRAT O&amp;M FORFAIT GROUPE]:[CHARGES exceptionnels (BONUS, sinistres)]])</f>
        <v>0</v>
      </c>
      <c r="P187" s="354">
        <f>VLOOKUP(Tableau1315[[#This Row],[PARCS]],Tableau16[],10,FALSE)</f>
        <v>-5000</v>
      </c>
      <c r="Q187" s="252">
        <f>VLOOKUP(Tableau1315[[#This Row],[PARCS]],Tableau16[],18,FALSE)</f>
        <v>-27545</v>
      </c>
      <c r="R187" s="252">
        <f>VLOOKUP(Tableau1315[[#This Row],[PARCS]],Tableau16[],19,FALSE)</f>
        <v>-88560</v>
      </c>
      <c r="S187" s="252">
        <f>VLOOKUP(Tableau1315[[#This Row],[PARCS]],Tableau16[],28,FALSE)</f>
        <v>-17388</v>
      </c>
      <c r="T187" s="252">
        <f>VLOOKUP(Tableau1315[[#This Row],[PARCS]],Tableau16[],36,FALSE)</f>
        <v>-23000</v>
      </c>
      <c r="U187" s="252">
        <f>VLOOKUP(Tableau1315[[#This Row],[PARCS]],Tableau16[],37,FALSE)</f>
        <v>0</v>
      </c>
      <c r="V187" s="467">
        <f>SUM(Tableau1315[[#This Row],[CONTRAT O&amp;M FORFAIT GROUPE2]:[CHARGES exceptionnels (BONUS, sinistres)7]])</f>
        <v>-161493</v>
      </c>
      <c r="W187" s="354">
        <f>VLOOKUP(Tableau1315[[#This Row],[PARCS]],Tableau17[],10,FALSE)</f>
        <v>-12000</v>
      </c>
      <c r="X187" s="252">
        <f>VLOOKUP(Tableau1315[[#This Row],[PARCS]],Tableau17[],18,FALSE)</f>
        <v>-21283</v>
      </c>
      <c r="Y187" s="252">
        <f>VLOOKUP(Tableau1315[[#This Row],[PARCS]],Tableau17[],19,FALSE)</f>
        <v>-368409.60000000003</v>
      </c>
      <c r="Z187" s="252">
        <f>VLOOKUP(Tableau1315[[#This Row],[PARCS]],Tableau17[],28,FALSE)</f>
        <v>-21875</v>
      </c>
      <c r="AA187" s="252">
        <f>VLOOKUP(Tableau1315[[#This Row],[PARCS]],Tableau17[],36,FALSE)</f>
        <v>-205575</v>
      </c>
      <c r="AB187" s="252">
        <f>VLOOKUP(Tableau1315[[#This Row],[PARCS]],Tableau17[],37,FALSE)</f>
        <v>0</v>
      </c>
      <c r="AC187" s="468">
        <f>SUM(Tableau1315[[#This Row],[CONTRAT O&amp;M FORFAIT GROUPE22]:[CHARGES exceptionnels (BONUS, sinistres)77]])</f>
        <v>-629142.60000000009</v>
      </c>
      <c r="AD187" s="252">
        <f>Tableau1315[[#This Row],[TOTAL LE3]]-Tableau1315[[#This Row],[TOTAL BN-1]]</f>
        <v>-161493</v>
      </c>
      <c r="AE187" s="351" t="str">
        <f>IFERROR((Tableau1315[[#This Row],[TOTAL LE3]]-Tableau1315[[#This Row],[TOTAL BN-1]])/Tableau1315[[#This Row],[TOTAL BN-1]],"")</f>
        <v/>
      </c>
      <c r="AF187" s="252">
        <f>Tableau1315[[#This Row],[TOTAL BN+1]]-Tableau1315[[#This Row],[TOTAL LE3]]</f>
        <v>-467649.60000000009</v>
      </c>
      <c r="AG187" s="351">
        <f>IFERROR((Tableau1315[[#This Row],[TOTAL BN+1]]-Tableau1315[[#This Row],[TOTAL LE3]])/Tableau1315[[#This Row],[TOTAL LE3]],"")</f>
        <v>2.895788671954822</v>
      </c>
    </row>
    <row r="188" spans="1:34" hidden="1">
      <c r="A188" s="463" t="s">
        <v>638</v>
      </c>
      <c r="B188" s="464" t="str">
        <f>VLOOKUP(Tableau1315[[#This Row],[PARCS]],Tableau106[],3,FALSE)</f>
        <v>A251</v>
      </c>
      <c r="C188" s="464" t="str">
        <f>VLOOKUP(Tableau1315[[#This Row],[PARCS]],Tableau106[],2,FALSE)</f>
        <v>FRD4S01E</v>
      </c>
      <c r="D188" s="465" t="str">
        <f>VLOOKUP(Tableau1315[[#This Row],[PARCS]],Tableau106[],8,FALSE)</f>
        <v>SOLAIRE DOM</v>
      </c>
      <c r="E188" s="465" t="str">
        <f>VLOOKUP(A188,Tableau106[[#Headers],[#Data]],6,FALSE)</f>
        <v>DOM</v>
      </c>
      <c r="F188" s="466" t="str">
        <f>VLOOKUP(Tableau1315[[#This Row],[PARCS]],Tableau106[],5,FALSE)</f>
        <v>RDGA</v>
      </c>
      <c r="G188" s="464" t="str">
        <f>VLOOKUP(Tableau1315[[#This Row],[PARCS]],Tableau106[],7,FALSE)</f>
        <v>GROUPE</v>
      </c>
      <c r="H188" s="464" t="str">
        <f>VLOOKUP(Tableau1315[[#This Row],[PARCS]],Tableau106[],9,FALSE)</f>
        <v>BeK</v>
      </c>
      <c r="I188" s="350">
        <f>IFERROR(VLOOKUP(Tableau1315[[#This Row],[PARCS]],Tableau15[],10,FALSE),"")</f>
        <v>-36000</v>
      </c>
      <c r="J188" s="20">
        <f>IFERROR(VLOOKUP(Tableau1315[[#This Row],[PARCS]],Tableau15[],18,FALSE),"")</f>
        <v>-4500</v>
      </c>
      <c r="K188" s="252">
        <f>IFERROR(VLOOKUP(Tableau1315[[#This Row],[PARCS]],Tableau15[],19,FALSE),"")</f>
        <v>0</v>
      </c>
      <c r="L188" s="20">
        <f>IFERROR(VLOOKUP(Tableau1315[[#This Row],[PARCS]],Tableau15[],28,FALSE),"")</f>
        <v>-2250</v>
      </c>
      <c r="M188" s="252">
        <f>IFERROR(VLOOKUP(Tableau1315[[#This Row],[PARCS]],Tableau15[],36,FALSE),"")</f>
        <v>-8419</v>
      </c>
      <c r="N188" s="252">
        <f>IFERROR(VLOOKUP(Tableau1315[[#This Row],[PARCS]],Tableau15[],37,FALSE),"")</f>
        <v>0</v>
      </c>
      <c r="O188" s="467">
        <f>SUM(Tableau1315[[#This Row],[CONTRAT O&amp;M FORFAIT GROUPE]:[CHARGES exceptionnels (BONUS, sinistres)]])</f>
        <v>-51169</v>
      </c>
      <c r="P188" s="354">
        <f>VLOOKUP(Tableau1315[[#This Row],[PARCS]],Tableau16[],10,FALSE)</f>
        <v>0</v>
      </c>
      <c r="Q188" s="252">
        <f>VLOOKUP(Tableau1315[[#This Row],[PARCS]],Tableau16[],18,FALSE)</f>
        <v>-1122.5</v>
      </c>
      <c r="R188" s="252">
        <f>VLOOKUP(Tableau1315[[#This Row],[PARCS]],Tableau16[],19,FALSE)</f>
        <v>0</v>
      </c>
      <c r="S188" s="252">
        <f>VLOOKUP(Tableau1315[[#This Row],[PARCS]],Tableau16[],28,FALSE)</f>
        <v>-1122.5</v>
      </c>
      <c r="T188" s="252">
        <f>VLOOKUP(Tableau1315[[#This Row],[PARCS]],Tableau16[],36,FALSE)</f>
        <v>-8419</v>
      </c>
      <c r="U188" s="252">
        <f>VLOOKUP(Tableau1315[[#This Row],[PARCS]],Tableau16[],37,FALSE)</f>
        <v>0</v>
      </c>
      <c r="V188" s="467">
        <f>SUM(Tableau1315[[#This Row],[CONTRAT O&amp;M FORFAIT GROUPE2]:[CHARGES exceptionnels (BONUS, sinistres)7]])</f>
        <v>-10664</v>
      </c>
      <c r="W188" s="354">
        <f>VLOOKUP(Tableau1315[[#This Row],[PARCS]],Tableau17[],10,FALSE)</f>
        <v>0</v>
      </c>
      <c r="X188" s="252">
        <f>VLOOKUP(Tableau1315[[#This Row],[PARCS]],Tableau17[],18,FALSE)</f>
        <v>-1122.5</v>
      </c>
      <c r="Y188" s="252">
        <f>VLOOKUP(Tableau1315[[#This Row],[PARCS]],Tableau17[],19,FALSE)</f>
        <v>0</v>
      </c>
      <c r="Z188" s="252">
        <f>VLOOKUP(Tableau1315[[#This Row],[PARCS]],Tableau17[],28,FALSE)</f>
        <v>-1122.5</v>
      </c>
      <c r="AA188" s="252">
        <f>VLOOKUP(Tableau1315[[#This Row],[PARCS]],Tableau17[],36,FALSE)</f>
        <v>-5047.0999999999995</v>
      </c>
      <c r="AB188" s="252">
        <f>VLOOKUP(Tableau1315[[#This Row],[PARCS]],Tableau17[],37,FALSE)</f>
        <v>0</v>
      </c>
      <c r="AC188" s="468">
        <f>SUM(Tableau1315[[#This Row],[CONTRAT O&amp;M FORFAIT GROUPE22]:[CHARGES exceptionnels (BONUS, sinistres)77]])</f>
        <v>-7292.0999999999995</v>
      </c>
      <c r="AD188" s="252">
        <f>Tableau1315[[#This Row],[TOTAL LE3]]-Tableau1315[[#This Row],[TOTAL BN-1]]</f>
        <v>40505</v>
      </c>
      <c r="AE188" s="351">
        <f>IFERROR((Tableau1315[[#This Row],[TOTAL LE3]]-Tableau1315[[#This Row],[TOTAL BN-1]])/Tableau1315[[#This Row],[TOTAL BN-1]],"")</f>
        <v>-0.79159256581133108</v>
      </c>
      <c r="AF188" s="252">
        <f>Tableau1315[[#This Row],[TOTAL BN+1]]-Tableau1315[[#This Row],[TOTAL LE3]]</f>
        <v>3371.9000000000005</v>
      </c>
      <c r="AG188" s="351">
        <f>IFERROR((Tableau1315[[#This Row],[TOTAL BN+1]]-Tableau1315[[#This Row],[TOTAL LE3]])/Tableau1315[[#This Row],[TOTAL LE3]],"")</f>
        <v>-0.31619467366841714</v>
      </c>
    </row>
    <row r="189" spans="1:34" hidden="1">
      <c r="A189" s="463" t="s">
        <v>639</v>
      </c>
      <c r="B189" s="464" t="str">
        <f>VLOOKUP(Tableau1315[[#This Row],[PARCS]],Tableau106[],3,FALSE)</f>
        <v>A955</v>
      </c>
      <c r="C189" s="464" t="str">
        <f>VLOOKUP(Tableau1315[[#This Row],[PARCS]],Tableau106[],2,FALSE)</f>
        <v>FR05S03E</v>
      </c>
      <c r="D189" s="465" t="str">
        <f>VLOOKUP(Tableau1315[[#This Row],[PARCS]],Tableau106[],8,FALSE)</f>
        <v>SOLAIRE</v>
      </c>
      <c r="E189" s="465" t="str">
        <f>VLOOKUP(A189,Tableau106[[#Headers],[#Data]],6,FALSE)</f>
        <v>S</v>
      </c>
      <c r="F189" s="466" t="str">
        <f>VLOOKUP(Tableau1315[[#This Row],[PARCS]],Tableau106[],5,FALSE)</f>
        <v>ROCH</v>
      </c>
      <c r="G189" s="464" t="str">
        <f>VLOOKUP(Tableau1315[[#This Row],[PARCS]],Tableau106[],7,FALSE)</f>
        <v>GROUPE</v>
      </c>
      <c r="H189" s="464" t="str">
        <f>VLOOKUP(Tableau1315[[#This Row],[PARCS]],Tableau106[],9,FALSE)</f>
        <v>BaA</v>
      </c>
      <c r="I189" s="350">
        <f>IFERROR(VLOOKUP(Tableau1315[[#This Row],[PARCS]],Tableau15[],10,FALSE),"")</f>
        <v>-25000</v>
      </c>
      <c r="J189" s="20">
        <f>IFERROR(VLOOKUP(Tableau1315[[#This Row],[PARCS]],Tableau15[],18,FALSE),"")</f>
        <v>-5000</v>
      </c>
      <c r="K189" s="252">
        <f>IFERROR(VLOOKUP(Tableau1315[[#This Row],[PARCS]],Tableau15[],19,FALSE),"")</f>
        <v>0</v>
      </c>
      <c r="L189" s="20">
        <f>IFERROR(VLOOKUP(Tableau1315[[#This Row],[PARCS]],Tableau15[],28,FALSE),"")</f>
        <v>-2500</v>
      </c>
      <c r="M189" s="252">
        <f>IFERROR(VLOOKUP(Tableau1315[[#This Row],[PARCS]],Tableau15[],36,FALSE),"")</f>
        <v>-6000</v>
      </c>
      <c r="N189" s="252">
        <f>IFERROR(VLOOKUP(Tableau1315[[#This Row],[PARCS]],Tableau15[],37,FALSE),"")</f>
        <v>0</v>
      </c>
      <c r="O189" s="467">
        <f>SUM(Tableau1315[[#This Row],[CONTRAT O&amp;M FORFAIT GROUPE]:[CHARGES exceptionnels (BONUS, sinistres)]])</f>
        <v>-38500</v>
      </c>
      <c r="P189" s="354">
        <f>VLOOKUP(Tableau1315[[#This Row],[PARCS]],Tableau16[],10,FALSE)</f>
        <v>-40000</v>
      </c>
      <c r="Q189" s="252">
        <f>VLOOKUP(Tableau1315[[#This Row],[PARCS]],Tableau16[],18,FALSE)</f>
        <v>-1250</v>
      </c>
      <c r="R189" s="252">
        <f>VLOOKUP(Tableau1315[[#This Row],[PARCS]],Tableau16[],19,FALSE)</f>
        <v>0</v>
      </c>
      <c r="S189" s="252">
        <f>VLOOKUP(Tableau1315[[#This Row],[PARCS]],Tableau16[],28,FALSE)</f>
        <v>-1250</v>
      </c>
      <c r="T189" s="252">
        <f>VLOOKUP(Tableau1315[[#This Row],[PARCS]],Tableau16[],36,FALSE)</f>
        <v>0</v>
      </c>
      <c r="U189" s="252">
        <f>VLOOKUP(Tableau1315[[#This Row],[PARCS]],Tableau16[],37,FALSE)</f>
        <v>0</v>
      </c>
      <c r="V189" s="467">
        <f>SUM(Tableau1315[[#This Row],[CONTRAT O&amp;M FORFAIT GROUPE2]:[CHARGES exceptionnels (BONUS, sinistres)7]])</f>
        <v>-42500</v>
      </c>
      <c r="W189" s="354">
        <f>VLOOKUP(Tableau1315[[#This Row],[PARCS]],Tableau17[],10,FALSE)</f>
        <v>-41000</v>
      </c>
      <c r="X189" s="252">
        <f>VLOOKUP(Tableau1315[[#This Row],[PARCS]],Tableau17[],18,FALSE)</f>
        <v>-1250</v>
      </c>
      <c r="Y189" s="252">
        <f>VLOOKUP(Tableau1315[[#This Row],[PARCS]],Tableau17[],19,FALSE)</f>
        <v>0</v>
      </c>
      <c r="Z189" s="252">
        <f>VLOOKUP(Tableau1315[[#This Row],[PARCS]],Tableau17[],28,FALSE)</f>
        <v>-1250</v>
      </c>
      <c r="AA189" s="252">
        <f>VLOOKUP(Tableau1315[[#This Row],[PARCS]],Tableau17[],36,FALSE)</f>
        <v>-15000</v>
      </c>
      <c r="AB189" s="252">
        <f>VLOOKUP(Tableau1315[[#This Row],[PARCS]],Tableau17[],37,FALSE)</f>
        <v>0</v>
      </c>
      <c r="AC189" s="468">
        <f>SUM(Tableau1315[[#This Row],[CONTRAT O&amp;M FORFAIT GROUPE22]:[CHARGES exceptionnels (BONUS, sinistres)77]])</f>
        <v>-58500</v>
      </c>
      <c r="AD189" s="252">
        <f>Tableau1315[[#This Row],[TOTAL LE3]]-Tableau1315[[#This Row],[TOTAL BN-1]]</f>
        <v>-4000</v>
      </c>
      <c r="AE189" s="351">
        <f>IFERROR((Tableau1315[[#This Row],[TOTAL LE3]]-Tableau1315[[#This Row],[TOTAL BN-1]])/Tableau1315[[#This Row],[TOTAL BN-1]],"")</f>
        <v>0.1038961038961039</v>
      </c>
      <c r="AF189" s="252">
        <f>Tableau1315[[#This Row],[TOTAL BN+1]]-Tableau1315[[#This Row],[TOTAL LE3]]</f>
        <v>-16000</v>
      </c>
      <c r="AG189" s="351">
        <f>IFERROR((Tableau1315[[#This Row],[TOTAL BN+1]]-Tableau1315[[#This Row],[TOTAL LE3]])/Tableau1315[[#This Row],[TOTAL LE3]],"")</f>
        <v>0.37647058823529411</v>
      </c>
    </row>
    <row r="190" spans="1:34" hidden="1">
      <c r="A190" s="463" t="s">
        <v>641</v>
      </c>
      <c r="B190" s="464" t="str">
        <f>VLOOKUP(Tableau1315[[#This Row],[PARCS]],Tableau106[],3,FALSE)</f>
        <v>A269</v>
      </c>
      <c r="C190" s="464" t="str">
        <f>VLOOKUP(Tableau1315[[#This Row],[PARCS]],Tableau106[],2,FALSE)</f>
        <v>FR13S17E</v>
      </c>
      <c r="D190" s="465" t="str">
        <f>VLOOKUP(Tableau1315[[#This Row],[PARCS]],Tableau106[],8,FALSE)</f>
        <v>SOLAIRE</v>
      </c>
      <c r="E190" s="465" t="str">
        <f>VLOOKUP(A190,Tableau106[[#Headers],[#Data]],6,FALSE)</f>
        <v>S</v>
      </c>
      <c r="F190" s="466" t="str">
        <f>VLOOKUP(Tableau1315[[#This Row],[PARCS]],Tableau106[],5,FALSE)</f>
        <v>SALP</v>
      </c>
      <c r="G190" s="464" t="str">
        <f>VLOOKUP(Tableau1315[[#This Row],[PARCS]],Tableau106[],7,FALSE)</f>
        <v>GROUPE</v>
      </c>
      <c r="H190" s="464" t="str">
        <f>VLOOKUP(Tableau1315[[#This Row],[PARCS]],Tableau106[],9,FALSE)</f>
        <v>BaA</v>
      </c>
      <c r="I190" s="350">
        <f>IFERROR(VLOOKUP(Tableau1315[[#This Row],[PARCS]],Tableau15[],10,FALSE),"")</f>
        <v>-16500</v>
      </c>
      <c r="J190" s="20">
        <f>IFERROR(VLOOKUP(Tableau1315[[#This Row],[PARCS]],Tableau15[],18,FALSE),"")</f>
        <v>-3300</v>
      </c>
      <c r="K190" s="252">
        <f>IFERROR(VLOOKUP(Tableau1315[[#This Row],[PARCS]],Tableau15[],19,FALSE),"")</f>
        <v>0</v>
      </c>
      <c r="L190" s="20">
        <f>IFERROR(VLOOKUP(Tableau1315[[#This Row],[PARCS]],Tableau15[],28,FALSE),"")</f>
        <v>-1650</v>
      </c>
      <c r="M190" s="252">
        <f>IFERROR(VLOOKUP(Tableau1315[[#This Row],[PARCS]],Tableau15[],36,FALSE),"")</f>
        <v>-3000</v>
      </c>
      <c r="N190" s="252">
        <f>IFERROR(VLOOKUP(Tableau1315[[#This Row],[PARCS]],Tableau15[],37,FALSE),"")</f>
        <v>0</v>
      </c>
      <c r="O190" s="467">
        <f>SUM(Tableau1315[[#This Row],[CONTRAT O&amp;M FORFAIT GROUPE]:[CHARGES exceptionnels (BONUS, sinistres)]])</f>
        <v>-24450</v>
      </c>
      <c r="P190" s="354">
        <f>VLOOKUP(Tableau1315[[#This Row],[PARCS]],Tableau16[],10,FALSE)</f>
        <v>-27200</v>
      </c>
      <c r="Q190" s="252">
        <f>VLOOKUP(Tableau1315[[#This Row],[PARCS]],Tableau16[],18,FALSE)</f>
        <v>-850</v>
      </c>
      <c r="R190" s="252">
        <f>VLOOKUP(Tableau1315[[#This Row],[PARCS]],Tableau16[],19,FALSE)</f>
        <v>0</v>
      </c>
      <c r="S190" s="252">
        <f>VLOOKUP(Tableau1315[[#This Row],[PARCS]],Tableau16[],28,FALSE)</f>
        <v>-850</v>
      </c>
      <c r="T190" s="252">
        <f>VLOOKUP(Tableau1315[[#This Row],[PARCS]],Tableau16[],36,FALSE)</f>
        <v>0</v>
      </c>
      <c r="U190" s="252">
        <f>VLOOKUP(Tableau1315[[#This Row],[PARCS]],Tableau16[],37,FALSE)</f>
        <v>0</v>
      </c>
      <c r="V190" s="467">
        <f>SUM(Tableau1315[[#This Row],[CONTRAT O&amp;M FORFAIT GROUPE2]:[CHARGES exceptionnels (BONUS, sinistres)7]])</f>
        <v>-28900</v>
      </c>
      <c r="W190" s="354">
        <f>VLOOKUP(Tableau1315[[#This Row],[PARCS]],Tableau17[],10,FALSE)</f>
        <v>-27879.999999999996</v>
      </c>
      <c r="X190" s="252">
        <f>VLOOKUP(Tableau1315[[#This Row],[PARCS]],Tableau17[],18,FALSE)</f>
        <v>-850</v>
      </c>
      <c r="Y190" s="252">
        <f>VLOOKUP(Tableau1315[[#This Row],[PARCS]],Tableau17[],19,FALSE)</f>
        <v>0</v>
      </c>
      <c r="Z190" s="252">
        <f>VLOOKUP(Tableau1315[[#This Row],[PARCS]],Tableau17[],28,FALSE)</f>
        <v>-850</v>
      </c>
      <c r="AA190" s="252">
        <f>VLOOKUP(Tableau1315[[#This Row],[PARCS]],Tableau17[],36,FALSE)</f>
        <v>-5000</v>
      </c>
      <c r="AB190" s="252">
        <f>VLOOKUP(Tableau1315[[#This Row],[PARCS]],Tableau17[],37,FALSE)</f>
        <v>0</v>
      </c>
      <c r="AC190" s="468">
        <f>SUM(Tableau1315[[#This Row],[CONTRAT O&amp;M FORFAIT GROUPE22]:[CHARGES exceptionnels (BONUS, sinistres)77]])</f>
        <v>-34580</v>
      </c>
      <c r="AD190" s="252">
        <f>Tableau1315[[#This Row],[TOTAL LE3]]-Tableau1315[[#This Row],[TOTAL BN-1]]</f>
        <v>-4450</v>
      </c>
      <c r="AE190" s="351">
        <f>IFERROR((Tableau1315[[#This Row],[TOTAL LE3]]-Tableau1315[[#This Row],[TOTAL BN-1]])/Tableau1315[[#This Row],[TOTAL BN-1]],"")</f>
        <v>0.18200408997955012</v>
      </c>
      <c r="AF190" s="252">
        <f>Tableau1315[[#This Row],[TOTAL BN+1]]-Tableau1315[[#This Row],[TOTAL LE3]]</f>
        <v>-5680</v>
      </c>
      <c r="AG190" s="351">
        <f>IFERROR((Tableau1315[[#This Row],[TOTAL BN+1]]-Tableau1315[[#This Row],[TOTAL LE3]])/Tableau1315[[#This Row],[TOTAL LE3]],"")</f>
        <v>0.19653979238754327</v>
      </c>
    </row>
    <row r="191" spans="1:34" hidden="1">
      <c r="A191" s="463" t="s">
        <v>625</v>
      </c>
      <c r="B191" s="464" t="str">
        <f>VLOOKUP(Tableau1315[[#This Row],[PARCS]],Tableau106[],3,FALSE)</f>
        <v>A892</v>
      </c>
      <c r="C191" s="464" t="str">
        <f>VLOOKUP(Tableau1315[[#This Row],[PARCS]],Tableau106[],2,FALSE)</f>
        <v>FR02E99E</v>
      </c>
      <c r="D191" s="465" t="str">
        <f>VLOOKUP(Tableau1315[[#This Row],[PARCS]],Tableau106[],8,FALSE)</f>
        <v>EOLIEN</v>
      </c>
      <c r="E191" s="465" t="str">
        <f>VLOOKUP(A191,Tableau106[[#Headers],[#Data]],6,FALSE)</f>
        <v>N</v>
      </c>
      <c r="F191" s="466" t="str">
        <f>VLOOKUP(Tableau1315[[#This Row],[PARCS]],Tableau106[],5,FALSE)</f>
        <v>STSI</v>
      </c>
      <c r="G191" s="464" t="str">
        <f>VLOOKUP(Tableau1315[[#This Row],[PARCS]],Tableau106[],7,FALSE)</f>
        <v>GROUPE</v>
      </c>
      <c r="H191" s="464" t="str">
        <f>VLOOKUP(Tableau1315[[#This Row],[PARCS]],Tableau106[],9,FALSE)</f>
        <v>AyB</v>
      </c>
      <c r="I191" s="350">
        <f>IFERROR(VLOOKUP(Tableau1315[[#This Row],[PARCS]],Tableau15[],10,FALSE),"")</f>
        <v>-139853.22</v>
      </c>
      <c r="J191" s="20">
        <f>IFERROR(VLOOKUP(Tableau1315[[#This Row],[PARCS]],Tableau15[],18,FALSE),"")</f>
        <v>-67770</v>
      </c>
      <c r="K191" s="252">
        <f>IFERROR(VLOOKUP(Tableau1315[[#This Row],[PARCS]],Tableau15[],19,FALSE),"")</f>
        <v>-1460362.64</v>
      </c>
      <c r="L191" s="20">
        <f>IFERROR(VLOOKUP(Tableau1315[[#This Row],[PARCS]],Tableau15[],28,FALSE),"")</f>
        <v>-65100</v>
      </c>
      <c r="M191" s="252">
        <f>IFERROR(VLOOKUP(Tableau1315[[#This Row],[PARCS]],Tableau15[],36,FALSE),"")</f>
        <v>-31144</v>
      </c>
      <c r="N191" s="252">
        <f>IFERROR(VLOOKUP(Tableau1315[[#This Row],[PARCS]],Tableau15[],37,FALSE),"")</f>
        <v>0</v>
      </c>
      <c r="O191" s="467">
        <f>SUM(Tableau1315[[#This Row],[CONTRAT O&amp;M FORFAIT GROUPE]:[CHARGES exceptionnels (BONUS, sinistres)]])</f>
        <v>-1764229.8599999999</v>
      </c>
      <c r="P191" s="354">
        <f>VLOOKUP(Tableau1315[[#This Row],[PARCS]],Tableau16[],10,FALSE)</f>
        <v>-57000</v>
      </c>
      <c r="Q191" s="252">
        <f>VLOOKUP(Tableau1315[[#This Row],[PARCS]],Tableau16[],18,FALSE)</f>
        <v>-107530</v>
      </c>
      <c r="R191" s="252">
        <f>VLOOKUP(Tableau1315[[#This Row],[PARCS]],Tableau16[],19,FALSE)</f>
        <v>0</v>
      </c>
      <c r="S191" s="252">
        <f>VLOOKUP(Tableau1315[[#This Row],[PARCS]],Tableau16[],28,FALSE)</f>
        <v>-52530</v>
      </c>
      <c r="T191" s="252">
        <f>VLOOKUP(Tableau1315[[#This Row],[PARCS]],Tableau16[],36,FALSE)</f>
        <v>-31144</v>
      </c>
      <c r="U191" s="252">
        <f>VLOOKUP(Tableau1315[[#This Row],[PARCS]],Tableau16[],37,FALSE)</f>
        <v>0</v>
      </c>
      <c r="V191" s="467">
        <f>SUM(Tableau1315[[#This Row],[CONTRAT O&amp;M FORFAIT GROUPE2]:[CHARGES exceptionnels (BONUS, sinistres)7]])</f>
        <v>-248204</v>
      </c>
      <c r="W191" s="354">
        <f>VLOOKUP(Tableau1315[[#This Row],[PARCS]],Tableau17[],10,FALSE)</f>
        <v>-58424.999999999993</v>
      </c>
      <c r="X191" s="252">
        <f>VLOOKUP(Tableau1315[[#This Row],[PARCS]],Tableau17[],18,FALSE)</f>
        <v>0</v>
      </c>
      <c r="Y191" s="252">
        <f>VLOOKUP(Tableau1315[[#This Row],[PARCS]],Tableau17[],19,FALSE)</f>
        <v>0</v>
      </c>
      <c r="Z191" s="252">
        <f>VLOOKUP(Tableau1315[[#This Row],[PARCS]],Tableau17[],28,FALSE)</f>
        <v>0</v>
      </c>
      <c r="AA191" s="252">
        <f>VLOOKUP(Tableau1315[[#This Row],[PARCS]],Tableau17[],36,FALSE)</f>
        <v>-5047.0999999999995</v>
      </c>
      <c r="AB191" s="252">
        <f>VLOOKUP(Tableau1315[[#This Row],[PARCS]],Tableau17[],37,FALSE)</f>
        <v>0</v>
      </c>
      <c r="AC191" s="468">
        <f>SUM(Tableau1315[[#This Row],[CONTRAT O&amp;M FORFAIT GROUPE22]:[CHARGES exceptionnels (BONUS, sinistres)77]])</f>
        <v>-63472.099999999991</v>
      </c>
      <c r="AD191" s="252">
        <f>Tableau1315[[#This Row],[TOTAL LE3]]-Tableau1315[[#This Row],[TOTAL BN-1]]</f>
        <v>1516025.8599999999</v>
      </c>
      <c r="AE191" s="351">
        <f>IFERROR((Tableau1315[[#This Row],[TOTAL LE3]]-Tableau1315[[#This Row],[TOTAL BN-1]])/Tableau1315[[#This Row],[TOTAL BN-1]],"")</f>
        <v>-0.85931311694270951</v>
      </c>
      <c r="AF191" s="252">
        <f>Tableau1315[[#This Row],[TOTAL BN+1]]-Tableau1315[[#This Row],[TOTAL LE3]]</f>
        <v>184731.90000000002</v>
      </c>
      <c r="AG191" s="351">
        <f>IFERROR((Tableau1315[[#This Row],[TOTAL BN+1]]-Tableau1315[[#This Row],[TOTAL LE3]])/Tableau1315[[#This Row],[TOTAL LE3]],"")</f>
        <v>-0.74427446777650652</v>
      </c>
    </row>
    <row r="192" spans="1:34" hidden="1">
      <c r="A192" s="463" t="s">
        <v>680</v>
      </c>
      <c r="B192" s="464" t="str">
        <f>VLOOKUP(Tableau1315[[#This Row],[PARCS]],Tableau106[],3,FALSE)</f>
        <v>A9892</v>
      </c>
      <c r="C192" s="464" t="str">
        <f>VLOOKUP(Tableau1315[[#This Row],[PARCS]],Tableau106[],2,FALSE)</f>
        <v>FR02E993</v>
      </c>
      <c r="D192" s="465" t="str">
        <f>VLOOKUP(Tableau1315[[#This Row],[PARCS]],Tableau106[],8,FALSE)</f>
        <v>EOLIEN</v>
      </c>
      <c r="E192" s="465" t="str">
        <f>VLOOKUP(A192,Tableau106[[#Headers],[#Data]],6,FALSE)</f>
        <v>N</v>
      </c>
      <c r="F192" s="466" t="str">
        <f>VLOOKUP(Tableau1315[[#This Row],[PARCS]],Tableau106[],5,FALSE)</f>
        <v>STS2</v>
      </c>
      <c r="G192" s="464" t="str">
        <f>VLOOKUP(Tableau1315[[#This Row],[PARCS]],Tableau106[],7,FALSE)</f>
        <v>GROUPE</v>
      </c>
      <c r="H192" s="464" t="str">
        <f>VLOOKUP(Tableau1315[[#This Row],[PARCS]],Tableau106[],9,FALSE)</f>
        <v>AyB</v>
      </c>
      <c r="I192" s="350" t="str">
        <f>IFERROR(VLOOKUP(Tableau1315[[#This Row],[PARCS]],Tableau15[],10,FALSE),"")</f>
        <v/>
      </c>
      <c r="J192" s="20" t="str">
        <f>IFERROR(VLOOKUP(Tableau1315[[#This Row],[PARCS]],Tableau15[],18,FALSE),"")</f>
        <v/>
      </c>
      <c r="K192" s="252" t="str">
        <f>IFERROR(VLOOKUP(Tableau1315[[#This Row],[PARCS]],Tableau15[],19,FALSE),"")</f>
        <v/>
      </c>
      <c r="L192" s="20" t="str">
        <f>IFERROR(VLOOKUP(Tableau1315[[#This Row],[PARCS]],Tableau15[],28,FALSE),"")</f>
        <v/>
      </c>
      <c r="M192" s="252" t="str">
        <f>IFERROR(VLOOKUP(Tableau1315[[#This Row],[PARCS]],Tableau15[],36,FALSE),"")</f>
        <v/>
      </c>
      <c r="N192" s="252" t="str">
        <f>IFERROR(VLOOKUP(Tableau1315[[#This Row],[PARCS]],Tableau15[],37,FALSE),"")</f>
        <v/>
      </c>
      <c r="O192" s="467">
        <f>SUM(Tableau1315[[#This Row],[CONTRAT O&amp;M FORFAIT GROUPE]:[CHARGES exceptionnels (BONUS, sinistres)]])</f>
        <v>0</v>
      </c>
      <c r="P192" s="354">
        <f>VLOOKUP(Tableau1315[[#This Row],[PARCS]],Tableau16[],10,FALSE)</f>
        <v>0</v>
      </c>
      <c r="Q192" s="252">
        <f>VLOOKUP(Tableau1315[[#This Row],[PARCS]],Tableau16[],18,FALSE)</f>
        <v>0</v>
      </c>
      <c r="R192" s="252">
        <f>VLOOKUP(Tableau1315[[#This Row],[PARCS]],Tableau16[],19,FALSE)</f>
        <v>0</v>
      </c>
      <c r="S192" s="252">
        <f>VLOOKUP(Tableau1315[[#This Row],[PARCS]],Tableau16[],28,FALSE)</f>
        <v>0</v>
      </c>
      <c r="T192" s="252">
        <f>VLOOKUP(Tableau1315[[#This Row],[PARCS]],Tableau16[],36,FALSE)</f>
        <v>0</v>
      </c>
      <c r="U192" s="252">
        <f>VLOOKUP(Tableau1315[[#This Row],[PARCS]],Tableau16[],37,FALSE)</f>
        <v>0</v>
      </c>
      <c r="V192" s="467">
        <f>SUM(Tableau1315[[#This Row],[CONTRAT O&amp;M FORFAIT GROUPE2]:[CHARGES exceptionnels (BONUS, sinistres)7]])</f>
        <v>0</v>
      </c>
      <c r="W192" s="354">
        <f>VLOOKUP(Tableau1315[[#This Row],[PARCS]],Tableau17[],10,FALSE)</f>
        <v>-8333.3333333333339</v>
      </c>
      <c r="X192" s="252">
        <f>VLOOKUP(Tableau1315[[#This Row],[PARCS]],Tableau17[],18,FALSE)</f>
        <v>-8280</v>
      </c>
      <c r="Y192" s="252">
        <f>VLOOKUP(Tableau1315[[#This Row],[PARCS]],Tableau17[],19,FALSE)</f>
        <v>-210000</v>
      </c>
      <c r="Z192" s="252">
        <f>VLOOKUP(Tableau1315[[#This Row],[PARCS]],Tableau17[],28,FALSE)</f>
        <v>-8000</v>
      </c>
      <c r="AA192" s="252">
        <f>VLOOKUP(Tableau1315[[#This Row],[PARCS]],Tableau17[],36,FALSE)</f>
        <v>-5047.0999999999995</v>
      </c>
      <c r="AB192" s="252">
        <f>VLOOKUP(Tableau1315[[#This Row],[PARCS]],Tableau17[],37,FALSE)</f>
        <v>0</v>
      </c>
      <c r="AC192" s="468">
        <f>SUM(Tableau1315[[#This Row],[CONTRAT O&amp;M FORFAIT GROUPE22]:[CHARGES exceptionnels (BONUS, sinistres)77]])</f>
        <v>-239660.43333333335</v>
      </c>
      <c r="AD192" s="252">
        <f>Tableau1315[[#This Row],[TOTAL LE3]]-Tableau1315[[#This Row],[TOTAL BN-1]]</f>
        <v>0</v>
      </c>
      <c r="AE192" s="351" t="str">
        <f>IFERROR((Tableau1315[[#This Row],[TOTAL LE3]]-Tableau1315[[#This Row],[TOTAL BN-1]])/Tableau1315[[#This Row],[TOTAL BN-1]],"")</f>
        <v/>
      </c>
      <c r="AF192" s="252">
        <f>Tableau1315[[#This Row],[TOTAL BN+1]]-Tableau1315[[#This Row],[TOTAL LE3]]</f>
        <v>-239660.43333333335</v>
      </c>
      <c r="AG192" s="351" t="str">
        <f>IFERROR((Tableau1315[[#This Row],[TOTAL BN+1]]-Tableau1315[[#This Row],[TOTAL LE3]])/Tableau1315[[#This Row],[TOTAL LE3]],"")</f>
        <v/>
      </c>
    </row>
    <row r="193" spans="1:33" hidden="1">
      <c r="A193" s="463" t="s">
        <v>642</v>
      </c>
      <c r="B193" s="464" t="str">
        <f>VLOOKUP(Tableau1315[[#This Row],[PARCS]],Tableau106[],3,FALSE)</f>
        <v>A235</v>
      </c>
      <c r="C193" s="464" t="str">
        <f>VLOOKUP(Tableau1315[[#This Row],[PARCS]],Tableau106[],2,FALSE)</f>
        <v>FR87S02E</v>
      </c>
      <c r="D193" s="465" t="str">
        <f>VLOOKUP(Tableau1315[[#This Row],[PARCS]],Tableau106[],8,FALSE)</f>
        <v>SOLAIRE</v>
      </c>
      <c r="E193" s="465" t="str">
        <f>VLOOKUP(A193,Tableau106[[#Headers],[#Data]],6,FALSE)</f>
        <v>N</v>
      </c>
      <c r="F193" s="466" t="str">
        <f>VLOOKUP(Tableau1315[[#This Row],[PARCS]],Tableau106[],5,FALSE)</f>
        <v>SOLE</v>
      </c>
      <c r="G193" s="464" t="str">
        <f>VLOOKUP(Tableau1315[[#This Row],[PARCS]],Tableau106[],7,FALSE)</f>
        <v>GROUPE</v>
      </c>
      <c r="H193" s="464" t="str">
        <f>VLOOKUP(Tableau1315[[#This Row],[PARCS]],Tableau106[],9,FALSE)</f>
        <v>ArB</v>
      </c>
      <c r="I193" s="350">
        <f>IFERROR(VLOOKUP(Tableau1315[[#This Row],[PARCS]],Tableau15[],10,FALSE),"")</f>
        <v>0</v>
      </c>
      <c r="J193" s="20">
        <f>IFERROR(VLOOKUP(Tableau1315[[#This Row],[PARCS]],Tableau15[],18,FALSE),"")</f>
        <v>-125390</v>
      </c>
      <c r="K193" s="252">
        <f>IFERROR(VLOOKUP(Tableau1315[[#This Row],[PARCS]],Tableau15[],19,FALSE),"")</f>
        <v>0</v>
      </c>
      <c r="L193" s="20">
        <f>IFERROR(VLOOKUP(Tableau1315[[#This Row],[PARCS]],Tableau15[],28,FALSE),"")</f>
        <v>-5060</v>
      </c>
      <c r="M193" s="252">
        <f>IFERROR(VLOOKUP(Tableau1315[[#This Row],[PARCS]],Tableau15[],36,FALSE),"")</f>
        <v>-45000</v>
      </c>
      <c r="N193" s="252">
        <f>IFERROR(VLOOKUP(Tableau1315[[#This Row],[PARCS]],Tableau15[],37,FALSE),"")</f>
        <v>0</v>
      </c>
      <c r="O193" s="467">
        <f>SUM(Tableau1315[[#This Row],[CONTRAT O&amp;M FORFAIT GROUPE]:[CHARGES exceptionnels (BONUS, sinistres)]])</f>
        <v>-175450</v>
      </c>
      <c r="P193" s="354">
        <f>VLOOKUP(Tableau1315[[#This Row],[PARCS]],Tableau16[],10,FALSE)</f>
        <v>-32000</v>
      </c>
      <c r="Q193" s="252">
        <f>VLOOKUP(Tableau1315[[#This Row],[PARCS]],Tableau16[],18,FALSE)</f>
        <v>-11900</v>
      </c>
      <c r="R193" s="252">
        <f>VLOOKUP(Tableau1315[[#This Row],[PARCS]],Tableau16[],19,FALSE)</f>
        <v>0</v>
      </c>
      <c r="S193" s="252">
        <f>VLOOKUP(Tableau1315[[#This Row],[PARCS]],Tableau16[],28,FALSE)</f>
        <v>-900</v>
      </c>
      <c r="T193" s="252">
        <f>VLOOKUP(Tableau1315[[#This Row],[PARCS]],Tableau16[],36,FALSE)</f>
        <v>0</v>
      </c>
      <c r="U193" s="252">
        <f>VLOOKUP(Tableau1315[[#This Row],[PARCS]],Tableau16[],37,FALSE)</f>
        <v>0</v>
      </c>
      <c r="V193" s="467">
        <f>SUM(Tableau1315[[#This Row],[CONTRAT O&amp;M FORFAIT GROUPE2]:[CHARGES exceptionnels (BONUS, sinistres)7]])</f>
        <v>-44800</v>
      </c>
      <c r="W193" s="354">
        <f>VLOOKUP(Tableau1315[[#This Row],[PARCS]],Tableau17[],10,FALSE)</f>
        <v>-32800</v>
      </c>
      <c r="X193" s="252">
        <f>VLOOKUP(Tableau1315[[#This Row],[PARCS]],Tableau17[],18,FALSE)</f>
        <v>-900</v>
      </c>
      <c r="Y193" s="252">
        <f>VLOOKUP(Tableau1315[[#This Row],[PARCS]],Tableau17[],19,FALSE)</f>
        <v>0</v>
      </c>
      <c r="Z193" s="252">
        <f>VLOOKUP(Tableau1315[[#This Row],[PARCS]],Tableau17[],28,FALSE)</f>
        <v>-900</v>
      </c>
      <c r="AA193" s="252">
        <f>VLOOKUP(Tableau1315[[#This Row],[PARCS]],Tableau17[],36,FALSE)</f>
        <v>-5047.0999999999995</v>
      </c>
      <c r="AB193" s="252">
        <f>VLOOKUP(Tableau1315[[#This Row],[PARCS]],Tableau17[],37,FALSE)</f>
        <v>0</v>
      </c>
      <c r="AC193" s="468">
        <f>SUM(Tableau1315[[#This Row],[CONTRAT O&amp;M FORFAIT GROUPE22]:[CHARGES exceptionnels (BONUS, sinistres)77]])</f>
        <v>-39647.1</v>
      </c>
      <c r="AD193" s="252">
        <f>Tableau1315[[#This Row],[TOTAL LE3]]-Tableau1315[[#This Row],[TOTAL BN-1]]</f>
        <v>130650</v>
      </c>
      <c r="AE193" s="351">
        <f>IFERROR((Tableau1315[[#This Row],[TOTAL LE3]]-Tableau1315[[#This Row],[TOTAL BN-1]])/Tableau1315[[#This Row],[TOTAL BN-1]],"")</f>
        <v>-0.74465659732117417</v>
      </c>
      <c r="AF193" s="252">
        <f>Tableau1315[[#This Row],[TOTAL BN+1]]-Tableau1315[[#This Row],[TOTAL LE3]]</f>
        <v>5152.9000000000015</v>
      </c>
      <c r="AG193" s="351">
        <f>IFERROR((Tableau1315[[#This Row],[TOTAL BN+1]]-Tableau1315[[#This Row],[TOTAL LE3]])/Tableau1315[[#This Row],[TOTAL LE3]],"")</f>
        <v>-0.11502008928571432</v>
      </c>
    </row>
    <row r="194" spans="1:33" hidden="1">
      <c r="A194" s="463" t="s">
        <v>663</v>
      </c>
      <c r="B194" s="464" t="str">
        <f>VLOOKUP(Tableau1315[[#This Row],[PARCS]],Tableau106[],3,FALSE)</f>
        <v>A536</v>
      </c>
      <c r="C194" s="464" t="str">
        <f>VLOOKUP(Tableau1315[[#This Row],[PARCS]],Tableau106[],2,FALSE)</f>
        <v>FR62E04E</v>
      </c>
      <c r="D194" s="465" t="str">
        <f>VLOOKUP(Tableau1315[[#This Row],[PARCS]],Tableau106[],8,FALSE)</f>
        <v>EOLIEN</v>
      </c>
      <c r="E194" s="465" t="str">
        <f>VLOOKUP(A194,Tableau106[[#Headers],[#Data]],6,FALSE)</f>
        <v>N</v>
      </c>
      <c r="F194" s="466" t="str">
        <f>VLOOKUP(Tableau1315[[#This Row],[PARCS]],Tableau106[],5,FALSE)</f>
        <v>SARA</v>
      </c>
      <c r="G194" s="464" t="str">
        <f>VLOOKUP(Tableau1315[[#This Row],[PARCS]],Tableau106[],7,FALSE)</f>
        <v>GROUPE</v>
      </c>
      <c r="H194" s="464" t="str">
        <f>VLOOKUP(Tableau1315[[#This Row],[PARCS]],Tableau106[],9,FALSE)</f>
        <v>NiL</v>
      </c>
      <c r="I194" s="350">
        <f>IFERROR(VLOOKUP(Tableau1315[[#This Row],[PARCS]],Tableau15[],10,FALSE),"")</f>
        <v>0</v>
      </c>
      <c r="J194" s="20">
        <f>IFERROR(VLOOKUP(Tableau1315[[#This Row],[PARCS]],Tableau15[],18,FALSE),"")</f>
        <v>-10100</v>
      </c>
      <c r="K194" s="252">
        <f>IFERROR(VLOOKUP(Tableau1315[[#This Row],[PARCS]],Tableau15[],19,FALSE),"")</f>
        <v>0</v>
      </c>
      <c r="L194" s="20">
        <f>IFERROR(VLOOKUP(Tableau1315[[#This Row],[PARCS]],Tableau15[],28,FALSE),"")</f>
        <v>-5050</v>
      </c>
      <c r="M194" s="252">
        <f>IFERROR(VLOOKUP(Tableau1315[[#This Row],[PARCS]],Tableau15[],36,FALSE),"")</f>
        <v>0</v>
      </c>
      <c r="N194" s="252">
        <f>IFERROR(VLOOKUP(Tableau1315[[#This Row],[PARCS]],Tableau15[],37,FALSE),"")</f>
        <v>0</v>
      </c>
      <c r="O194" s="467">
        <f>SUM(Tableau1315[[#This Row],[CONTRAT O&amp;M FORFAIT GROUPE]:[CHARGES exceptionnels (BONUS, sinistres)]])</f>
        <v>-15150</v>
      </c>
      <c r="P194" s="354">
        <f>VLOOKUP(Tableau1315[[#This Row],[PARCS]],Tableau16[],10,FALSE)</f>
        <v>-18484</v>
      </c>
      <c r="Q194" s="252">
        <f>VLOOKUP(Tableau1315[[#This Row],[PARCS]],Tableau16[],18,FALSE)</f>
        <v>-22783.29</v>
      </c>
      <c r="R194" s="252">
        <f>VLOOKUP(Tableau1315[[#This Row],[PARCS]],Tableau16[],19,FALSE)</f>
        <v>-313200</v>
      </c>
      <c r="S194" s="252">
        <f>VLOOKUP(Tableau1315[[#This Row],[PARCS]],Tableau16[],28,FALSE)</f>
        <v>-8700</v>
      </c>
      <c r="T194" s="252">
        <f>VLOOKUP(Tableau1315[[#This Row],[PARCS]],Tableau16[],36,FALSE)</f>
        <v>-65257</v>
      </c>
      <c r="U194" s="252">
        <f>VLOOKUP(Tableau1315[[#This Row],[PARCS]],Tableau16[],37,FALSE)</f>
        <v>0</v>
      </c>
      <c r="V194" s="467">
        <f>SUM(Tableau1315[[#This Row],[CONTRAT O&amp;M FORFAIT GROUPE2]:[CHARGES exceptionnels (BONUS, sinistres)7]])</f>
        <v>-428424.29</v>
      </c>
      <c r="W194" s="354">
        <f>VLOOKUP(Tableau1315[[#This Row],[PARCS]],Tableau17[],10,FALSE)</f>
        <v>-18946.099999999999</v>
      </c>
      <c r="X194" s="252">
        <f>VLOOKUP(Tableau1315[[#This Row],[PARCS]],Tableau17[],18,FALSE)</f>
        <v>-16460</v>
      </c>
      <c r="Y194" s="252">
        <f>VLOOKUP(Tableau1315[[#This Row],[PARCS]],Tableau17[],19,FALSE)</f>
        <v>-321030</v>
      </c>
      <c r="Z194" s="252">
        <f>VLOOKUP(Tableau1315[[#This Row],[PARCS]],Tableau17[],28,FALSE)</f>
        <v>-8700</v>
      </c>
      <c r="AA194" s="252">
        <f>VLOOKUP(Tableau1315[[#This Row],[PARCS]],Tableau17[],36,FALSE)</f>
        <v>-71304.100000000006</v>
      </c>
      <c r="AB194" s="252">
        <f>VLOOKUP(Tableau1315[[#This Row],[PARCS]],Tableau17[],37,FALSE)</f>
        <v>0</v>
      </c>
      <c r="AC194" s="468">
        <f>SUM(Tableau1315[[#This Row],[CONTRAT O&amp;M FORFAIT GROUPE22]:[CHARGES exceptionnels (BONUS, sinistres)77]])</f>
        <v>-436440.19999999995</v>
      </c>
      <c r="AD194" s="252">
        <f>Tableau1315[[#This Row],[TOTAL LE3]]-Tableau1315[[#This Row],[TOTAL BN-1]]</f>
        <v>-413274.29</v>
      </c>
      <c r="AE194" s="351">
        <f>IFERROR((Tableau1315[[#This Row],[TOTAL LE3]]-Tableau1315[[#This Row],[TOTAL BN-1]])/Tableau1315[[#This Row],[TOTAL BN-1]],"")</f>
        <v>27.27883102310231</v>
      </c>
      <c r="AF194" s="252">
        <f>Tableau1315[[#This Row],[TOTAL BN+1]]-Tableau1315[[#This Row],[TOTAL LE3]]</f>
        <v>-8015.9099999999744</v>
      </c>
      <c r="AG194" s="351">
        <f>IFERROR((Tableau1315[[#This Row],[TOTAL BN+1]]-Tableau1315[[#This Row],[TOTAL LE3]])/Tableau1315[[#This Row],[TOTAL LE3]],"")</f>
        <v>1.8710213652918639E-2</v>
      </c>
    </row>
    <row r="195" spans="1:33" hidden="1">
      <c r="A195" s="463" t="s">
        <v>665</v>
      </c>
      <c r="B195" s="464" t="str">
        <f>VLOOKUP(Tableau1315[[#This Row],[PARCS]],Tableau106[],3,FALSE)</f>
        <v>A060</v>
      </c>
      <c r="C195" s="464" t="str">
        <f>VLOOKUP(Tableau1315[[#This Row],[PARCS]],Tableau106[],2,FALSE)</f>
        <v>FR2BE01E</v>
      </c>
      <c r="D195" s="465" t="str">
        <f>VLOOKUP(Tableau1315[[#This Row],[PARCS]],Tableau106[],8,FALSE)</f>
        <v>EOLIEN</v>
      </c>
      <c r="E195" s="465" t="str">
        <f>VLOOKUP(A195,Tableau106[[#Headers],[#Data]],6,FALSE)</f>
        <v>S</v>
      </c>
      <c r="F195" s="466" t="str">
        <f>VLOOKUP(Tableau1315[[#This Row],[PARCS]],Tableau106[],5,FALSE)</f>
        <v>TERE</v>
      </c>
      <c r="G195" s="464" t="str">
        <f>VLOOKUP(Tableau1315[[#This Row],[PARCS]],Tableau106[],7,FALSE)</f>
        <v>GROUPE</v>
      </c>
      <c r="H195" s="464" t="str">
        <f>VLOOKUP(Tableau1315[[#This Row],[PARCS]],Tableau106[],9,FALSE)</f>
        <v>SaH</v>
      </c>
      <c r="I195" s="350" t="str">
        <f>IFERROR(VLOOKUP(Tableau1315[[#This Row],[PARCS]],Tableau15[],10,FALSE),"")</f>
        <v/>
      </c>
      <c r="J195" s="20" t="str">
        <f>IFERROR(VLOOKUP(Tableau1315[[#This Row],[PARCS]],Tableau15[],18,FALSE),"")</f>
        <v/>
      </c>
      <c r="K195" s="252" t="str">
        <f>IFERROR(VLOOKUP(Tableau1315[[#This Row],[PARCS]],Tableau15[],19,FALSE),"")</f>
        <v/>
      </c>
      <c r="L195" s="20" t="str">
        <f>IFERROR(VLOOKUP(Tableau1315[[#This Row],[PARCS]],Tableau15[],28,FALSE),"")</f>
        <v/>
      </c>
      <c r="M195" s="252" t="str">
        <f>IFERROR(VLOOKUP(Tableau1315[[#This Row],[PARCS]],Tableau15[],36,FALSE),"")</f>
        <v/>
      </c>
      <c r="N195" s="252" t="str">
        <f>IFERROR(VLOOKUP(Tableau1315[[#This Row],[PARCS]],Tableau15[],37,FALSE),"")</f>
        <v/>
      </c>
      <c r="O195" s="467">
        <f>SUM(Tableau1315[[#This Row],[CONTRAT O&amp;M FORFAIT GROUPE]:[CHARGES exceptionnels (BONUS, sinistres)]])</f>
        <v>0</v>
      </c>
      <c r="P195" s="354">
        <f>VLOOKUP(Tableau1315[[#This Row],[PARCS]],Tableau16[],10,FALSE)</f>
        <v>0</v>
      </c>
      <c r="Q195" s="252">
        <f>VLOOKUP(Tableau1315[[#This Row],[PARCS]],Tableau16[],18,FALSE)</f>
        <v>-2925</v>
      </c>
      <c r="R195" s="252">
        <f>VLOOKUP(Tableau1315[[#This Row],[PARCS]],Tableau16[],19,FALSE)</f>
        <v>-5000</v>
      </c>
      <c r="S195" s="252">
        <f>VLOOKUP(Tableau1315[[#This Row],[PARCS]],Tableau16[],28,FALSE)</f>
        <v>0</v>
      </c>
      <c r="T195" s="252">
        <f>VLOOKUP(Tableau1315[[#This Row],[PARCS]],Tableau16[],36,FALSE)</f>
        <v>-3000</v>
      </c>
      <c r="U195" s="252">
        <f>VLOOKUP(Tableau1315[[#This Row],[PARCS]],Tableau16[],37,FALSE)</f>
        <v>0</v>
      </c>
      <c r="V195" s="467">
        <f>SUM(Tableau1315[[#This Row],[CONTRAT O&amp;M FORFAIT GROUPE2]:[CHARGES exceptionnels (BONUS, sinistres)7]])</f>
        <v>-10925</v>
      </c>
      <c r="W195" s="354">
        <f>VLOOKUP(Tableau1315[[#This Row],[PARCS]],Tableau17[],10,FALSE)</f>
        <v>0</v>
      </c>
      <c r="X195" s="252">
        <f>VLOOKUP(Tableau1315[[#This Row],[PARCS]],Tableau17[],18,FALSE)</f>
        <v>-40145</v>
      </c>
      <c r="Y195" s="252">
        <f>VLOOKUP(Tableau1315[[#This Row],[PARCS]],Tableau17[],19,FALSE)</f>
        <v>-116400</v>
      </c>
      <c r="Z195" s="252">
        <f>VLOOKUP(Tableau1315[[#This Row],[PARCS]],Tableau17[],28,FALSE)</f>
        <v>-29973</v>
      </c>
      <c r="AA195" s="252">
        <f>VLOOKUP(Tableau1315[[#This Row],[PARCS]],Tableau17[],36,FALSE)</f>
        <v>-83000</v>
      </c>
      <c r="AB195" s="252">
        <f>VLOOKUP(Tableau1315[[#This Row],[PARCS]],Tableau17[],37,FALSE)</f>
        <v>0</v>
      </c>
      <c r="AC195" s="468">
        <f>SUM(Tableau1315[[#This Row],[CONTRAT O&amp;M FORFAIT GROUPE22]:[CHARGES exceptionnels (BONUS, sinistres)77]])</f>
        <v>-269518</v>
      </c>
      <c r="AD195" s="252">
        <f>Tableau1315[[#This Row],[TOTAL LE3]]-Tableau1315[[#This Row],[TOTAL BN-1]]</f>
        <v>-10925</v>
      </c>
      <c r="AE195" s="351" t="str">
        <f>IFERROR((Tableau1315[[#This Row],[TOTAL LE3]]-Tableau1315[[#This Row],[TOTAL BN-1]])/Tableau1315[[#This Row],[TOTAL BN-1]],"")</f>
        <v/>
      </c>
      <c r="AF195" s="252">
        <f>Tableau1315[[#This Row],[TOTAL BN+1]]-Tableau1315[[#This Row],[TOTAL LE3]]</f>
        <v>-258593</v>
      </c>
      <c r="AG195" s="351">
        <f>IFERROR((Tableau1315[[#This Row],[TOTAL BN+1]]-Tableau1315[[#This Row],[TOTAL LE3]])/Tableau1315[[#This Row],[TOTAL LE3]],"")</f>
        <v>23.669839816933639</v>
      </c>
    </row>
    <row r="196" spans="1:33" hidden="1">
      <c r="A196" s="463" t="s">
        <v>643</v>
      </c>
      <c r="B196" s="464" t="str">
        <f>VLOOKUP(Tableau1315[[#This Row],[PARCS]],Tableau106[],3,FALSE)</f>
        <v>A310</v>
      </c>
      <c r="C196" s="464" t="str">
        <f>VLOOKUP(Tableau1315[[#This Row],[PARCS]],Tableau106[],2,FALSE)</f>
        <v>FR45S04E</v>
      </c>
      <c r="D196" s="465" t="str">
        <f>VLOOKUP(Tableau1315[[#This Row],[PARCS]],Tableau106[],8,FALSE)</f>
        <v>SOLAIRE</v>
      </c>
      <c r="E196" s="465" t="str">
        <f>VLOOKUP(A196,Tableau106[[#Headers],[#Data]],6,FALSE)</f>
        <v>N</v>
      </c>
      <c r="F196" s="466" t="str">
        <f>VLOOKUP(Tableau1315[[#This Row],[PARCS]],Tableau106[],5,FALSE)</f>
        <v>VACH</v>
      </c>
      <c r="G196" s="464" t="str">
        <f>VLOOKUP(Tableau1315[[#This Row],[PARCS]],Tableau106[],7,FALSE)</f>
        <v>GROUPE</v>
      </c>
      <c r="H196" s="464" t="str">
        <f>VLOOKUP(Tableau1315[[#This Row],[PARCS]],Tableau106[],9,FALSE)</f>
        <v>LoG</v>
      </c>
      <c r="I196" s="350">
        <f>IFERROR(VLOOKUP(Tableau1315[[#This Row],[PARCS]],Tableau15[],10,FALSE),"")</f>
        <v>-25000</v>
      </c>
      <c r="J196" s="20">
        <f>IFERROR(VLOOKUP(Tableau1315[[#This Row],[PARCS]],Tableau15[],18,FALSE),"")</f>
        <v>-8800</v>
      </c>
      <c r="K196" s="252">
        <f>IFERROR(VLOOKUP(Tableau1315[[#This Row],[PARCS]],Tableau15[],19,FALSE),"")</f>
        <v>-130578.45170000001</v>
      </c>
      <c r="L196" s="20">
        <f>IFERROR(VLOOKUP(Tableau1315[[#This Row],[PARCS]],Tableau15[],28,FALSE),"")</f>
        <v>-11200</v>
      </c>
      <c r="M196" s="252">
        <f>IFERROR(VLOOKUP(Tableau1315[[#This Row],[PARCS]],Tableau15[],36,FALSE),"")</f>
        <v>-50000</v>
      </c>
      <c r="N196" s="252">
        <f>IFERROR(VLOOKUP(Tableau1315[[#This Row],[PARCS]],Tableau15[],37,FALSE),"")</f>
        <v>0</v>
      </c>
      <c r="O196" s="467">
        <f>SUM(Tableau1315[[#This Row],[CONTRAT O&amp;M FORFAIT GROUPE]:[CHARGES exceptionnels (BONUS, sinistres)]])</f>
        <v>-225578.45170000001</v>
      </c>
      <c r="P196" s="354">
        <f>VLOOKUP(Tableau1315[[#This Row],[PARCS]],Tableau16[],10,FALSE)</f>
        <v>-7000</v>
      </c>
      <c r="Q196" s="252">
        <f>VLOOKUP(Tableau1315[[#This Row],[PARCS]],Tableau16[],18,FALSE)</f>
        <v>-6250</v>
      </c>
      <c r="R196" s="252">
        <f>VLOOKUP(Tableau1315[[#This Row],[PARCS]],Tableau16[],19,FALSE)</f>
        <v>0</v>
      </c>
      <c r="S196" s="252">
        <f>VLOOKUP(Tableau1315[[#This Row],[PARCS]],Tableau16[],28,FALSE)</f>
        <v>0</v>
      </c>
      <c r="T196" s="252">
        <f>VLOOKUP(Tableau1315[[#This Row],[PARCS]],Tableau16[],36,FALSE)</f>
        <v>0</v>
      </c>
      <c r="U196" s="252">
        <f>VLOOKUP(Tableau1315[[#This Row],[PARCS]],Tableau16[],37,FALSE)</f>
        <v>0</v>
      </c>
      <c r="V196" s="467">
        <f>SUM(Tableau1315[[#This Row],[CONTRAT O&amp;M FORFAIT GROUPE2]:[CHARGES exceptionnels (BONUS, sinistres)7]])</f>
        <v>-13250</v>
      </c>
      <c r="W196" s="354">
        <f>VLOOKUP(Tableau1315[[#This Row],[PARCS]],Tableau17[],10,FALSE)</f>
        <v>-7174.9999999999991</v>
      </c>
      <c r="X196" s="252">
        <f>VLOOKUP(Tableau1315[[#This Row],[PARCS]],Tableau17[],18,FALSE)</f>
        <v>-1250</v>
      </c>
      <c r="Y196" s="252">
        <f>VLOOKUP(Tableau1315[[#This Row],[PARCS]],Tableau17[],19,FALSE)</f>
        <v>0</v>
      </c>
      <c r="Z196" s="252">
        <f>VLOOKUP(Tableau1315[[#This Row],[PARCS]],Tableau17[],28,FALSE)</f>
        <v>-1250</v>
      </c>
      <c r="AA196" s="252">
        <f>VLOOKUP(Tableau1315[[#This Row],[PARCS]],Tableau17[],36,FALSE)</f>
        <v>-5047.0999999999995</v>
      </c>
      <c r="AB196" s="252">
        <f>VLOOKUP(Tableau1315[[#This Row],[PARCS]],Tableau17[],37,FALSE)</f>
        <v>0</v>
      </c>
      <c r="AC196" s="468">
        <f>SUM(Tableau1315[[#This Row],[CONTRAT O&amp;M FORFAIT GROUPE22]:[CHARGES exceptionnels (BONUS, sinistres)77]])</f>
        <v>-14722.099999999999</v>
      </c>
      <c r="AD196" s="252">
        <f>Tableau1315[[#This Row],[TOTAL LE3]]-Tableau1315[[#This Row],[TOTAL BN-1]]</f>
        <v>212328.45170000001</v>
      </c>
      <c r="AE196" s="351">
        <f>IFERROR((Tableau1315[[#This Row],[TOTAL LE3]]-Tableau1315[[#This Row],[TOTAL BN-1]])/Tableau1315[[#This Row],[TOTAL BN-1]],"")</f>
        <v>-0.94126212011765487</v>
      </c>
      <c r="AF196" s="252">
        <f>Tableau1315[[#This Row],[TOTAL BN+1]]-Tableau1315[[#This Row],[TOTAL LE3]]</f>
        <v>-1472.0999999999985</v>
      </c>
      <c r="AG196" s="351">
        <f>IFERROR((Tableau1315[[#This Row],[TOTAL BN+1]]-Tableau1315[[#This Row],[TOTAL LE3]])/Tableau1315[[#This Row],[TOTAL LE3]],"")</f>
        <v>0.11110188679245273</v>
      </c>
    </row>
    <row r="197" spans="1:33" ht="21" customHeight="1" thickBot="1">
      <c r="A197" s="153">
        <f>SUBTOTAL(103,Tableau1315[PARCS])</f>
        <v>35</v>
      </c>
      <c r="B197" s="138"/>
      <c r="C197" s="138"/>
      <c r="D197" s="143"/>
      <c r="E197" s="143"/>
      <c r="F197" s="139"/>
      <c r="G197" s="138"/>
      <c r="H197" s="138"/>
      <c r="I197" s="140">
        <f>SUBTOTAL(109,Tableau1315[CONTRAT O&amp;M FORFAIT GROUPE])</f>
        <v>-3126904.9932236094</v>
      </c>
      <c r="J197" s="141">
        <f>SUBTOTAL(109,Tableau1315[TOTAL CORRECTIF 0&amp;M GROUPE])</f>
        <v>-586613.78306878312</v>
      </c>
      <c r="K197" s="141">
        <f>SUBTOTAL(109,Tableau1315[CONTRAT O&amp;M FORFAIT HORS GROUPE])</f>
        <v>-6928510.110156999</v>
      </c>
      <c r="L197" s="141">
        <f>SUBTOTAL(109,Tableau1315[TOTAL CORRECTIF O&amp;M HORS GROUPE])</f>
        <v>-534794.5</v>
      </c>
      <c r="M197" s="141">
        <f>SUBTOTAL(109,Tableau1315[TOTAL ENVIRO])</f>
        <v>-751306.03</v>
      </c>
      <c r="N197" s="141">
        <f>SUBTOTAL(109,Tableau1315[CHARGES exceptionnels (BONUS, sinistres)])</f>
        <v>-32000</v>
      </c>
      <c r="O197" s="142">
        <f>SUBTOTAL(109,O4:O196)</f>
        <v>-11960129.416449392</v>
      </c>
      <c r="P197" s="140">
        <f>SUBTOTAL(109,Tableau1315[CONTRAT O&amp;M FORFAIT GROUPE2])</f>
        <v>-3222966.5093070003</v>
      </c>
      <c r="Q197" s="141">
        <f>SUBTOTAL(109,Tableau1315[TOTAL CORRECTIF 0&amp;M GROUPE3])</f>
        <v>-897413.5</v>
      </c>
      <c r="R197" s="141">
        <f>SUBTOTAL(109,Tableau1315[CONTRAT O&amp;M FORFAIT HORS GROUPE4])</f>
        <v>-7563502.621733333</v>
      </c>
      <c r="S197" s="141">
        <f>SUBTOTAL(109,Tableau1315[TOTAL CORRECTIF O&amp;M HORS GROUPE5])</f>
        <v>-1094315.2184657373</v>
      </c>
      <c r="T197" s="141">
        <f>SUBTOTAL(109,Tableau1315[TOTAL ENVIRO6])</f>
        <v>-1120158.02</v>
      </c>
      <c r="U197" s="141">
        <f>SUBTOTAL(109,Tableau1315[CHARGES exceptionnels (BONUS, sinistres)7])</f>
        <v>-141030</v>
      </c>
      <c r="V197" s="141">
        <f>SUBTOTAL(109,V4:V196)</f>
        <v>-14039385.869506074</v>
      </c>
      <c r="W197" s="140">
        <f>SUBTOTAL(109,Tableau1315[CONTRAT O&amp;M FORFAIT GROUPE22])</f>
        <v>-3317502.1970396736</v>
      </c>
      <c r="X197" s="141">
        <f>SUBTOTAL(109,Tableau1315[TOTAL CORRECTIF 0&amp;M GROUPE33])</f>
        <v>-535836.5</v>
      </c>
      <c r="Y197" s="141">
        <f>SUBTOTAL(109,Tableau1315[CONTRAT O&amp;M FORFAIT HORS GROUPE44])</f>
        <v>-7581109.6018599989</v>
      </c>
      <c r="Z197" s="141">
        <f>SUBTOTAL(109,Tableau1315[TOTAL CORRECTIF O&amp;M HORS GROUPE55])</f>
        <v>-625083.86409768928</v>
      </c>
      <c r="AA197" s="141">
        <f>SUBTOTAL(109,Tableau1315[TOTAL ENVIRO66])</f>
        <v>-1091846.5999999999</v>
      </c>
      <c r="AB197" s="141">
        <f>SUBTOTAL(109,Tableau1315[CHARGES exceptionnels (BONUS, sinistres)77])</f>
        <v>0</v>
      </c>
      <c r="AC197" s="142">
        <f>SUBTOTAL(109,AC4:AC196)</f>
        <v>-13151378.762997359</v>
      </c>
      <c r="AD197" s="420">
        <f>SUBTOTAL(109,Tableau1315[LE3 2023 vs BUDGET 2023
en €])</f>
        <v>-2079256.4530566779</v>
      </c>
      <c r="AE197" s="421"/>
      <c r="AF197" s="420">
        <f>SUBTOTAL(109,Tableau1315[BUDGET 2024 vs LE3 2023
en €])</f>
        <v>888007.1065087067</v>
      </c>
      <c r="AG197" s="421"/>
    </row>
  </sheetData>
  <mergeCells count="4">
    <mergeCell ref="AD2:AG2"/>
    <mergeCell ref="I2:N2"/>
    <mergeCell ref="P2:U2"/>
    <mergeCell ref="W2:AC2"/>
  </mergeCells>
  <phoneticPr fontId="7" type="noConversion"/>
  <conditionalFormatting sqref="AE4:AE19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19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9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19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Utiliser la liste déroulante" xr:uid="{00000000-0002-0000-0500-000000000000}">
          <x14:formula1>
            <xm:f>DATA!$A$3:$A$242</xm:f>
          </x14:formula1>
          <xm:sqref>A4:A196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8">
    <tabColor rgb="FF92D050"/>
  </sheetPr>
  <dimension ref="A1:AN196"/>
  <sheetViews>
    <sheetView showGridLines="0" zoomScale="85" zoomScaleNormal="85" workbookViewId="0">
      <pane xSplit="9" ySplit="5" topLeftCell="J41" activePane="bottomRight" state="frozen"/>
      <selection pane="topRight" activeCell="J1" sqref="J1"/>
      <selection pane="bottomLeft" activeCell="A6" sqref="A6"/>
      <selection pane="bottomRight" sqref="A1:XFD5"/>
    </sheetView>
  </sheetViews>
  <sheetFormatPr baseColWidth="10" defaultColWidth="12" defaultRowHeight="12"/>
  <cols>
    <col min="1" max="1" width="25.33203125" style="6" bestFit="1" customWidth="1"/>
    <col min="2" max="2" width="11.33203125" style="6" customWidth="1"/>
    <col min="3" max="3" width="14.6640625" style="6" customWidth="1"/>
    <col min="4" max="4" width="13.1640625" style="6" bestFit="1" customWidth="1"/>
    <col min="5" max="5" width="7" style="6" customWidth="1"/>
    <col min="6" max="6" width="10.33203125" style="6" customWidth="1"/>
    <col min="7" max="7" width="13.1640625" style="6" customWidth="1"/>
    <col min="8" max="8" width="6.6640625" style="6" bestFit="1" customWidth="1"/>
    <col min="9" max="9" width="6.6640625" style="6" customWidth="1"/>
    <col min="10" max="14" width="17.6640625" style="6" customWidth="1"/>
    <col min="15" max="16" width="17.5" style="6" customWidth="1"/>
    <col min="17" max="17" width="17.5" style="122" customWidth="1"/>
    <col min="18" max="18" width="14.1640625" style="122" customWidth="1"/>
    <col min="19" max="19" width="16.33203125" style="6" customWidth="1"/>
    <col min="20" max="20" width="16.6640625" style="6" customWidth="1"/>
    <col min="21" max="21" width="17.1640625" style="6" customWidth="1"/>
    <col min="22" max="22" width="16.6640625" style="6" customWidth="1"/>
    <col min="23" max="23" width="17.6640625" style="6" customWidth="1"/>
    <col min="24" max="26" width="15.6640625" style="6" customWidth="1"/>
    <col min="27" max="27" width="15.6640625" style="20" customWidth="1"/>
    <col min="28" max="28" width="15.6640625" style="6" customWidth="1"/>
    <col min="29" max="29" width="18.5" style="6" bestFit="1" customWidth="1"/>
    <col min="30" max="30" width="12.6640625" style="6" customWidth="1"/>
    <col min="31" max="37" width="16.5" style="6" customWidth="1"/>
    <col min="38" max="38" width="16.6640625" style="20" customWidth="1"/>
    <col min="39" max="39" width="15.5" style="20" customWidth="1"/>
    <col min="40" max="40" width="56.6640625" style="6" customWidth="1"/>
    <col min="41" max="16384" width="12" style="6"/>
  </cols>
  <sheetData>
    <row r="1" spans="1:40" ht="22.5" customHeight="1">
      <c r="J1" s="519" t="s">
        <v>777</v>
      </c>
      <c r="K1" s="520"/>
      <c r="L1" s="520"/>
      <c r="M1" s="520"/>
      <c r="N1" s="520"/>
      <c r="O1" s="520"/>
      <c r="P1" s="520"/>
      <c r="Q1" s="520"/>
      <c r="R1" s="521"/>
      <c r="S1" s="522" t="s">
        <v>778</v>
      </c>
      <c r="T1" s="523"/>
      <c r="U1" s="523"/>
      <c r="V1" s="523"/>
      <c r="W1" s="523"/>
      <c r="X1" s="523"/>
      <c r="Y1" s="523"/>
      <c r="Z1" s="523"/>
      <c r="AA1" s="523"/>
      <c r="AB1" s="524"/>
      <c r="AC1" s="525" t="s">
        <v>779</v>
      </c>
      <c r="AD1" s="526"/>
      <c r="AE1" s="527" t="s">
        <v>780</v>
      </c>
      <c r="AF1" s="527"/>
      <c r="AG1" s="527"/>
      <c r="AH1" s="527"/>
      <c r="AI1" s="527"/>
      <c r="AJ1" s="527"/>
      <c r="AK1" s="20"/>
      <c r="AM1" s="6"/>
    </row>
    <row r="2" spans="1:40">
      <c r="A2" s="161" t="s">
        <v>781</v>
      </c>
      <c r="B2" s="162" t="s">
        <v>782</v>
      </c>
      <c r="C2" s="164" t="s">
        <v>783</v>
      </c>
      <c r="D2" s="164" t="s">
        <v>784</v>
      </c>
      <c r="E2" s="164" t="s">
        <v>785</v>
      </c>
      <c r="F2" s="164" t="s">
        <v>786</v>
      </c>
      <c r="G2" s="164" t="s">
        <v>787</v>
      </c>
      <c r="H2" s="164" t="s">
        <v>788</v>
      </c>
      <c r="I2" s="303"/>
      <c r="J2" s="165" t="s">
        <v>789</v>
      </c>
      <c r="K2" s="166" t="s">
        <v>790</v>
      </c>
      <c r="L2" s="167" t="s">
        <v>791</v>
      </c>
      <c r="M2" s="168" t="s">
        <v>792</v>
      </c>
      <c r="N2" s="168" t="s">
        <v>793</v>
      </c>
      <c r="O2" s="168" t="s">
        <v>794</v>
      </c>
      <c r="P2" s="168" t="s">
        <v>795</v>
      </c>
      <c r="Q2" s="168" t="s">
        <v>796</v>
      </c>
      <c r="R2" s="169" t="s">
        <v>797</v>
      </c>
      <c r="S2" s="165" t="s">
        <v>798</v>
      </c>
      <c r="T2" s="170" t="s">
        <v>799</v>
      </c>
      <c r="U2" s="171" t="s">
        <v>800</v>
      </c>
      <c r="V2" s="172" t="s">
        <v>801</v>
      </c>
      <c r="W2" s="173" t="s">
        <v>802</v>
      </c>
      <c r="X2" s="173" t="s">
        <v>803</v>
      </c>
      <c r="Y2" s="173" t="s">
        <v>804</v>
      </c>
      <c r="Z2" s="172" t="s">
        <v>805</v>
      </c>
      <c r="AA2" s="173" t="s">
        <v>806</v>
      </c>
      <c r="AB2" s="174" t="s">
        <v>807</v>
      </c>
      <c r="AC2" s="175" t="s">
        <v>808</v>
      </c>
      <c r="AD2" s="176" t="s">
        <v>809</v>
      </c>
      <c r="AE2" s="177" t="s">
        <v>810</v>
      </c>
      <c r="AF2" s="177" t="s">
        <v>811</v>
      </c>
      <c r="AG2" s="177" t="s">
        <v>812</v>
      </c>
      <c r="AH2" s="177" t="s">
        <v>813</v>
      </c>
      <c r="AI2" s="177" t="s">
        <v>814</v>
      </c>
      <c r="AJ2" s="178" t="s">
        <v>815</v>
      </c>
      <c r="AK2" s="179" t="s">
        <v>816</v>
      </c>
      <c r="AL2" s="180" t="s">
        <v>817</v>
      </c>
      <c r="AM2" s="181" t="s">
        <v>818</v>
      </c>
    </row>
    <row r="3" spans="1:40" ht="36">
      <c r="A3" s="182" t="s">
        <v>819</v>
      </c>
      <c r="B3" s="183" t="s">
        <v>628</v>
      </c>
      <c r="C3" s="184" t="s">
        <v>629</v>
      </c>
      <c r="D3" s="184" t="s">
        <v>414</v>
      </c>
      <c r="E3" s="184" t="s">
        <v>630</v>
      </c>
      <c r="F3" s="184" t="s">
        <v>631</v>
      </c>
      <c r="G3" s="184" t="s">
        <v>417</v>
      </c>
      <c r="H3" s="184" t="s">
        <v>632</v>
      </c>
      <c r="I3" s="304" t="s">
        <v>418</v>
      </c>
      <c r="J3" s="185" t="s">
        <v>820</v>
      </c>
      <c r="K3" s="186" t="s">
        <v>821</v>
      </c>
      <c r="L3" s="187" t="s">
        <v>822</v>
      </c>
      <c r="M3" s="188" t="s">
        <v>823</v>
      </c>
      <c r="N3" s="188" t="s">
        <v>824</v>
      </c>
      <c r="O3" s="188" t="s">
        <v>825</v>
      </c>
      <c r="P3" s="188" t="s">
        <v>826</v>
      </c>
      <c r="Q3" s="188" t="s">
        <v>827</v>
      </c>
      <c r="R3" s="189" t="s">
        <v>688</v>
      </c>
      <c r="S3" s="185" t="s">
        <v>828</v>
      </c>
      <c r="T3" s="190" t="s">
        <v>829</v>
      </c>
      <c r="U3" s="191" t="s">
        <v>822</v>
      </c>
      <c r="V3" s="192" t="s">
        <v>823</v>
      </c>
      <c r="W3" s="193" t="s">
        <v>824</v>
      </c>
      <c r="X3" s="193" t="s">
        <v>825</v>
      </c>
      <c r="Y3" s="193" t="s">
        <v>826</v>
      </c>
      <c r="Z3" s="192" t="s">
        <v>827</v>
      </c>
      <c r="AA3" s="193" t="s">
        <v>830</v>
      </c>
      <c r="AB3" s="194" t="s">
        <v>690</v>
      </c>
      <c r="AC3" s="195" t="s">
        <v>831</v>
      </c>
      <c r="AD3" s="196" t="s">
        <v>832</v>
      </c>
      <c r="AE3" s="197" t="s">
        <v>833</v>
      </c>
      <c r="AF3" s="197" t="s">
        <v>834</v>
      </c>
      <c r="AG3" s="197" t="s">
        <v>835</v>
      </c>
      <c r="AH3" s="197" t="s">
        <v>836</v>
      </c>
      <c r="AI3" s="197" t="s">
        <v>837</v>
      </c>
      <c r="AJ3" s="198" t="s">
        <v>691</v>
      </c>
      <c r="AK3" s="199" t="s">
        <v>692</v>
      </c>
      <c r="AL3" s="200" t="s">
        <v>838</v>
      </c>
      <c r="AM3" s="201" t="s">
        <v>839</v>
      </c>
    </row>
    <row r="4" spans="1:40">
      <c r="A4" s="256"/>
      <c r="B4" s="257"/>
      <c r="C4" s="257"/>
      <c r="D4" s="257"/>
      <c r="E4" s="258"/>
      <c r="F4" s="259"/>
      <c r="G4" s="260"/>
      <c r="H4" s="260"/>
      <c r="I4" s="305"/>
      <c r="J4" s="202"/>
      <c r="K4" s="203" t="s">
        <v>840</v>
      </c>
      <c r="L4" s="203" t="s">
        <v>840</v>
      </c>
      <c r="M4" s="204" t="s">
        <v>840</v>
      </c>
      <c r="N4" s="204" t="s">
        <v>840</v>
      </c>
      <c r="O4" s="204" t="s">
        <v>840</v>
      </c>
      <c r="P4" s="204" t="s">
        <v>840</v>
      </c>
      <c r="Q4" s="204" t="s">
        <v>840</v>
      </c>
      <c r="R4" s="205">
        <f>SUM(OPX_LE3!$K4:$Q4)</f>
        <v>0</v>
      </c>
      <c r="S4" s="206"/>
      <c r="T4" s="207" t="s">
        <v>841</v>
      </c>
      <c r="U4" s="207" t="s">
        <v>841</v>
      </c>
      <c r="V4" s="207" t="s">
        <v>841</v>
      </c>
      <c r="W4" s="207" t="s">
        <v>841</v>
      </c>
      <c r="X4" s="207" t="s">
        <v>841</v>
      </c>
      <c r="Y4" s="207" t="s">
        <v>841</v>
      </c>
      <c r="Z4" s="207" t="s">
        <v>841</v>
      </c>
      <c r="AA4" s="207" t="s">
        <v>841</v>
      </c>
      <c r="AB4" s="208">
        <f>SUM(OPX_LE3!$T4:$AA4)</f>
        <v>0</v>
      </c>
      <c r="AC4" s="209"/>
      <c r="AD4" s="209"/>
      <c r="AE4" s="210"/>
      <c r="AF4" s="211"/>
      <c r="AG4" s="211"/>
      <c r="AH4" s="210"/>
      <c r="AI4" s="211"/>
      <c r="AJ4" s="212">
        <f>SUM(OPX_LE3!$AE4:$AI4)</f>
        <v>0</v>
      </c>
      <c r="AK4" s="213"/>
      <c r="AL4" s="214">
        <f>SUM(OPX_LE3!$J4,OPX_LE3!$AB4,OPX_LE3!$S4,OPX_LE3!$AJ4,OPX_LE3!$R4,OPX_LE3!$AK4)</f>
        <v>0</v>
      </c>
      <c r="AM4" s="215"/>
    </row>
    <row r="5" spans="1:40" ht="90">
      <c r="A5" s="242" t="s">
        <v>842</v>
      </c>
      <c r="B5" s="216" t="s">
        <v>628</v>
      </c>
      <c r="C5" s="216" t="s">
        <v>629</v>
      </c>
      <c r="D5" s="217" t="s">
        <v>414</v>
      </c>
      <c r="E5" s="217" t="s">
        <v>630</v>
      </c>
      <c r="F5" s="218" t="s">
        <v>631</v>
      </c>
      <c r="G5" s="218" t="s">
        <v>417</v>
      </c>
      <c r="H5" s="218" t="s">
        <v>632</v>
      </c>
      <c r="I5" s="218" t="s">
        <v>418</v>
      </c>
      <c r="J5" s="219" t="s">
        <v>843</v>
      </c>
      <c r="K5" s="249" t="s">
        <v>844</v>
      </c>
      <c r="L5" s="250" t="s">
        <v>845</v>
      </c>
      <c r="M5" s="251" t="s">
        <v>846</v>
      </c>
      <c r="N5" s="251" t="s">
        <v>847</v>
      </c>
      <c r="O5" s="251" t="s">
        <v>848</v>
      </c>
      <c r="P5" s="251" t="s">
        <v>849</v>
      </c>
      <c r="Q5" s="251" t="s">
        <v>850</v>
      </c>
      <c r="R5" s="220" t="s">
        <v>688</v>
      </c>
      <c r="S5" s="221" t="s">
        <v>851</v>
      </c>
      <c r="T5" s="222" t="s">
        <v>852</v>
      </c>
      <c r="U5" s="207" t="s">
        <v>853</v>
      </c>
      <c r="V5" s="207" t="s">
        <v>854</v>
      </c>
      <c r="W5" s="207" t="s">
        <v>855</v>
      </c>
      <c r="X5" s="207" t="s">
        <v>856</v>
      </c>
      <c r="Y5" s="223" t="s">
        <v>857</v>
      </c>
      <c r="Z5" s="207" t="s">
        <v>858</v>
      </c>
      <c r="AA5" s="207" t="s">
        <v>859</v>
      </c>
      <c r="AB5" s="224" t="s">
        <v>690</v>
      </c>
      <c r="AC5" s="266" t="s">
        <v>860</v>
      </c>
      <c r="AD5" s="267" t="s">
        <v>861</v>
      </c>
      <c r="AE5" s="268" t="s">
        <v>862</v>
      </c>
      <c r="AF5" s="268" t="s">
        <v>863</v>
      </c>
      <c r="AG5" s="268" t="s">
        <v>864</v>
      </c>
      <c r="AH5" s="268" t="s">
        <v>865</v>
      </c>
      <c r="AI5" s="211" t="s">
        <v>866</v>
      </c>
      <c r="AJ5" s="198" t="s">
        <v>691</v>
      </c>
      <c r="AK5" s="277" t="s">
        <v>867</v>
      </c>
      <c r="AL5" s="226" t="s">
        <v>838</v>
      </c>
      <c r="AM5" s="227" t="s">
        <v>868</v>
      </c>
      <c r="AN5" s="375" t="s">
        <v>645</v>
      </c>
    </row>
    <row r="6" spans="1:40" ht="15" hidden="1">
      <c r="A6" s="319" t="s">
        <v>575</v>
      </c>
      <c r="B6" s="320" t="str">
        <f>VLOOKUP(OPX_LE3!$A6,Tableau106[],3,FALSE)</f>
        <v>A893</v>
      </c>
      <c r="C6" s="320" t="str">
        <f>VLOOKUP(OPX_LE3!$A6,Tableau106[],2,FALSE)</f>
        <v>FR34E97E</v>
      </c>
      <c r="D6" s="320" t="str">
        <f>VLOOKUP(OPX_LE3!$A6,Tableau106[],8,FALSE)</f>
        <v>EOLIEN</v>
      </c>
      <c r="E6" s="321">
        <f>VLOOKUP(OPX_LE3!$A6,Tableau106[],4,FALSE)</f>
        <v>10</v>
      </c>
      <c r="F6" s="322" t="str">
        <f>VLOOKUP(OPX_LE3!$A6,Tableau106[],5,FALSE)</f>
        <v>AUQB</v>
      </c>
      <c r="G6" s="322" t="str">
        <f>VLOOKUP(OPX_LE3!$A6,Tableau106[],7,FALSE)</f>
        <v>GROUPE</v>
      </c>
      <c r="H6" s="322" t="str">
        <f>VLOOKUP(OPX_LE3!$A6,Tableau106[],6,FALSE)</f>
        <v>S</v>
      </c>
      <c r="I6" s="322" t="str">
        <f>VLOOKUP(OPX_LE3!$A6,Tableau106[],9,FALSE)</f>
        <v>KéD</v>
      </c>
      <c r="J6" s="253">
        <v>-501305</v>
      </c>
      <c r="K6" s="228"/>
      <c r="L6" s="228"/>
      <c r="M6" s="229">
        <f>+VLOOKUP(Tableau163[[#This Row],[CODE PI]],Tableau15[[CODE PI]:[Prestations diverses  &amp; accompagnements interne (1,6 k€ par jour d''acc)]],8,FALSE)</f>
        <v>0</v>
      </c>
      <c r="N6" s="229">
        <f>+VLOOKUP(Tableau163[[#This Row],[CODE PI]],Tableau15[[CODE PI]:[Prestations diverses  &amp; accompagnements interne (1,6 k€ par jour d''acc)]],9,FALSE)</f>
        <v>0</v>
      </c>
      <c r="O6" s="229">
        <f>+VLOOKUP(Tableau163[[#This Row],[CODE PI]],Tableau15[[CODE PI]:[Prestations diverses  &amp; accompagnements interne (1,6 k€ par jour d''acc)]],10,FALSE)</f>
        <v>0</v>
      </c>
      <c r="P6" s="229">
        <f>+VLOOKUP(Tableau163[[#This Row],[CODE PI]],Tableau15[[CODE PI]:[Prestations diverses  &amp; accompagnements interne (1,6 k€ par jour d''acc)]],11,FALSE)</f>
        <v>-3500</v>
      </c>
      <c r="Q6" s="230">
        <f>-250*OPX_LE3!$E6</f>
        <v>-2500</v>
      </c>
      <c r="R6" s="310">
        <f>SUM(OPX_LE3!$K6:$Q6)</f>
        <v>-51290</v>
      </c>
      <c r="S6" s="336">
        <v>0</v>
      </c>
      <c r="T6" s="361">
        <v>0</v>
      </c>
      <c r="U6" s="362">
        <v>0</v>
      </c>
      <c r="V6" s="361">
        <f>-(4650+5000)</f>
        <v>-9650</v>
      </c>
      <c r="W6" s="361">
        <v>0</v>
      </c>
      <c r="X6" s="361">
        <v>0</v>
      </c>
      <c r="Y6" s="361">
        <v>0</v>
      </c>
      <c r="Z6" s="264">
        <v>-2500</v>
      </c>
      <c r="AA6" s="423"/>
      <c r="AB6" s="272">
        <f>SUM(OPX_LE3!$T6:$AA6)</f>
        <v>-12150</v>
      </c>
      <c r="AC6" s="231">
        <f>-((6184*6)+1500)</f>
        <v>-38604</v>
      </c>
      <c r="AD6" s="231"/>
      <c r="AE6" s="417">
        <v>-3647</v>
      </c>
      <c r="AF6" s="417">
        <v>0</v>
      </c>
      <c r="AG6" s="417">
        <v>-25267.5</v>
      </c>
      <c r="AH6" s="417"/>
      <c r="AI6" s="417">
        <v>0</v>
      </c>
      <c r="AJ6" s="316">
        <f>SUM(OPX_LE3!$AC6:$AI6)</f>
        <v>-61334.5</v>
      </c>
      <c r="AK6" s="424"/>
      <c r="AL6" s="275">
        <f>SUM(OPX_LE3!$J6,OPX_LE3!$AB6,OPX_LE3!$S6,OPX_LE3!$AJ6,OPX_LE3!$R6,OPX_LE3!$AK6)</f>
        <v>-626079.5</v>
      </c>
      <c r="AM6" s="425">
        <v>0</v>
      </c>
    </row>
    <row r="7" spans="1:40" ht="15" hidden="1">
      <c r="A7" s="243" t="s">
        <v>435</v>
      </c>
      <c r="B7" s="232" t="str">
        <f>VLOOKUP(OPX_LE3!$A7,Tableau106[],3,FALSE)</f>
        <v>A763</v>
      </c>
      <c r="C7" s="232" t="str">
        <f>VLOOKUP(OPX_LE3!$A7,Tableau106[],2,FALSE)</f>
        <v>FR51E05E</v>
      </c>
      <c r="D7" s="232" t="str">
        <f>VLOOKUP(OPX_LE3!$A7,Tableau106[],8,FALSE)</f>
        <v>EOLIEN</v>
      </c>
      <c r="E7" s="233">
        <f>VLOOKUP(OPX_LE3!$A7,Tableau106[],4,FALSE)</f>
        <v>16</v>
      </c>
      <c r="F7" s="232" t="str">
        <f>VLOOKUP(OPX_LE3!$A7,Tableau106[],5,FALSE)</f>
        <v>QVA3</v>
      </c>
      <c r="G7" s="232" t="str">
        <f>VLOOKUP(OPX_LE3!$A7,Tableau106[],7,FALSE)</f>
        <v>GROUPE</v>
      </c>
      <c r="H7" s="232" t="str">
        <f>VLOOKUP(OPX_LE3!$A7,Tableau106[],6,FALSE)</f>
        <v>S</v>
      </c>
      <c r="I7" s="232" t="str">
        <f>VLOOKUP(OPX_LE3!$A7,Tableau106[],9,FALSE)</f>
        <v>BaB</v>
      </c>
      <c r="J7" s="254">
        <v>-18075</v>
      </c>
      <c r="K7" s="228"/>
      <c r="L7" s="228"/>
      <c r="M7" s="229">
        <f>+VLOOKUP(Tableau163[[#This Row],[CODE PI]],Tableau15[[CODE PI]:[Prestations diverses  &amp; accompagnements interne (1,6 k€ par jour d''acc)]],8,FALSE)</f>
        <v>0</v>
      </c>
      <c r="N7" s="229">
        <f>+VLOOKUP(Tableau163[[#This Row],[CODE PI]],Tableau15[[CODE PI]:[Prestations diverses  &amp; accompagnements interne (1,6 k€ par jour d''acc)]],9,FALSE)</f>
        <v>0</v>
      </c>
      <c r="O7" s="229">
        <f>+VLOOKUP(Tableau163[[#This Row],[CODE PI]],Tableau15[[CODE PI]:[Prestations diverses  &amp; accompagnements interne (1,6 k€ par jour d''acc)]],10,FALSE)</f>
        <v>0</v>
      </c>
      <c r="P7" s="229">
        <f>+VLOOKUP(Tableau163[[#This Row],[CODE PI]],Tableau15[[CODE PI]:[Prestations diverses  &amp; accompagnements interne (1,6 k€ par jour d''acc)]],11,FALSE)</f>
        <v>0</v>
      </c>
      <c r="Q7" s="230">
        <f>-250*OPX_LE3!$E7</f>
        <v>-4000</v>
      </c>
      <c r="R7" s="311">
        <f>SUM(OPX_LE3!$K7:$Q7)</f>
        <v>-8330</v>
      </c>
      <c r="S7" s="337">
        <v>-471101</v>
      </c>
      <c r="T7" s="361">
        <v>0</v>
      </c>
      <c r="U7" s="362">
        <v>0</v>
      </c>
      <c r="V7" s="361">
        <v>-1500</v>
      </c>
      <c r="W7" s="361">
        <v>0</v>
      </c>
      <c r="X7" s="361">
        <v>0</v>
      </c>
      <c r="Y7" s="361">
        <v>0</v>
      </c>
      <c r="Z7" s="264">
        <v>-4000</v>
      </c>
      <c r="AA7" s="423"/>
      <c r="AB7" s="273">
        <f>SUM(OPX_LE3!$T7:$AA7)</f>
        <v>-7750</v>
      </c>
      <c r="AC7" s="426">
        <f t="shared" ref="AC7:AC70" si="0">-((46000/8*4)/2)</f>
        <v>-11500</v>
      </c>
      <c r="AD7" s="426"/>
      <c r="AE7" s="417">
        <v>0</v>
      </c>
      <c r="AF7" s="417">
        <v>0</v>
      </c>
      <c r="AG7" s="417">
        <v>0</v>
      </c>
      <c r="AH7" s="417">
        <v>0</v>
      </c>
      <c r="AI7" s="417">
        <v>-1100</v>
      </c>
      <c r="AJ7" s="317">
        <f>SUM(OPX_LE3!$AC7:$AI7)</f>
        <v>-1100</v>
      </c>
      <c r="AK7" s="424">
        <v>0</v>
      </c>
      <c r="AL7" s="276">
        <f>SUM(OPX_LE3!$J7,OPX_LE3!$AB7,OPX_LE3!$S7,OPX_LE3!$AJ7,OPX_LE3!$R7,OPX_LE3!$AK7)</f>
        <v>-506356</v>
      </c>
      <c r="AM7" s="427">
        <v>0</v>
      </c>
    </row>
    <row r="8" spans="1:40" ht="15" hidden="1">
      <c r="A8" s="323" t="s">
        <v>448</v>
      </c>
      <c r="B8" s="322" t="str">
        <f>VLOOKUP(OPX_LE3!$A8,Tableau106[],3,FALSE)</f>
        <v>A099</v>
      </c>
      <c r="C8" s="322" t="str">
        <f>VLOOKUP(OPX_LE3!$A8,Tableau106[],2,FALSE)</f>
        <v>FR28E96E</v>
      </c>
      <c r="D8" s="322" t="str">
        <f>VLOOKUP(OPX_LE3!$A8,Tableau106[],8,FALSE)</f>
        <v>EOLIEN</v>
      </c>
      <c r="E8" s="324">
        <f>VLOOKUP(OPX_LE3!$A8,Tableau106[],4,FALSE)</f>
        <v>52</v>
      </c>
      <c r="F8" s="322" t="str">
        <f>VLOOKUP(OPX_LE3!$A8,Tableau106[],5,FALSE)</f>
        <v>CHAB</v>
      </c>
      <c r="G8" s="322" t="str">
        <f>VLOOKUP(OPX_LE3!$A8,Tableau106[],7,FALSE)</f>
        <v>GROUPE</v>
      </c>
      <c r="H8" s="322" t="str">
        <f>VLOOKUP(OPX_LE3!$A8,Tableau106[],6,FALSE)</f>
        <v>N</v>
      </c>
      <c r="I8" s="322" t="str">
        <f>VLOOKUP(OPX_LE3!$A8,Tableau106[],9,FALSE)</f>
        <v>HuB</v>
      </c>
      <c r="J8" s="254">
        <v>-32636</v>
      </c>
      <c r="K8" s="228"/>
      <c r="L8" s="228"/>
      <c r="M8" s="229">
        <f>+VLOOKUP(Tableau163[[#This Row],[CODE PI]],Tableau15[[CODE PI]:[Prestations diverses  &amp; accompagnements interne (1,6 k€ par jour d''acc)]],8,FALSE)</f>
        <v>0</v>
      </c>
      <c r="N8" s="229">
        <f>+VLOOKUP(Tableau163[[#This Row],[CODE PI]],Tableau15[[CODE PI]:[Prestations diverses  &amp; accompagnements interne (1,6 k€ par jour d''acc)]],9,FALSE)</f>
        <v>0</v>
      </c>
      <c r="O8" s="229">
        <f>+VLOOKUP(Tableau163[[#This Row],[CODE PI]],Tableau15[[CODE PI]:[Prestations diverses  &amp; accompagnements interne (1,6 k€ par jour d''acc)]],10,FALSE)</f>
        <v>-3000</v>
      </c>
      <c r="P8" s="229">
        <f>+VLOOKUP(Tableau163[[#This Row],[CODE PI]],Tableau15[[CODE PI]:[Prestations diverses  &amp; accompagnements interne (1,6 k€ par jour d''acc)]],11,FALSE)</f>
        <v>-18200</v>
      </c>
      <c r="Q8" s="230">
        <f>-250*OPX_LE3!$E8</f>
        <v>-13000</v>
      </c>
      <c r="R8" s="311">
        <f>SUM(OPX_LE3!$K8:$Q8)</f>
        <v>-205070</v>
      </c>
      <c r="S8" s="337">
        <v>-1445600</v>
      </c>
      <c r="T8" s="361">
        <v>0</v>
      </c>
      <c r="U8" s="362">
        <v>0</v>
      </c>
      <c r="V8" s="361">
        <v>-9000</v>
      </c>
      <c r="W8" s="361">
        <v>0</v>
      </c>
      <c r="X8" s="361">
        <v>-4000</v>
      </c>
      <c r="Y8" s="361">
        <v>0</v>
      </c>
      <c r="Z8" s="264">
        <v>-13000</v>
      </c>
      <c r="AA8" s="423"/>
      <c r="AB8" s="273">
        <f>SUM(OPX_LE3!$T8:$AA8)</f>
        <v>-26000</v>
      </c>
      <c r="AC8" s="426">
        <f t="shared" si="0"/>
        <v>-11500</v>
      </c>
      <c r="AD8" s="426"/>
      <c r="AE8" s="417">
        <v>0</v>
      </c>
      <c r="AF8" s="417">
        <v>0</v>
      </c>
      <c r="AG8" s="417">
        <v>0</v>
      </c>
      <c r="AH8" s="417">
        <v>0</v>
      </c>
      <c r="AI8" s="417">
        <v>0</v>
      </c>
      <c r="AJ8" s="317">
        <f>SUM(OPX_LE3!$AC8:$AI8)</f>
        <v>-5000</v>
      </c>
      <c r="AK8" s="424">
        <v>0</v>
      </c>
      <c r="AL8" s="276">
        <f>SUM(OPX_LE3!$J8,OPX_LE3!$AB8,OPX_LE3!$S8,OPX_LE3!$AJ8,OPX_LE3!$R8,OPX_LE3!$AK8)</f>
        <v>-1714306</v>
      </c>
      <c r="AM8" s="427">
        <v>0</v>
      </c>
    </row>
    <row r="9" spans="1:40" ht="15" hidden="1">
      <c r="A9" s="243" t="s">
        <v>504</v>
      </c>
      <c r="B9" s="232" t="str">
        <f>VLOOKUP(OPX_LE3!$A9,Tableau106[],3,FALSE)</f>
        <v>A418</v>
      </c>
      <c r="C9" s="232" t="str">
        <f>VLOOKUP(OPX_LE3!$A9,Tableau106[],2,FALSE)</f>
        <v>FR78E01E</v>
      </c>
      <c r="D9" s="232" t="str">
        <f>VLOOKUP(OPX_LE3!$A9,Tableau106[],8,FALSE)</f>
        <v>EOLIEN</v>
      </c>
      <c r="E9" s="233">
        <f>VLOOKUP(OPX_LE3!$A9,Tableau106[],4,FALSE)</f>
        <v>16.95</v>
      </c>
      <c r="F9" s="232" t="str">
        <f>VLOOKUP(OPX_LE3!$A9,Tableau106[],5,FALSE)</f>
        <v>ALVI</v>
      </c>
      <c r="G9" s="232" t="str">
        <f>VLOOKUP(OPX_LE3!$A9,Tableau106[],7,FALSE)</f>
        <v>GROUPE</v>
      </c>
      <c r="H9" s="232" t="str">
        <f>VLOOKUP(OPX_LE3!$A9,Tableau106[],6,FALSE)</f>
        <v>N</v>
      </c>
      <c r="I9" s="232" t="str">
        <f>VLOOKUP(OPX_LE3!$A9,Tableau106[],9,FALSE)</f>
        <v>AyB</v>
      </c>
      <c r="J9" s="254">
        <v>-10387</v>
      </c>
      <c r="K9" s="228"/>
      <c r="L9" s="228"/>
      <c r="M9" s="229">
        <f>+VLOOKUP(Tableau163[[#This Row],[CODE PI]],Tableau15[[CODE PI]:[Prestations diverses  &amp; accompagnements interne (1,6 k€ par jour d''acc)]],8,FALSE)</f>
        <v>0</v>
      </c>
      <c r="N9" s="229">
        <f>+VLOOKUP(Tableau163[[#This Row],[CODE PI]],Tableau15[[CODE PI]:[Prestations diverses  &amp; accompagnements interne (1,6 k€ par jour d''acc)]],9,FALSE)</f>
        <v>0</v>
      </c>
      <c r="O9" s="229">
        <f>+VLOOKUP(Tableau163[[#This Row],[CODE PI]],Tableau15[[CODE PI]:[Prestations diverses  &amp; accompagnements interne (1,6 k€ par jour d''acc)]],10,FALSE)</f>
        <v>0</v>
      </c>
      <c r="P9" s="229">
        <f>+VLOOKUP(Tableau163[[#This Row],[CODE PI]],Tableau15[[CODE PI]:[Prestations diverses  &amp; accompagnements interne (1,6 k€ par jour d''acc)]],11,FALSE)</f>
        <v>-5932.5</v>
      </c>
      <c r="Q9" s="230">
        <f>-250*OPX_LE3!$E9</f>
        <v>-4237.5</v>
      </c>
      <c r="R9" s="311">
        <f>SUM(OPX_LE3!$K9:$Q9)</f>
        <v>-16365.5</v>
      </c>
      <c r="S9" s="337">
        <v>-257000</v>
      </c>
      <c r="T9" s="361">
        <v>0</v>
      </c>
      <c r="U9" s="362">
        <v>0</v>
      </c>
      <c r="V9" s="361">
        <v>-1800</v>
      </c>
      <c r="W9" s="361">
        <v>-3050</v>
      </c>
      <c r="X9" s="361">
        <v>0</v>
      </c>
      <c r="Y9" s="361">
        <v>0</v>
      </c>
      <c r="Z9" s="264">
        <v>-4237.5</v>
      </c>
      <c r="AA9" s="423"/>
      <c r="AB9" s="273">
        <f>SUM(OPX_LE3!$T9:$AA9)</f>
        <v>-49087.5</v>
      </c>
      <c r="AC9" s="426">
        <f t="shared" si="0"/>
        <v>-11500</v>
      </c>
      <c r="AD9" s="426"/>
      <c r="AE9" s="417">
        <v>-5335</v>
      </c>
      <c r="AF9" s="417">
        <v>-13305</v>
      </c>
      <c r="AG9" s="417">
        <v>-30187.5</v>
      </c>
      <c r="AH9" s="417">
        <v>0</v>
      </c>
      <c r="AI9" s="417">
        <v>0</v>
      </c>
      <c r="AJ9" s="317">
        <f>SUM(OPX_LE3!$AC9:$AI9)</f>
        <v>-48827.5</v>
      </c>
      <c r="AK9" s="424">
        <v>0</v>
      </c>
      <c r="AL9" s="276">
        <f>SUM(OPX_LE3!$J9,OPX_LE3!$AB9,OPX_LE3!$S9,OPX_LE3!$AJ9,OPX_LE3!$R9,OPX_LE3!$AK9)</f>
        <v>-394667.5</v>
      </c>
      <c r="AM9" s="427">
        <v>0</v>
      </c>
    </row>
    <row r="10" spans="1:40" ht="14.65" hidden="1" customHeight="1">
      <c r="A10" s="323" t="s">
        <v>530</v>
      </c>
      <c r="B10" s="322" t="str">
        <f>VLOOKUP(OPX_LE3!$A10,Tableau106[],3,FALSE)</f>
        <v>A109</v>
      </c>
      <c r="C10" s="322" t="str">
        <f>VLOOKUP(OPX_LE3!$A10,Tableau106[],2,FALSE)</f>
        <v>FR15E01E</v>
      </c>
      <c r="D10" s="322" t="str">
        <f>VLOOKUP(OPX_LE3!$A10,Tableau106[],8,FALSE)</f>
        <v>EOLIEN</v>
      </c>
      <c r="E10" s="324">
        <f>VLOOKUP(OPX_LE3!$A10,Tableau106[],4,FALSE)</f>
        <v>12</v>
      </c>
      <c r="F10" s="322" t="str">
        <f>VLOOKUP(OPX_LE3!$A10,Tableau106[],5,FALSE)</f>
        <v>ALLA</v>
      </c>
      <c r="G10" s="322" t="str">
        <f>VLOOKUP(OPX_LE3!$A10,Tableau106[],7,FALSE)</f>
        <v>FUTUREN</v>
      </c>
      <c r="H10" s="322" t="str">
        <f>VLOOKUP(OPX_LE3!$A10,Tableau106[],6,FALSE)</f>
        <v>S</v>
      </c>
      <c r="I10" s="322" t="str">
        <f>VLOOKUP(OPX_LE3!$A10,Tableau106[],9,FALSE)</f>
        <v>AuE</v>
      </c>
      <c r="J10" s="254">
        <v>-76855</v>
      </c>
      <c r="K10" s="228"/>
      <c r="L10" s="228"/>
      <c r="M10" s="229">
        <f>+VLOOKUP(Tableau163[[#This Row],[CODE PI]],Tableau15[[CODE PI]:[Prestations diverses  &amp; accompagnements interne (1,6 k€ par jour d''acc)]],8,FALSE)</f>
        <v>0</v>
      </c>
      <c r="N10" s="229">
        <f>+VLOOKUP(Tableau163[[#This Row],[CODE PI]],Tableau15[[CODE PI]:[Prestations diverses  &amp; accompagnements interne (1,6 k€ par jour d''acc)]],9,FALSE)</f>
        <v>0</v>
      </c>
      <c r="O10" s="229">
        <f>+VLOOKUP(Tableau163[[#This Row],[CODE PI]],Tableau15[[CODE PI]:[Prestations diverses  &amp; accompagnements interne (1,6 k€ par jour d''acc)]],10,FALSE)</f>
        <v>0</v>
      </c>
      <c r="P10" s="229">
        <f>+VLOOKUP(Tableau163[[#This Row],[CODE PI]],Tableau15[[CODE PI]:[Prestations diverses  &amp; accompagnements interne (1,6 k€ par jour d''acc)]],11,FALSE)</f>
        <v>-4200</v>
      </c>
      <c r="Q10" s="230">
        <f>-250*OPX_LE3!$E10</f>
        <v>-3000</v>
      </c>
      <c r="R10" s="311">
        <f>SUM(OPX_LE3!$K10:$Q10)</f>
        <v>-19330</v>
      </c>
      <c r="S10" s="337">
        <f>-267979-11500</f>
        <v>-279479</v>
      </c>
      <c r="T10" s="361">
        <v>-1800</v>
      </c>
      <c r="U10" s="362">
        <v>0</v>
      </c>
      <c r="V10" s="361">
        <v>-2000</v>
      </c>
      <c r="W10" s="361">
        <v>0</v>
      </c>
      <c r="X10" s="361">
        <v>0</v>
      </c>
      <c r="Y10" s="361">
        <v>0</v>
      </c>
      <c r="Z10" s="264">
        <v>-3000</v>
      </c>
      <c r="AA10" s="423">
        <f>-(0.2*CA_LE3!M5)/100</f>
        <v>-4937.9256206400005</v>
      </c>
      <c r="AB10" s="273">
        <f>SUM(OPX_LE3!$T10:$AA10)</f>
        <v>-11737.92562064</v>
      </c>
      <c r="AC10" s="426"/>
      <c r="AD10" s="426"/>
      <c r="AE10" s="417"/>
      <c r="AF10" s="417"/>
      <c r="AG10" s="417">
        <v>-22425</v>
      </c>
      <c r="AH10" s="417">
        <v>0</v>
      </c>
      <c r="AI10" s="417">
        <v>0</v>
      </c>
      <c r="AJ10" s="317">
        <f>SUM(OPX_LE3!$AC10:$AI10)</f>
        <v>-33925</v>
      </c>
      <c r="AK10" s="424">
        <v>-20000</v>
      </c>
      <c r="AL10" s="276">
        <f>SUM(OPX_LE3!$J10,OPX_LE3!$AB10,OPX_LE3!$S10,OPX_LE3!$AJ10,OPX_LE3!$R10,OPX_LE3!$AK10)</f>
        <v>-429826.92562063999</v>
      </c>
      <c r="AM10" s="427">
        <f>-(150000/2)</f>
        <v>-75000</v>
      </c>
    </row>
    <row r="11" spans="1:40" ht="15" hidden="1">
      <c r="A11" s="244" t="s">
        <v>440</v>
      </c>
      <c r="B11" s="232" t="str">
        <f>VLOOKUP(OPX_LE3!$A11,Tableau106[],3,FALSE)</f>
        <v>A353</v>
      </c>
      <c r="C11" s="232" t="str">
        <f>VLOOKUP(OPX_LE3!$A11,Tableau106[],2,FALSE)</f>
        <v>FR33S12E</v>
      </c>
      <c r="D11" s="232" t="str">
        <f>VLOOKUP(OPX_LE3!$A11,Tableau106[],8,FALSE)</f>
        <v>SOLAIRE</v>
      </c>
      <c r="E11" s="233">
        <f>VLOOKUP(OPX_LE3!$A11,Tableau106[],4,FALSE)</f>
        <v>9.6999999999999993</v>
      </c>
      <c r="F11" s="232" t="str">
        <f>VLOOKUP(OPX_LE3!$A11,Tableau106[],5,FALSE)</f>
        <v>AMBE</v>
      </c>
      <c r="G11" s="232" t="str">
        <f>VLOOKUP(OPX_LE3!$A11,Tableau106[],7,FALSE)</f>
        <v>GROUPE</v>
      </c>
      <c r="H11" s="232" t="str">
        <f>VLOOKUP(OPX_LE3!$A11,Tableau106[],6,FALSE)</f>
        <v>S</v>
      </c>
      <c r="I11" s="232" t="str">
        <f>VLOOKUP(OPX_LE3!$A11,Tableau106[],9,FALSE)</f>
        <v>BaA</v>
      </c>
      <c r="J11" s="254">
        <v>-83423</v>
      </c>
      <c r="K11" s="228"/>
      <c r="L11" s="228"/>
      <c r="M11" s="229">
        <f>+VLOOKUP(Tableau163[[#This Row],[CODE PI]],Tableau15[[CODE PI]:[Prestations diverses  &amp; accompagnements interne (1,6 k€ par jour d''acc)]],8,FALSE)</f>
        <v>0</v>
      </c>
      <c r="N11" s="229">
        <f>+VLOOKUP(Tableau163[[#This Row],[CODE PI]],Tableau15[[CODE PI]:[Prestations diverses  &amp; accompagnements interne (1,6 k€ par jour d''acc)]],9,FALSE)</f>
        <v>0</v>
      </c>
      <c r="O11" s="229">
        <f>+VLOOKUP(Tableau163[[#This Row],[CODE PI]],Tableau15[[CODE PI]:[Prestations diverses  &amp; accompagnements interne (1,6 k€ par jour d''acc)]],10,FALSE)</f>
        <v>0</v>
      </c>
      <c r="P11" s="229">
        <f>+VLOOKUP(Tableau163[[#This Row],[CODE PI]],Tableau15[[CODE PI]:[Prestations diverses  &amp; accompagnements interne (1,6 k€ par jour d''acc)]],11,FALSE)</f>
        <v>0</v>
      </c>
      <c r="Q11" s="230">
        <f>-250*OPX_LE3!$E11</f>
        <v>-2425</v>
      </c>
      <c r="R11" s="311">
        <f>SUM(OPX_LE3!$K11:$Q11)</f>
        <v>-8560</v>
      </c>
      <c r="S11" s="337">
        <v>0</v>
      </c>
      <c r="T11" s="361">
        <v>0</v>
      </c>
      <c r="U11" s="362">
        <v>0</v>
      </c>
      <c r="V11" s="361">
        <v>0</v>
      </c>
      <c r="W11" s="361">
        <v>0</v>
      </c>
      <c r="X11" s="361">
        <v>0</v>
      </c>
      <c r="Y11" s="361">
        <v>0</v>
      </c>
      <c r="Z11" s="264">
        <v>-2425</v>
      </c>
      <c r="AA11" s="423"/>
      <c r="AB11" s="273">
        <f>SUM(OPX_LE3!$T11:$AA11)</f>
        <v>-2425</v>
      </c>
      <c r="AC11" s="426">
        <f t="shared" si="0"/>
        <v>-11500</v>
      </c>
      <c r="AD11" s="426"/>
      <c r="AE11" s="417">
        <v>0</v>
      </c>
      <c r="AF11" s="417">
        <v>0</v>
      </c>
      <c r="AG11" s="417">
        <v>0</v>
      </c>
      <c r="AH11" s="417">
        <v>0</v>
      </c>
      <c r="AI11" s="417">
        <v>0</v>
      </c>
      <c r="AJ11" s="317">
        <f>SUM(OPX_LE3!$AC11:$AI11)</f>
        <v>0</v>
      </c>
      <c r="AK11" s="424">
        <v>-15000</v>
      </c>
      <c r="AL11" s="276">
        <f>SUM(OPX_LE3!$J11,OPX_LE3!$AB11,OPX_LE3!$S11,OPX_LE3!$AJ11,OPX_LE3!$R11,OPX_LE3!$AK11)</f>
        <v>-95380</v>
      </c>
      <c r="AM11" s="427">
        <v>0</v>
      </c>
    </row>
    <row r="12" spans="1:40" ht="15" hidden="1">
      <c r="A12" s="325" t="s">
        <v>479</v>
      </c>
      <c r="B12" s="322" t="str">
        <f>VLOOKUP(OPX_LE3!$A12,Tableau106[],3,FALSE)</f>
        <v>A541</v>
      </c>
      <c r="C12" s="322" t="str">
        <f>VLOOKUP(OPX_LE3!$A12,Tableau106[],2,FALSE)</f>
        <v>FR57E04E</v>
      </c>
      <c r="D12" s="322" t="str">
        <f>VLOOKUP(OPX_LE3!$A12,Tableau106[],8,FALSE)</f>
        <v>EOLIEN</v>
      </c>
      <c r="E12" s="324">
        <f>VLOOKUP(OPX_LE3!$A12,Tableau106[],4,FALSE)</f>
        <v>12</v>
      </c>
      <c r="F12" s="322" t="str">
        <f>VLOOKUP(OPX_LE3!$A12,Tableau106[],5,FALSE)</f>
        <v>AMEL</v>
      </c>
      <c r="G12" s="322" t="str">
        <f>VLOOKUP(OPX_LE3!$A12,Tableau106[],7,FALSE)</f>
        <v>EGM</v>
      </c>
      <c r="H12" s="322" t="str">
        <f>VLOOKUP(OPX_LE3!$A12,Tableau106[],6,FALSE)</f>
        <v>N</v>
      </c>
      <c r="I12" s="322" t="str">
        <f>VLOOKUP(OPX_LE3!$A12,Tableau106[],9,FALSE)</f>
        <v>NoS</v>
      </c>
      <c r="J12" s="254">
        <v>-309548</v>
      </c>
      <c r="K12" s="228"/>
      <c r="L12" s="228"/>
      <c r="M12" s="229">
        <f>+VLOOKUP(Tableau163[[#This Row],[CODE PI]],Tableau15[[CODE PI]:[Prestations diverses  &amp; accompagnements interne (1,6 k€ par jour d''acc)]],8,FALSE)</f>
        <v>0</v>
      </c>
      <c r="N12" s="229">
        <f>+VLOOKUP(Tableau163[[#This Row],[CODE PI]],Tableau15[[CODE PI]:[Prestations diverses  &amp; accompagnements interne (1,6 k€ par jour d''acc)]],9,FALSE)</f>
        <v>0</v>
      </c>
      <c r="O12" s="229">
        <f>+VLOOKUP(Tableau163[[#This Row],[CODE PI]],Tableau15[[CODE PI]:[Prestations diverses  &amp; accompagnements interne (1,6 k€ par jour d''acc)]],10,FALSE)</f>
        <v>0</v>
      </c>
      <c r="P12" s="229">
        <f>+VLOOKUP(Tableau163[[#This Row],[CODE PI]],Tableau15[[CODE PI]:[Prestations diverses  &amp; accompagnements interne (1,6 k€ par jour d''acc)]],11,FALSE)</f>
        <v>-4200</v>
      </c>
      <c r="Q12" s="230">
        <f>-250*OPX_LE3!$E12</f>
        <v>-3000</v>
      </c>
      <c r="R12" s="311">
        <f>SUM(OPX_LE3!$K12:$Q12)</f>
        <v>-237200</v>
      </c>
      <c r="S12" s="337">
        <v>0</v>
      </c>
      <c r="T12" s="361">
        <v>0</v>
      </c>
      <c r="U12" s="362">
        <v>0</v>
      </c>
      <c r="V12" s="361">
        <v>-2000</v>
      </c>
      <c r="W12" s="361">
        <v>0</v>
      </c>
      <c r="X12" s="361">
        <v>0</v>
      </c>
      <c r="Y12" s="361">
        <v>0</v>
      </c>
      <c r="Z12" s="264">
        <v>-3000</v>
      </c>
      <c r="AA12" s="423"/>
      <c r="AB12" s="273">
        <f>SUM(OPX_LE3!$T12:$AA12)</f>
        <v>-8750</v>
      </c>
      <c r="AC12" s="426">
        <f t="shared" si="0"/>
        <v>-11500</v>
      </c>
      <c r="AD12" s="426"/>
      <c r="AE12" s="417">
        <v>0</v>
      </c>
      <c r="AF12" s="417">
        <v>0</v>
      </c>
      <c r="AG12" s="417">
        <v>0</v>
      </c>
      <c r="AH12" s="417">
        <v>0</v>
      </c>
      <c r="AI12" s="417">
        <v>0</v>
      </c>
      <c r="AJ12" s="317">
        <f>SUM(OPX_LE3!$AC12:$AI12)</f>
        <v>0</v>
      </c>
      <c r="AK12" s="424">
        <v>0</v>
      </c>
      <c r="AL12" s="276">
        <f>SUM(OPX_LE3!$J12,OPX_LE3!$AB12,OPX_LE3!$S12,OPX_LE3!$AJ12,OPX_LE3!$R12,OPX_LE3!$AK12)</f>
        <v>-555498</v>
      </c>
      <c r="AM12" s="427">
        <v>-3500000</v>
      </c>
    </row>
    <row r="13" spans="1:40" ht="15" hidden="1">
      <c r="A13" s="244" t="s">
        <v>508</v>
      </c>
      <c r="B13" s="232" t="str">
        <f>VLOOKUP(OPX_LE3!$A13,Tableau106[],3,FALSE)</f>
        <v>F245</v>
      </c>
      <c r="C13" s="232" t="str">
        <f>VLOOKUP(OPX_LE3!$A13,Tableau106[],2,FALSE)</f>
        <v>FR17E07E</v>
      </c>
      <c r="D13" s="232" t="str">
        <f>VLOOKUP(OPX_LE3!$A13,Tableau106[],8,FALSE)</f>
        <v>EOLIEN</v>
      </c>
      <c r="E13" s="233">
        <f>VLOOKUP(OPX_LE3!$A13,Tableau106[],4,FALSE)</f>
        <v>12</v>
      </c>
      <c r="F13" s="232" t="str">
        <f>VLOOKUP(OPX_LE3!$A13,Tableau106[],5,FALSE)</f>
        <v>ANPA</v>
      </c>
      <c r="G13" s="232" t="str">
        <f>VLOOKUP(OPX_LE3!$A13,Tableau106[],7,FALSE)</f>
        <v>FUTUREN</v>
      </c>
      <c r="H13" s="232" t="str">
        <f>VLOOKUP(OPX_LE3!$A13,Tableau106[],6,FALSE)</f>
        <v>N</v>
      </c>
      <c r="I13" s="232" t="str">
        <f>VLOOKUP(OPX_LE3!$A13,Tableau106[],9,FALSE)</f>
        <v>KéC</v>
      </c>
      <c r="J13" s="254">
        <v>-4257</v>
      </c>
      <c r="K13" s="234"/>
      <c r="L13" s="234"/>
      <c r="M13" s="229">
        <f>+VLOOKUP(Tableau163[[#This Row],[CODE PI]],Tableau15[[CODE PI]:[Prestations diverses  &amp; accompagnements interne (1,6 k€ par jour d''acc)]],8,FALSE)</f>
        <v>0</v>
      </c>
      <c r="N13" s="229">
        <f>+VLOOKUP(Tableau163[[#This Row],[CODE PI]],Tableau15[[CODE PI]:[Prestations diverses  &amp; accompagnements interne (1,6 k€ par jour d''acc)]],9,FALSE)</f>
        <v>0</v>
      </c>
      <c r="O13" s="229">
        <f>+VLOOKUP(Tableau163[[#This Row],[CODE PI]],Tableau15[[CODE PI]:[Prestations diverses  &amp; accompagnements interne (1,6 k€ par jour d''acc)]],10,FALSE)</f>
        <v>0</v>
      </c>
      <c r="P13" s="229">
        <f>+VLOOKUP(Tableau163[[#This Row],[CODE PI]],Tableau15[[CODE PI]:[Prestations diverses  &amp; accompagnements interne (1,6 k€ par jour d''acc)]],11,FALSE)</f>
        <v>0</v>
      </c>
      <c r="Q13" s="230">
        <f>-250*OPX_LE3!$E13</f>
        <v>-3000</v>
      </c>
      <c r="R13" s="311">
        <f>SUM(OPX_LE3!$K13:$Q13)</f>
        <v>-8752</v>
      </c>
      <c r="S13" s="337">
        <v>-140000</v>
      </c>
      <c r="T13" s="361">
        <v>0</v>
      </c>
      <c r="U13" s="362">
        <v>0</v>
      </c>
      <c r="V13" s="361">
        <v>0</v>
      </c>
      <c r="W13" s="361">
        <v>0</v>
      </c>
      <c r="X13" s="361">
        <v>0</v>
      </c>
      <c r="Y13" s="361">
        <v>0</v>
      </c>
      <c r="Z13" s="264">
        <v>-3000</v>
      </c>
      <c r="AA13" s="423"/>
      <c r="AB13" s="273">
        <f>SUM(OPX_LE3!$T13:$AA13)</f>
        <v>-16460.667215248002</v>
      </c>
      <c r="AC13" s="426">
        <f t="shared" si="0"/>
        <v>-11500</v>
      </c>
      <c r="AD13" s="426"/>
      <c r="AE13" s="417">
        <v>-5000</v>
      </c>
      <c r="AF13" s="417">
        <v>-20000</v>
      </c>
      <c r="AG13" s="417">
        <v>-25000</v>
      </c>
      <c r="AH13" s="417">
        <v>0</v>
      </c>
      <c r="AI13" s="417">
        <v>-10000</v>
      </c>
      <c r="AJ13" s="317">
        <f>SUM(OPX_LE3!$AC13:$AI13)</f>
        <v>-64068</v>
      </c>
      <c r="AK13" s="424">
        <v>0</v>
      </c>
      <c r="AL13" s="276">
        <f>SUM(OPX_LE3!$J13,OPX_LE3!$AB13,OPX_LE3!$S13,OPX_LE3!$AJ13,OPX_LE3!$R13,OPX_LE3!$AK13)</f>
        <v>-258849.72561524803</v>
      </c>
      <c r="AM13" s="427">
        <v>0</v>
      </c>
    </row>
    <row r="14" spans="1:40" ht="15" hidden="1">
      <c r="A14" s="325" t="s">
        <v>444</v>
      </c>
      <c r="B14" s="322" t="str">
        <f>VLOOKUP(OPX_LE3!$A14,Tableau106[],3,FALSE)</f>
        <v>A353</v>
      </c>
      <c r="C14" s="322" t="str">
        <f>VLOOKUP(OPX_LE3!$A14,Tableau106[],2,FALSE)</f>
        <v>FR30S13E</v>
      </c>
      <c r="D14" s="322" t="str">
        <f>VLOOKUP(OPX_LE3!$A14,Tableau106[],8,FALSE)</f>
        <v>SOLAIRE</v>
      </c>
      <c r="E14" s="324">
        <f>VLOOKUP(OPX_LE3!$A14,Tableau106[],4,FALSE)</f>
        <v>5</v>
      </c>
      <c r="F14" s="322" t="str">
        <f>VLOOKUP(OPX_LE3!$A14,Tableau106[],5,FALSE)</f>
        <v>ARAM</v>
      </c>
      <c r="G14" s="322" t="str">
        <f>VLOOKUP(OPX_LE3!$A14,Tableau106[],7,FALSE)</f>
        <v>GROUPE</v>
      </c>
      <c r="H14" s="322" t="str">
        <f>VLOOKUP(OPX_LE3!$A14,Tableau106[],6,FALSE)</f>
        <v>S</v>
      </c>
      <c r="I14" s="322" t="str">
        <f>VLOOKUP(OPX_LE3!$A14,Tableau106[],9,FALSE)</f>
        <v>ArB</v>
      </c>
      <c r="J14" s="254">
        <v>-60184</v>
      </c>
      <c r="K14" s="228"/>
      <c r="L14" s="228"/>
      <c r="M14" s="229">
        <f>+VLOOKUP(Tableau163[[#This Row],[CODE PI]],Tableau15[[CODE PI]:[Prestations diverses  &amp; accompagnements interne (1,6 k€ par jour d''acc)]],8,FALSE)</f>
        <v>0</v>
      </c>
      <c r="N14" s="229">
        <f>+VLOOKUP(Tableau163[[#This Row],[CODE PI]],Tableau15[[CODE PI]:[Prestations diverses  &amp; accompagnements interne (1,6 k€ par jour d''acc)]],9,FALSE)</f>
        <v>0</v>
      </c>
      <c r="O14" s="229">
        <f>+VLOOKUP(Tableau163[[#This Row],[CODE PI]],Tableau15[[CODE PI]:[Prestations diverses  &amp; accompagnements interne (1,6 k€ par jour d''acc)]],10,FALSE)</f>
        <v>0</v>
      </c>
      <c r="P14" s="229">
        <f>+VLOOKUP(Tableau163[[#This Row],[CODE PI]],Tableau15[[CODE PI]:[Prestations diverses  &amp; accompagnements interne (1,6 k€ par jour d''acc)]],11,FALSE)</f>
        <v>0</v>
      </c>
      <c r="Q14" s="230">
        <f>-250*OPX_LE3!$E14</f>
        <v>-1250</v>
      </c>
      <c r="R14" s="311">
        <f>SUM(OPX_LE3!$K14:$Q14)</f>
        <v>-7750</v>
      </c>
      <c r="S14" s="337">
        <v>0</v>
      </c>
      <c r="T14" s="361">
        <v>0</v>
      </c>
      <c r="U14" s="362">
        <v>0</v>
      </c>
      <c r="V14" s="361">
        <v>-20000</v>
      </c>
      <c r="W14" s="361">
        <v>0</v>
      </c>
      <c r="X14" s="361">
        <v>0</v>
      </c>
      <c r="Y14" s="361">
        <v>0</v>
      </c>
      <c r="Z14" s="264">
        <v>-1250</v>
      </c>
      <c r="AA14" s="423">
        <v>-1145</v>
      </c>
      <c r="AB14" s="273">
        <f>SUM(OPX_LE3!$T14:$AA14)</f>
        <v>-21950</v>
      </c>
      <c r="AC14" s="426">
        <f t="shared" si="0"/>
        <v>-11500</v>
      </c>
      <c r="AD14" s="426"/>
      <c r="AE14" s="417">
        <v>0</v>
      </c>
      <c r="AF14" s="417">
        <v>0</v>
      </c>
      <c r="AG14" s="417">
        <v>0</v>
      </c>
      <c r="AH14" s="417">
        <v>-5000</v>
      </c>
      <c r="AI14" s="417">
        <v>0</v>
      </c>
      <c r="AJ14" s="317">
        <f>SUM(OPX_LE3!$AC14:$AI14)</f>
        <v>0</v>
      </c>
      <c r="AK14" s="424">
        <v>-3000</v>
      </c>
      <c r="AL14" s="276">
        <f>SUM(OPX_LE3!$J14,OPX_LE3!$AB14,OPX_LE3!$S14,OPX_LE3!$AJ14,OPX_LE3!$R14,OPX_LE3!$AK14)</f>
        <v>-92884</v>
      </c>
      <c r="AM14" s="427">
        <v>0</v>
      </c>
    </row>
    <row r="15" spans="1:40" ht="15" hidden="1">
      <c r="A15" s="244" t="s">
        <v>445</v>
      </c>
      <c r="B15" s="232" t="str">
        <f>VLOOKUP(OPX_LE3!$A16,Tableau106[],3,FALSE)</f>
        <v>A353</v>
      </c>
      <c r="C15" s="232" t="str">
        <f>VLOOKUP(OPX_LE3!$A16,Tableau106[],2,FALSE)</f>
        <v>FR64S01E</v>
      </c>
      <c r="D15" s="232" t="str">
        <f>VLOOKUP(OPX_LE3!$A16,Tableau106[],8,FALSE)</f>
        <v>SOLAIRE</v>
      </c>
      <c r="E15" s="233">
        <f>VLOOKUP(OPX_LE3!$A16,Tableau106[],4,FALSE)</f>
        <v>4.2</v>
      </c>
      <c r="F15" s="232" t="str">
        <f>VLOOKUP(OPX_LE3!$A16,Tableau106[],5,FALSE)</f>
        <v>ARTI</v>
      </c>
      <c r="G15" s="232" t="str">
        <f>VLOOKUP(OPX_LE3!$A16,Tableau106[],7,FALSE)</f>
        <v>GROUPE</v>
      </c>
      <c r="H15" s="232" t="str">
        <f>VLOOKUP(OPX_LE3!$A16,Tableau106[],6,FALSE)</f>
        <v>S</v>
      </c>
      <c r="I15" s="232" t="str">
        <f>VLOOKUP(OPX_LE3!$A16,Tableau106[],9,FALSE)</f>
        <v>BaA</v>
      </c>
      <c r="J15" s="254">
        <v>-36065</v>
      </c>
      <c r="K15" s="228"/>
      <c r="L15" s="228"/>
      <c r="M15" s="229">
        <f>+VLOOKUP(Tableau163[[#This Row],[CODE PI]],Tableau15[[CODE PI]:[Prestations diverses  &amp; accompagnements interne (1,6 k€ par jour d''acc)]],8,FALSE)</f>
        <v>0</v>
      </c>
      <c r="N15" s="229">
        <f>+VLOOKUP(Tableau163[[#This Row],[CODE PI]],Tableau15[[CODE PI]:[Prestations diverses  &amp; accompagnements interne (1,6 k€ par jour d''acc)]],9,FALSE)</f>
        <v>0</v>
      </c>
      <c r="O15" s="229">
        <f>+VLOOKUP(Tableau163[[#This Row],[CODE PI]],Tableau15[[CODE PI]:[Prestations diverses  &amp; accompagnements interne (1,6 k€ par jour d''acc)]],10,FALSE)</f>
        <v>0</v>
      </c>
      <c r="P15" s="229">
        <f>+VLOOKUP(Tableau163[[#This Row],[CODE PI]],Tableau15[[CODE PI]:[Prestations diverses  &amp; accompagnements interne (1,6 k€ par jour d''acc)]],11,FALSE)</f>
        <v>0</v>
      </c>
      <c r="Q15" s="230">
        <f>-250*OPX_LE3!$E16</f>
        <v>-1050</v>
      </c>
      <c r="R15" s="311">
        <f>SUM(OPX_LE3!$K16:$Q16)</f>
        <v>-12130</v>
      </c>
      <c r="S15" s="337">
        <v>0</v>
      </c>
      <c r="T15" s="361">
        <v>0</v>
      </c>
      <c r="U15" s="362">
        <v>0</v>
      </c>
      <c r="V15" s="361">
        <v>0</v>
      </c>
      <c r="W15" s="361">
        <v>0</v>
      </c>
      <c r="X15" s="361">
        <v>0</v>
      </c>
      <c r="Y15" s="361">
        <v>0</v>
      </c>
      <c r="Z15" s="264">
        <v>-1050</v>
      </c>
      <c r="AA15" s="423"/>
      <c r="AB15" s="273">
        <f>SUM(OPX_LE3!$T16:$AA16)</f>
        <v>-1050</v>
      </c>
      <c r="AC15" s="426">
        <f t="shared" si="0"/>
        <v>-11500</v>
      </c>
      <c r="AD15" s="426"/>
      <c r="AE15" s="417">
        <v>0</v>
      </c>
      <c r="AF15" s="417">
        <v>0</v>
      </c>
      <c r="AG15" s="417">
        <v>0</v>
      </c>
      <c r="AH15" s="417">
        <v>0</v>
      </c>
      <c r="AI15" s="417">
        <v>0</v>
      </c>
      <c r="AJ15" s="317">
        <f>SUM(OPX_LE3!$AC16:$AI16)</f>
        <v>0</v>
      </c>
      <c r="AK15" s="424">
        <v>0</v>
      </c>
      <c r="AL15" s="276">
        <f>SUM(OPX_LE3!$J16,OPX_LE3!$AB16,OPX_LE3!$S16,OPX_LE3!$AJ16,OPX_LE3!$R16,OPX_LE3!$AK16)</f>
        <v>-49245</v>
      </c>
      <c r="AM15" s="427">
        <v>0</v>
      </c>
    </row>
    <row r="16" spans="1:40" ht="15" hidden="1">
      <c r="A16" s="325" t="s">
        <v>571</v>
      </c>
      <c r="B16" s="322" t="str">
        <f>VLOOKUP(OPX_LE3!$A17,Tableau106[],3,FALSE)</f>
        <v>A084</v>
      </c>
      <c r="C16" s="322" t="str">
        <f>VLOOKUP(OPX_LE3!$A17,Tableau106[],2,FALSE)</f>
        <v>FR34E93E</v>
      </c>
      <c r="D16" s="322" t="str">
        <f>VLOOKUP(OPX_LE3!$A17,Tableau106[],8,FALSE)</f>
        <v>EOLIEN</v>
      </c>
      <c r="E16" s="324">
        <f>VLOOKUP(OPX_LE3!$A17,Tableau106[],4,FALSE)</f>
        <v>14</v>
      </c>
      <c r="F16" s="322" t="str">
        <f>VLOOKUP(OPX_LE3!$A17,Tableau106[],5,FALSE)</f>
        <v>AUM3</v>
      </c>
      <c r="G16" s="322" t="str">
        <f>VLOOKUP(OPX_LE3!$A17,Tableau106[],7,FALSE)</f>
        <v>FUTUREN</v>
      </c>
      <c r="H16" s="322" t="str">
        <f>VLOOKUP(OPX_LE3!$A17,Tableau106[],6,FALSE)</f>
        <v>S</v>
      </c>
      <c r="I16" s="322" t="str">
        <f>VLOOKUP(OPX_LE3!$A17,Tableau106[],9,FALSE)</f>
        <v>KéD</v>
      </c>
      <c r="J16" s="254">
        <v>-417103</v>
      </c>
      <c r="K16" s="228"/>
      <c r="L16" s="228"/>
      <c r="M16" s="229">
        <f>+VLOOKUP(Tableau163[[#This Row],[CODE PI]],Tableau15[[CODE PI]:[Prestations diverses  &amp; accompagnements interne (1,6 k€ par jour d''acc)]],8,FALSE)</f>
        <v>0</v>
      </c>
      <c r="N16" s="229">
        <f>+VLOOKUP(Tableau163[[#This Row],[CODE PI]],Tableau15[[CODE PI]:[Prestations diverses  &amp; accompagnements interne (1,6 k€ par jour d''acc)]],9,FALSE)</f>
        <v>0</v>
      </c>
      <c r="O16" s="229">
        <f>+VLOOKUP(Tableau163[[#This Row],[CODE PI]],Tableau15[[CODE PI]:[Prestations diverses  &amp; accompagnements interne (1,6 k€ par jour d''acc)]],10,FALSE)</f>
        <v>0</v>
      </c>
      <c r="P16" s="229">
        <f>+VLOOKUP(Tableau163[[#This Row],[CODE PI]],Tableau15[[CODE PI]:[Prestations diverses  &amp; accompagnements interne (1,6 k€ par jour d''acc)]],11,FALSE)</f>
        <v>-4900</v>
      </c>
      <c r="Q16" s="230">
        <f>-250*OPX_LE3!$E17</f>
        <v>-3500</v>
      </c>
      <c r="R16" s="311">
        <f>SUM(OPX_LE3!$K17:$Q17)</f>
        <v>-170720</v>
      </c>
      <c r="S16" s="337">
        <v>0</v>
      </c>
      <c r="T16" s="361">
        <v>0</v>
      </c>
      <c r="U16" s="362">
        <v>0</v>
      </c>
      <c r="V16" s="361">
        <f>-(5428+5000)</f>
        <v>-10428</v>
      </c>
      <c r="W16" s="361">
        <v>0</v>
      </c>
      <c r="X16" s="361">
        <v>0</v>
      </c>
      <c r="Y16" s="361">
        <v>0</v>
      </c>
      <c r="Z16" s="264">
        <v>-3500</v>
      </c>
      <c r="AA16" s="423"/>
      <c r="AB16" s="273">
        <f>SUM(OPX_LE3!$T17:$AA17)</f>
        <v>-29678</v>
      </c>
      <c r="AC16" s="231">
        <f>-((6184*7)+1500)</f>
        <v>-44788</v>
      </c>
      <c r="AD16" s="426"/>
      <c r="AE16" s="417">
        <v>-64131</v>
      </c>
      <c r="AF16" s="417">
        <v>0</v>
      </c>
      <c r="AG16" s="417">
        <v>-35374.5</v>
      </c>
      <c r="AH16" s="417"/>
      <c r="AI16" s="417">
        <v>0</v>
      </c>
      <c r="AJ16" s="317">
        <f>SUM(OPX_LE3!$AC17:$AI17)</f>
        <v>-144293.5</v>
      </c>
      <c r="AK16" s="424"/>
      <c r="AL16" s="276">
        <f>SUM(OPX_LE3!$J17,OPX_LE3!$AB17,OPX_LE3!$S17,OPX_LE3!$AJ17,OPX_LE3!$R17,OPX_LE3!$AK17)</f>
        <v>-761794.5</v>
      </c>
      <c r="AM16" s="427">
        <v>0</v>
      </c>
    </row>
    <row r="17" spans="1:39" ht="15" hidden="1">
      <c r="A17" s="244" t="s">
        <v>494</v>
      </c>
      <c r="B17" s="232" t="str">
        <f>VLOOKUP(OPX_LE3!$A18,Tableau106[],3,FALSE)</f>
        <v>A530</v>
      </c>
      <c r="C17" s="232" t="str">
        <f>VLOOKUP(OPX_LE3!$A18,Tableau106[],2,FALSE)</f>
        <v>FR57E01E</v>
      </c>
      <c r="D17" s="232" t="str">
        <f>VLOOKUP(OPX_LE3!$A18,Tableau106[],8,FALSE)</f>
        <v>EOLIEN</v>
      </c>
      <c r="E17" s="233">
        <f>VLOOKUP(OPX_LE3!$A18,Tableau106[],4,FALSE)</f>
        <v>12</v>
      </c>
      <c r="F17" s="232" t="str">
        <f>VLOOKUP(OPX_LE3!$A18,Tableau106[],5,FALSE)</f>
        <v>BAMB</v>
      </c>
      <c r="G17" s="232" t="str">
        <f>VLOOKUP(OPX_LE3!$A18,Tableau106[],7,FALSE)</f>
        <v>GROUPE</v>
      </c>
      <c r="H17" s="232" t="str">
        <f>VLOOKUP(OPX_LE3!$A18,Tableau106[],6,FALSE)</f>
        <v>N</v>
      </c>
      <c r="I17" s="232" t="str">
        <f>VLOOKUP(OPX_LE3!$A18,Tableau106[],9,FALSE)</f>
        <v>HuB</v>
      </c>
      <c r="J17" s="254">
        <v>-10234</v>
      </c>
      <c r="K17" s="228"/>
      <c r="L17" s="228"/>
      <c r="M17" s="229">
        <f>+VLOOKUP(Tableau163[[#This Row],[CODE PI]],Tableau15[[CODE PI]:[Prestations diverses  &amp; accompagnements interne (1,6 k€ par jour d''acc)]],8,FALSE)</f>
        <v>0</v>
      </c>
      <c r="N17" s="229">
        <f>+VLOOKUP(Tableau163[[#This Row],[CODE PI]],Tableau15[[CODE PI]:[Prestations diverses  &amp; accompagnements interne (1,6 k€ par jour d''acc)]],9,FALSE)</f>
        <v>0</v>
      </c>
      <c r="O17" s="229">
        <f>+VLOOKUP(Tableau163[[#This Row],[CODE PI]],Tableau15[[CODE PI]:[Prestations diverses  &amp; accompagnements interne (1,6 k€ par jour d''acc)]],10,FALSE)</f>
        <v>0</v>
      </c>
      <c r="P17" s="229">
        <f>+VLOOKUP(Tableau163[[#This Row],[CODE PI]],Tableau15[[CODE PI]:[Prestations diverses  &amp; accompagnements interne (1,6 k€ par jour d''acc)]],11,FALSE)</f>
        <v>0</v>
      </c>
      <c r="Q17" s="230">
        <f>-250*OPX_LE3!$E18</f>
        <v>-3000</v>
      </c>
      <c r="R17" s="311">
        <f>SUM(OPX_LE3!$K18:$Q18)</f>
        <v>-3920</v>
      </c>
      <c r="S17" s="337">
        <v>-377851</v>
      </c>
      <c r="T17" s="361">
        <v>-2600</v>
      </c>
      <c r="U17" s="362">
        <v>0</v>
      </c>
      <c r="V17" s="361">
        <v>-1000</v>
      </c>
      <c r="W17" s="361">
        <v>0</v>
      </c>
      <c r="X17" s="361">
        <v>0</v>
      </c>
      <c r="Y17" s="361">
        <v>0</v>
      </c>
      <c r="Z17" s="264">
        <v>-3000</v>
      </c>
      <c r="AA17" s="423"/>
      <c r="AB17" s="273">
        <f>SUM(OPX_LE3!$T18:$AA18)</f>
        <v>-6600</v>
      </c>
      <c r="AC17" s="426">
        <f t="shared" si="0"/>
        <v>-11500</v>
      </c>
      <c r="AD17" s="426"/>
      <c r="AE17" s="417">
        <v>0</v>
      </c>
      <c r="AF17" s="417">
        <v>0</v>
      </c>
      <c r="AG17" s="417">
        <v>0</v>
      </c>
      <c r="AH17" s="417">
        <v>0</v>
      </c>
      <c r="AI17" s="417">
        <v>0</v>
      </c>
      <c r="AJ17" s="317">
        <f>SUM(OPX_LE3!$AC18:$AI18)</f>
        <v>0</v>
      </c>
      <c r="AK17" s="424">
        <v>0</v>
      </c>
      <c r="AL17" s="276">
        <f>SUM(OPX_LE3!$J18,OPX_LE3!$AB18,OPX_LE3!$S18,OPX_LE3!$AJ18,OPX_LE3!$R18,OPX_LE3!$AK18)</f>
        <v>-398605</v>
      </c>
      <c r="AM17" s="427">
        <v>0</v>
      </c>
    </row>
    <row r="18" spans="1:39" ht="15" hidden="1">
      <c r="A18" s="325" t="s">
        <v>535</v>
      </c>
      <c r="B18" s="322" t="str">
        <f>VLOOKUP(OPX_LE3!$A19,Tableau106[],3,FALSE)</f>
        <v>A553</v>
      </c>
      <c r="C18" s="322" t="str">
        <f>VLOOKUP(OPX_LE3!$A19,Tableau106[],2,FALSE)</f>
        <v>FR62E02E</v>
      </c>
      <c r="D18" s="322" t="str">
        <f>VLOOKUP(OPX_LE3!$A19,Tableau106[],8,FALSE)</f>
        <v>EOLIEN</v>
      </c>
      <c r="E18" s="324">
        <f>VLOOKUP(OPX_LE3!$A19,Tableau106[],4,FALSE)</f>
        <v>15</v>
      </c>
      <c r="F18" s="322" t="str">
        <f>VLOOKUP(OPX_LE3!$A19,Tableau106[],5,FALSE)</f>
        <v>SBAP</v>
      </c>
      <c r="G18" s="322" t="str">
        <f>VLOOKUP(OPX_LE3!$A19,Tableau106[],7,FALSE)</f>
        <v>ENDF</v>
      </c>
      <c r="H18" s="322" t="str">
        <f>VLOOKUP(OPX_LE3!$A19,Tableau106[],6,FALSE)</f>
        <v>N</v>
      </c>
      <c r="I18" s="322" t="str">
        <f>VLOOKUP(OPX_LE3!$A19,Tableau106[],9,FALSE)</f>
        <v>NiD</v>
      </c>
      <c r="J18" s="254">
        <v>-9345</v>
      </c>
      <c r="K18" s="228"/>
      <c r="L18" s="228"/>
      <c r="M18" s="229">
        <f>+VLOOKUP(Tableau163[[#This Row],[CODE PI]],Tableau15[[CODE PI]:[Prestations diverses  &amp; accompagnements interne (1,6 k€ par jour d''acc)]],8,FALSE)</f>
        <v>0</v>
      </c>
      <c r="N18" s="229">
        <f>+VLOOKUP(Tableau163[[#This Row],[CODE PI]],Tableau15[[CODE PI]:[Prestations diverses  &amp; accompagnements interne (1,6 k€ par jour d''acc)]],9,FALSE)</f>
        <v>0</v>
      </c>
      <c r="O18" s="229">
        <f>+VLOOKUP(Tableau163[[#This Row],[CODE PI]],Tableau15[[CODE PI]:[Prestations diverses  &amp; accompagnements interne (1,6 k€ par jour d''acc)]],10,FALSE)</f>
        <v>0</v>
      </c>
      <c r="P18" s="229">
        <f>+VLOOKUP(Tableau163[[#This Row],[CODE PI]],Tableau15[[CODE PI]:[Prestations diverses  &amp; accompagnements interne (1,6 k€ par jour d''acc)]],11,FALSE)</f>
        <v>0</v>
      </c>
      <c r="Q18" s="230">
        <f>-250*OPX_LE3!$E19</f>
        <v>-3750</v>
      </c>
      <c r="R18" s="311">
        <f>SUM(OPX_LE3!$K19:$Q19)</f>
        <v>-3750</v>
      </c>
      <c r="S18" s="337">
        <v>-468629</v>
      </c>
      <c r="T18" s="376">
        <v>-3000</v>
      </c>
      <c r="U18" s="362">
        <v>0</v>
      </c>
      <c r="V18" s="361">
        <v>-6000</v>
      </c>
      <c r="W18" s="361">
        <v>-2500</v>
      </c>
      <c r="X18" s="361">
        <v>0</v>
      </c>
      <c r="Y18" s="361">
        <v>-2000</v>
      </c>
      <c r="Z18" s="264">
        <v>-3750</v>
      </c>
      <c r="AA18" s="423"/>
      <c r="AB18" s="273">
        <f>SUM(OPX_LE3!$U19:$AA19)</f>
        <v>-33250</v>
      </c>
      <c r="AC18" s="426"/>
      <c r="AD18" s="426"/>
      <c r="AE18" s="417">
        <v>0</v>
      </c>
      <c r="AF18" s="417">
        <v>0</v>
      </c>
      <c r="AG18" s="417">
        <v>0</v>
      </c>
      <c r="AH18" s="417">
        <v>0</v>
      </c>
      <c r="AI18" s="417">
        <v>0</v>
      </c>
      <c r="AJ18" s="317">
        <f>SUM(OPX_LE3!$AC19:$AI19)</f>
        <v>0</v>
      </c>
      <c r="AK18" s="424">
        <v>0</v>
      </c>
      <c r="AL18" s="276">
        <f>SUM(OPX_LE3!$J19,OPX_LE3!$AB19,OPX_LE3!$S19,OPX_LE3!$AJ19,OPX_LE3!$R19,OPX_LE3!$AK19)</f>
        <v>-505629</v>
      </c>
      <c r="AM18" s="427">
        <v>-10000</v>
      </c>
    </row>
    <row r="19" spans="1:39" ht="15" hidden="1">
      <c r="A19" s="244" t="s">
        <v>583</v>
      </c>
      <c r="B19" s="232" t="str">
        <f>VLOOKUP(OPX_LE3!$A20,Tableau106[],3,FALSE)</f>
        <v>A095</v>
      </c>
      <c r="C19" s="232" t="str">
        <f>VLOOKUP(OPX_LE3!$A20,Tableau106[],2,FALSE)</f>
        <v>FR43E99E</v>
      </c>
      <c r="D19" s="232" t="str">
        <f>VLOOKUP(OPX_LE3!$A20,Tableau106[],8,FALSE)</f>
        <v>EOLIEN</v>
      </c>
      <c r="E19" s="233">
        <f>VLOOKUP(OPX_LE3!$A20,Tableau106[],4,FALSE)</f>
        <v>12</v>
      </c>
      <c r="F19" s="232" t="str">
        <f>VLOOKUP(OPX_LE3!$A20,Tableau106[],5,FALSE)</f>
        <v>BARB</v>
      </c>
      <c r="G19" s="232" t="str">
        <f>VLOOKUP(OPX_LE3!$A20,Tableau106[],7,FALSE)</f>
        <v>FUTUREN</v>
      </c>
      <c r="H19" s="232" t="str">
        <f>VLOOKUP(OPX_LE3!$A20,Tableau106[],6,FALSE)</f>
        <v>S</v>
      </c>
      <c r="I19" s="232" t="str">
        <f>VLOOKUP(OPX_LE3!$A20,Tableau106[],9,FALSE)</f>
        <v>OdP</v>
      </c>
      <c r="J19" s="254">
        <v>-12697</v>
      </c>
      <c r="K19" s="228"/>
      <c r="L19" s="228"/>
      <c r="M19" s="229">
        <f>+VLOOKUP(Tableau163[[#This Row],[CODE PI]],Tableau15[[CODE PI]:[Prestations diverses  &amp; accompagnements interne (1,6 k€ par jour d''acc)]],8,FALSE)</f>
        <v>0</v>
      </c>
      <c r="N19" s="229">
        <f>+VLOOKUP(Tableau163[[#This Row],[CODE PI]],Tableau15[[CODE PI]:[Prestations diverses  &amp; accompagnements interne (1,6 k€ par jour d''acc)]],9,FALSE)</f>
        <v>-1500</v>
      </c>
      <c r="O19" s="229">
        <f>+VLOOKUP(Tableau163[[#This Row],[CODE PI]],Tableau15[[CODE PI]:[Prestations diverses  &amp; accompagnements interne (1,6 k€ par jour d''acc)]],10,FALSE)</f>
        <v>0</v>
      </c>
      <c r="P19" s="229">
        <f>+VLOOKUP(Tableau163[[#This Row],[CODE PI]],Tableau15[[CODE PI]:[Prestations diverses  &amp; accompagnements interne (1,6 k€ par jour d''acc)]],11,FALSE)</f>
        <v>-4200</v>
      </c>
      <c r="Q19" s="230">
        <f>-250*OPX_LE3!$E20</f>
        <v>-3000</v>
      </c>
      <c r="R19" s="311">
        <f>SUM(OPX_LE3!$K20:$Q20)</f>
        <v>-19580</v>
      </c>
      <c r="S19" s="337">
        <v>-318000</v>
      </c>
      <c r="T19" s="361">
        <v>0</v>
      </c>
      <c r="U19" s="362">
        <v>0</v>
      </c>
      <c r="V19" s="361">
        <v>-7500</v>
      </c>
      <c r="W19" s="361">
        <v>-7200</v>
      </c>
      <c r="X19" s="361">
        <v>-1300</v>
      </c>
      <c r="Y19" s="361">
        <v>0</v>
      </c>
      <c r="Z19" s="264">
        <v>-3000</v>
      </c>
      <c r="AA19" s="423"/>
      <c r="AB19" s="273">
        <f>SUM(OPX_LE3!$T20:$AA20)</f>
        <v>-21500</v>
      </c>
      <c r="AC19" s="426">
        <f t="shared" si="0"/>
        <v>-11500</v>
      </c>
      <c r="AD19" s="426"/>
      <c r="AE19" s="417">
        <v>0</v>
      </c>
      <c r="AF19" s="417">
        <v>0</v>
      </c>
      <c r="AG19" s="417">
        <v>-12000</v>
      </c>
      <c r="AH19" s="417">
        <v>0</v>
      </c>
      <c r="AI19" s="417">
        <v>0</v>
      </c>
      <c r="AJ19" s="317">
        <f>SUM(OPX_LE3!$AC20:$AI20)</f>
        <v>-53670.720000000001</v>
      </c>
      <c r="AK19" s="424">
        <v>0</v>
      </c>
      <c r="AL19" s="276">
        <f>SUM(OPX_LE3!$J20,OPX_LE3!$AB20,OPX_LE3!$S20,OPX_LE3!$AJ20,OPX_LE3!$R20,OPX_LE3!$AK20)</f>
        <v>-425447.72</v>
      </c>
      <c r="AM19" s="427">
        <v>0</v>
      </c>
    </row>
    <row r="20" spans="1:39" ht="15" hidden="1">
      <c r="A20" s="325" t="s">
        <v>525</v>
      </c>
      <c r="B20" s="322" t="str">
        <f>VLOOKUP(OPX_LE3!$A21,Tableau106[],3,FALSE)</f>
        <v>A554</v>
      </c>
      <c r="C20" s="322" t="str">
        <f>VLOOKUP(OPX_LE3!$A21,Tableau106[],2,FALSE)</f>
        <v>FR02E08E</v>
      </c>
      <c r="D20" s="322" t="str">
        <f>VLOOKUP(OPX_LE3!$A21,Tableau106[],8,FALSE)</f>
        <v>EOLIEN</v>
      </c>
      <c r="E20" s="324">
        <f>VLOOKUP(OPX_LE3!$A21,Tableau106[],4,FALSE)</f>
        <v>12</v>
      </c>
      <c r="F20" s="322" t="str">
        <f>VLOOKUP(OPX_LE3!$A21,Tableau106[],5,FALSE)</f>
        <v>BTS1</v>
      </c>
      <c r="G20" s="322" t="str">
        <f>VLOOKUP(OPX_LE3!$A21,Tableau106[],7,FALSE)</f>
        <v>ENDF</v>
      </c>
      <c r="H20" s="322" t="str">
        <f>VLOOKUP(OPX_LE3!$A21,Tableau106[],6,FALSE)</f>
        <v>N</v>
      </c>
      <c r="I20" s="322" t="str">
        <f>VLOOKUP(OPX_LE3!$A21,Tableau106[],9,FALSE)</f>
        <v>BoK</v>
      </c>
      <c r="J20" s="254">
        <v>0</v>
      </c>
      <c r="K20" s="228"/>
      <c r="L20" s="228"/>
      <c r="M20" s="229">
        <f>+VLOOKUP(Tableau163[[#This Row],[CODE PI]],Tableau15[[CODE PI]:[Prestations diverses  &amp; accompagnements interne (1,6 k€ par jour d''acc)]],8,FALSE)</f>
        <v>0</v>
      </c>
      <c r="N20" s="229">
        <f>+VLOOKUP(Tableau163[[#This Row],[CODE PI]],Tableau15[[CODE PI]:[Prestations diverses  &amp; accompagnements interne (1,6 k€ par jour d''acc)]],9,FALSE)</f>
        <v>0</v>
      </c>
      <c r="O20" s="229">
        <f>+VLOOKUP(Tableau163[[#This Row],[CODE PI]],Tableau15[[CODE PI]:[Prestations diverses  &amp; accompagnements interne (1,6 k€ par jour d''acc)]],10,FALSE)</f>
        <v>0</v>
      </c>
      <c r="P20" s="229">
        <f>+VLOOKUP(Tableau163[[#This Row],[CODE PI]],Tableau15[[CODE PI]:[Prestations diverses  &amp; accompagnements interne (1,6 k€ par jour d''acc)]],11,FALSE)</f>
        <v>0</v>
      </c>
      <c r="Q20" s="230">
        <f>-250*OPX_LE3!$E21</f>
        <v>-3000</v>
      </c>
      <c r="R20" s="311">
        <f>SUM(OPX_LE3!$K21:$Q21)</f>
        <v>-6188.7</v>
      </c>
      <c r="S20" s="337">
        <f>-374903-9344</f>
        <v>-384247</v>
      </c>
      <c r="T20" s="361">
        <v>0</v>
      </c>
      <c r="U20" s="362">
        <v>0</v>
      </c>
      <c r="V20" s="361">
        <v>-2000</v>
      </c>
      <c r="W20" s="361">
        <v>0</v>
      </c>
      <c r="X20" s="361">
        <v>0</v>
      </c>
      <c r="Y20" s="361">
        <v>0</v>
      </c>
      <c r="Z20" s="264">
        <v>-3000</v>
      </c>
      <c r="AA20" s="423"/>
      <c r="AB20" s="273">
        <f>SUM(OPX_LE3!$T21:$AA21)</f>
        <v>-12280</v>
      </c>
      <c r="AC20" s="426">
        <f t="shared" si="0"/>
        <v>-11500</v>
      </c>
      <c r="AD20" s="426"/>
      <c r="AE20" s="417">
        <v>0</v>
      </c>
      <c r="AF20" s="417">
        <v>0</v>
      </c>
      <c r="AG20" s="417">
        <v>0</v>
      </c>
      <c r="AH20" s="417">
        <v>0</v>
      </c>
      <c r="AI20" s="417">
        <v>0</v>
      </c>
      <c r="AJ20" s="317">
        <f>SUM(OPX_LE3!$AC21:$AI21)</f>
        <v>0</v>
      </c>
      <c r="AK20" s="424">
        <v>0</v>
      </c>
      <c r="AL20" s="276">
        <f>SUM(OPX_LE3!$J21,OPX_LE3!$AB21,OPX_LE3!$S21,OPX_LE3!$AJ21,OPX_LE3!$R21,OPX_LE3!$AK21)</f>
        <v>-408433.7</v>
      </c>
      <c r="AM20" s="427">
        <v>0</v>
      </c>
    </row>
    <row r="21" spans="1:39" ht="15" hidden="1">
      <c r="A21" s="244" t="s">
        <v>598</v>
      </c>
      <c r="B21" s="232" t="str">
        <f>VLOOKUP(OPX_LE3!$A22,Tableau106[],3,FALSE)</f>
        <v>A555</v>
      </c>
      <c r="C21" s="232" t="str">
        <f>VLOOKUP(OPX_LE3!$A22,Tableau106[],2,FALSE)</f>
        <v>FR02E09E</v>
      </c>
      <c r="D21" s="232" t="str">
        <f>VLOOKUP(OPX_LE3!$A22,Tableau106[],8,FALSE)</f>
        <v>EOLIEN</v>
      </c>
      <c r="E21" s="233">
        <f>VLOOKUP(OPX_LE3!$A22,Tableau106[],4,FALSE)</f>
        <v>12</v>
      </c>
      <c r="F21" s="232" t="str">
        <f>VLOOKUP(OPX_LE3!$A22,Tableau106[],5,FALSE)</f>
        <v>BTS2</v>
      </c>
      <c r="G21" s="232" t="str">
        <f>VLOOKUP(OPX_LE3!$A22,Tableau106[],7,FALSE)</f>
        <v>ENDF</v>
      </c>
      <c r="H21" s="232" t="str">
        <f>VLOOKUP(OPX_LE3!$A22,Tableau106[],6,FALSE)</f>
        <v>N</v>
      </c>
      <c r="I21" s="232" t="str">
        <f>VLOOKUP(OPX_LE3!$A22,Tableau106[],9,FALSE)</f>
        <v>BoK</v>
      </c>
      <c r="J21" s="254">
        <v>0</v>
      </c>
      <c r="K21" s="228"/>
      <c r="L21" s="228"/>
      <c r="M21" s="229">
        <f>+VLOOKUP(Tableau163[[#This Row],[CODE PI]],Tableau15[[CODE PI]:[Prestations diverses  &amp; accompagnements interne (1,6 k€ par jour d''acc)]],8,FALSE)</f>
        <v>0</v>
      </c>
      <c r="N21" s="229">
        <f>+VLOOKUP(Tableau163[[#This Row],[CODE PI]],Tableau15[[CODE PI]:[Prestations diverses  &amp; accompagnements interne (1,6 k€ par jour d''acc)]],9,FALSE)</f>
        <v>0</v>
      </c>
      <c r="O21" s="229">
        <f>+VLOOKUP(Tableau163[[#This Row],[CODE PI]],Tableau15[[CODE PI]:[Prestations diverses  &amp; accompagnements interne (1,6 k€ par jour d''acc)]],10,FALSE)</f>
        <v>-3000</v>
      </c>
      <c r="P21" s="229">
        <f>+VLOOKUP(Tableau163[[#This Row],[CODE PI]],Tableau15[[CODE PI]:[Prestations diverses  &amp; accompagnements interne (1,6 k€ par jour d''acc)]],11,FALSE)</f>
        <v>0</v>
      </c>
      <c r="Q21" s="230">
        <f>-250*OPX_LE3!$E22</f>
        <v>-3000</v>
      </c>
      <c r="R21" s="311">
        <f>SUM(OPX_LE3!$K22:$Q22)</f>
        <v>-6000</v>
      </c>
      <c r="S21" s="337">
        <f>-374903-9344</f>
        <v>-384247</v>
      </c>
      <c r="T21" s="361">
        <v>0</v>
      </c>
      <c r="U21" s="362">
        <v>0</v>
      </c>
      <c r="V21" s="361">
        <v>0</v>
      </c>
      <c r="W21" s="361">
        <v>0</v>
      </c>
      <c r="X21" s="361">
        <v>-9000</v>
      </c>
      <c r="Y21" s="361">
        <v>0</v>
      </c>
      <c r="Z21" s="264">
        <v>-3000</v>
      </c>
      <c r="AA21" s="423"/>
      <c r="AB21" s="273">
        <f>SUM(OPX_LE3!$T22:$AA22)</f>
        <v>-15000</v>
      </c>
      <c r="AC21" s="426">
        <f t="shared" si="0"/>
        <v>-11500</v>
      </c>
      <c r="AD21" s="426"/>
      <c r="AE21" s="417">
        <v>0</v>
      </c>
      <c r="AF21" s="417">
        <v>0</v>
      </c>
      <c r="AG21" s="417">
        <v>0</v>
      </c>
      <c r="AH21" s="417">
        <v>0</v>
      </c>
      <c r="AI21" s="417">
        <v>0</v>
      </c>
      <c r="AJ21" s="317">
        <f>SUM(OPX_LE3!$AC22:$AI22)</f>
        <v>0</v>
      </c>
      <c r="AK21" s="424">
        <v>0</v>
      </c>
      <c r="AL21" s="276">
        <f>SUM(OPX_LE3!$J22,OPX_LE3!$AB22,OPX_LE3!$S22,OPX_LE3!$AJ22,OPX_LE3!$R22,OPX_LE3!$AK22)</f>
        <v>-405247</v>
      </c>
      <c r="AM21" s="427">
        <v>-10000</v>
      </c>
    </row>
    <row r="22" spans="1:39" ht="15" hidden="1">
      <c r="A22" s="325" t="s">
        <v>489</v>
      </c>
      <c r="B22" s="322" t="str">
        <f>VLOOKUP(OPX_LE3!$A23,Tableau106[],3,FALSE)</f>
        <v>A905</v>
      </c>
      <c r="C22" s="322" t="str">
        <f>VLOOKUP(OPX_LE3!$A23,Tableau106[],2,FALSE)</f>
        <v>FR69E01E</v>
      </c>
      <c r="D22" s="322" t="str">
        <f>VLOOKUP(OPX_LE3!$A23,Tableau106[],8,FALSE)</f>
        <v>EOLIEN</v>
      </c>
      <c r="E22" s="324">
        <f>VLOOKUP(OPX_LE3!$A23,Tableau106[],4,FALSE)</f>
        <v>12</v>
      </c>
      <c r="F22" s="322" t="str">
        <f>VLOOKUP(OPX_LE3!$A23,Tableau106[],5,FALSE)</f>
        <v>BVER</v>
      </c>
      <c r="G22" s="322" t="str">
        <f>VLOOKUP(OPX_LE3!$A23,Tableau106[],7,FALSE)</f>
        <v>GROUPE</v>
      </c>
      <c r="H22" s="322" t="str">
        <f>VLOOKUP(OPX_LE3!$A23,Tableau106[],6,FALSE)</f>
        <v>S</v>
      </c>
      <c r="I22" s="322" t="str">
        <f>VLOOKUP(OPX_LE3!$A23,Tableau106[],9,FALSE)</f>
        <v>KéC</v>
      </c>
      <c r="J22" s="254">
        <v>0</v>
      </c>
      <c r="K22" s="228"/>
      <c r="L22" s="228"/>
      <c r="M22" s="229">
        <f>+VLOOKUP(Tableau163[[#This Row],[CODE PI]],Tableau15[[CODE PI]:[Prestations diverses  &amp; accompagnements interne (1,6 k€ par jour d''acc)]],8,FALSE)</f>
        <v>0</v>
      </c>
      <c r="N22" s="229">
        <f>+VLOOKUP(Tableau163[[#This Row],[CODE PI]],Tableau15[[CODE PI]:[Prestations diverses  &amp; accompagnements interne (1,6 k€ par jour d''acc)]],9,FALSE)</f>
        <v>0</v>
      </c>
      <c r="O22" s="229">
        <f>+VLOOKUP(Tableau163[[#This Row],[CODE PI]],Tableau15[[CODE PI]:[Prestations diverses  &amp; accompagnements interne (1,6 k€ par jour d''acc)]],10,FALSE)</f>
        <v>0</v>
      </c>
      <c r="P22" s="229">
        <f>+VLOOKUP(Tableau163[[#This Row],[CODE PI]],Tableau15[[CODE PI]:[Prestations diverses  &amp; accompagnements interne (1,6 k€ par jour d''acc)]],11,FALSE)</f>
        <v>-4200</v>
      </c>
      <c r="Q22" s="230">
        <f>-250*OPX_LE3!$E23</f>
        <v>-3000</v>
      </c>
      <c r="R22" s="311">
        <f>SUM(OPX_LE3!$K23:$Q23)</f>
        <v>-8752</v>
      </c>
      <c r="S22" s="337">
        <f>-228050-4211</f>
        <v>-232261</v>
      </c>
      <c r="T22" s="361">
        <v>0</v>
      </c>
      <c r="U22" s="362">
        <v>0</v>
      </c>
      <c r="V22" s="361">
        <v>0</v>
      </c>
      <c r="W22" s="361">
        <v>-800</v>
      </c>
      <c r="X22" s="361">
        <v>0</v>
      </c>
      <c r="Y22" s="361">
        <v>0</v>
      </c>
      <c r="Z22" s="264">
        <v>-3000</v>
      </c>
      <c r="AA22" s="423"/>
      <c r="AB22" s="273">
        <f>SUM(OPX_LE3!$T23:$AA23)</f>
        <v>-35192.234561999998</v>
      </c>
      <c r="AC22" s="426">
        <f t="shared" si="0"/>
        <v>-11500</v>
      </c>
      <c r="AD22" s="426"/>
      <c r="AE22" s="417">
        <v>-5650</v>
      </c>
      <c r="AF22" s="417">
        <v>0</v>
      </c>
      <c r="AG22" s="417">
        <v>0</v>
      </c>
      <c r="AH22" s="417">
        <v>0</v>
      </c>
      <c r="AI22" s="417">
        <v>0</v>
      </c>
      <c r="AJ22" s="317">
        <f>SUM(OPX_LE3!$AC23:$AI23)</f>
        <v>-35650</v>
      </c>
      <c r="AK22" s="424">
        <v>-10000</v>
      </c>
      <c r="AL22" s="276">
        <f>SUM(OPX_LE3!$J23,OPX_LE3!$AB23,OPX_LE3!$S23,OPX_LE3!$AJ23,OPX_LE3!$R23,OPX_LE3!$AK23)</f>
        <v>-274105.23456200003</v>
      </c>
      <c r="AM22" s="427">
        <v>0</v>
      </c>
    </row>
    <row r="23" spans="1:39" ht="15" hidden="1">
      <c r="A23" s="244" t="s">
        <v>454</v>
      </c>
      <c r="B23" s="232" t="str">
        <f>VLOOKUP(OPX_LE3!$A24,Tableau106[],3,FALSE)</f>
        <v>A295</v>
      </c>
      <c r="C23" s="232" t="str">
        <f>VLOOKUP(OPX_LE3!$A24,Tableau106[],2,FALSE)</f>
        <v>FR85S02E</v>
      </c>
      <c r="D23" s="232" t="str">
        <f>VLOOKUP(OPX_LE3!$A24,Tableau106[],8,FALSE)</f>
        <v>SOLAIRE</v>
      </c>
      <c r="E23" s="233">
        <f>VLOOKUP(OPX_LE3!$A24,Tableau106[],4,FALSE)</f>
        <v>12.8</v>
      </c>
      <c r="F23" s="232" t="str">
        <f>VLOOKUP(OPX_LE3!$A24,Tableau106[],5,FALSE)</f>
        <v>BEAU</v>
      </c>
      <c r="G23" s="232" t="str">
        <f>VLOOKUP(OPX_LE3!$A24,Tableau106[],7,FALSE)</f>
        <v>GROUPE</v>
      </c>
      <c r="H23" s="232" t="str">
        <f>VLOOKUP(OPX_LE3!$A24,Tableau106[],6,FALSE)</f>
        <v>N</v>
      </c>
      <c r="I23" s="232" t="str">
        <f>VLOOKUP(OPX_LE3!$A24,Tableau106[],9,FALSE)</f>
        <v>ZaA</v>
      </c>
      <c r="J23" s="254">
        <v>0</v>
      </c>
      <c r="K23" s="228"/>
      <c r="L23" s="228"/>
      <c r="M23" s="229">
        <f>+VLOOKUP(Tableau163[[#This Row],[CODE PI]],Tableau15[[CODE PI]:[Prestations diverses  &amp; accompagnements interne (1,6 k€ par jour d''acc)]],8,FALSE)</f>
        <v>0</v>
      </c>
      <c r="N23" s="229">
        <f>+VLOOKUP(Tableau163[[#This Row],[CODE PI]],Tableau15[[CODE PI]:[Prestations diverses  &amp; accompagnements interne (1,6 k€ par jour d''acc)]],9,FALSE)</f>
        <v>0</v>
      </c>
      <c r="O23" s="229">
        <f>+VLOOKUP(Tableau163[[#This Row],[CODE PI]],Tableau15[[CODE PI]:[Prestations diverses  &amp; accompagnements interne (1,6 k€ par jour d''acc)]],10,FALSE)</f>
        <v>0</v>
      </c>
      <c r="P23" s="229">
        <f>+VLOOKUP(Tableau163[[#This Row],[CODE PI]],Tableau15[[CODE PI]:[Prestations diverses  &amp; accompagnements interne (1,6 k€ par jour d''acc)]],11,FALSE)</f>
        <v>0</v>
      </c>
      <c r="Q23" s="230">
        <f>-250*OPX_LE3!$E24</f>
        <v>-3200</v>
      </c>
      <c r="R23" s="311">
        <f>SUM(OPX_LE3!$K24:$Q24)</f>
        <v>-14700</v>
      </c>
      <c r="S23" s="337">
        <v>-98000</v>
      </c>
      <c r="T23" s="361">
        <v>0</v>
      </c>
      <c r="U23" s="362">
        <v>0</v>
      </c>
      <c r="V23" s="361">
        <v>0</v>
      </c>
      <c r="W23" s="361">
        <v>0</v>
      </c>
      <c r="X23" s="361">
        <v>0</v>
      </c>
      <c r="Y23" s="361">
        <v>0</v>
      </c>
      <c r="Z23" s="264">
        <v>-3200</v>
      </c>
      <c r="AA23" s="423"/>
      <c r="AB23" s="273">
        <f>SUM(OPX_LE3!$T24:$AA24)</f>
        <v>-3840</v>
      </c>
      <c r="AC23" s="426">
        <f t="shared" si="0"/>
        <v>-11500</v>
      </c>
      <c r="AD23" s="426"/>
      <c r="AE23" s="417">
        <v>0</v>
      </c>
      <c r="AF23" s="417">
        <v>0</v>
      </c>
      <c r="AG23" s="417">
        <v>0</v>
      </c>
      <c r="AH23" s="417">
        <v>-5000</v>
      </c>
      <c r="AI23" s="417">
        <v>0</v>
      </c>
      <c r="AJ23" s="317">
        <f>SUM(OPX_LE3!$AC24:$AI24)</f>
        <v>-7187.5</v>
      </c>
      <c r="AK23" s="424">
        <v>0</v>
      </c>
      <c r="AL23" s="276">
        <f>SUM(OPX_LE3!$J24,OPX_LE3!$AB24,OPX_LE3!$S24,OPX_LE3!$AJ24,OPX_LE3!$R24,OPX_LE3!$AK24)</f>
        <v>-123727.5</v>
      </c>
      <c r="AM23" s="427">
        <v>0</v>
      </c>
    </row>
    <row r="24" spans="1:39" ht="15" hidden="1">
      <c r="A24" s="325" t="s">
        <v>473</v>
      </c>
      <c r="B24" s="322" t="str">
        <f>VLOOKUP(OPX_LE3!$A25,Tableau106[],3,FALSE)</f>
        <v>A177</v>
      </c>
      <c r="C24" s="322" t="str">
        <f>VLOOKUP(OPX_LE3!$A25,Tableau106[],2,FALSE)</f>
        <v>FR88E99E</v>
      </c>
      <c r="D24" s="322" t="str">
        <f>VLOOKUP(OPX_LE3!$A25,Tableau106[],8,FALSE)</f>
        <v>EOLIEN</v>
      </c>
      <c r="E24" s="324">
        <f>VLOOKUP(OPX_LE3!$A25,Tableau106[],4,FALSE)</f>
        <v>20</v>
      </c>
      <c r="F24" s="322" t="str">
        <f>VLOOKUP(OPX_LE3!$A25,Tableau106[],5,FALSE)</f>
        <v>BDBS</v>
      </c>
      <c r="G24" s="322" t="str">
        <f>VLOOKUP(OPX_LE3!$A25,Tableau106[],7,FALSE)</f>
        <v>GROUPE</v>
      </c>
      <c r="H24" s="322" t="str">
        <f>VLOOKUP(OPX_LE3!$A25,Tableau106[],6,FALSE)</f>
        <v>N</v>
      </c>
      <c r="I24" s="322" t="str">
        <f>VLOOKUP(OPX_LE3!$A25,Tableau106[],9,FALSE)</f>
        <v>AyB</v>
      </c>
      <c r="J24" s="254">
        <v>0</v>
      </c>
      <c r="K24" s="228"/>
      <c r="L24" s="228"/>
      <c r="M24" s="229">
        <f>+VLOOKUP(Tableau163[[#This Row],[CODE PI]],Tableau15[[CODE PI]:[Prestations diverses  &amp; accompagnements interne (1,6 k€ par jour d''acc)]],8,FALSE)</f>
        <v>0</v>
      </c>
      <c r="N24" s="229">
        <f>+VLOOKUP(Tableau163[[#This Row],[CODE PI]],Tableau15[[CODE PI]:[Prestations diverses  &amp; accompagnements interne (1,6 k€ par jour d''acc)]],9,FALSE)</f>
        <v>0</v>
      </c>
      <c r="O24" s="229">
        <f>+VLOOKUP(Tableau163[[#This Row],[CODE PI]],Tableau15[[CODE PI]:[Prestations diverses  &amp; accompagnements interne (1,6 k€ par jour d''acc)]],10,FALSE)</f>
        <v>-2700</v>
      </c>
      <c r="P24" s="229">
        <f>+VLOOKUP(Tableau163[[#This Row],[CODE PI]],Tableau15[[CODE PI]:[Prestations diverses  &amp; accompagnements interne (1,6 k€ par jour d''acc)]],11,FALSE)</f>
        <v>-7000</v>
      </c>
      <c r="Q24" s="230">
        <f>-250*OPX_LE3!$E25</f>
        <v>-5000</v>
      </c>
      <c r="R24" s="311">
        <f>SUM(OPX_LE3!$K25:$Q25)</f>
        <v>-16500</v>
      </c>
      <c r="S24" s="337">
        <f>-414376-20544</f>
        <v>-434920</v>
      </c>
      <c r="T24" s="361">
        <v>-5000</v>
      </c>
      <c r="U24" s="362">
        <v>0</v>
      </c>
      <c r="V24" s="361">
        <v>-5000</v>
      </c>
      <c r="W24" s="361">
        <v>-4500</v>
      </c>
      <c r="X24" s="361">
        <v>-20000</v>
      </c>
      <c r="Y24" s="361">
        <v>0</v>
      </c>
      <c r="Z24" s="264">
        <v>-5000</v>
      </c>
      <c r="AA24" s="423"/>
      <c r="AB24" s="273">
        <f>SUM(OPX_LE3!$T25:$AA25)</f>
        <v>-84500</v>
      </c>
      <c r="AC24" s="426">
        <f t="shared" si="0"/>
        <v>-11500</v>
      </c>
      <c r="AD24" s="426"/>
      <c r="AE24" s="417">
        <v>-15000</v>
      </c>
      <c r="AF24" s="417">
        <v>0</v>
      </c>
      <c r="AG24" s="417">
        <v>0</v>
      </c>
      <c r="AH24" s="417">
        <v>0</v>
      </c>
      <c r="AI24" s="417">
        <v>-2500</v>
      </c>
      <c r="AJ24" s="317">
        <f>SUM(OPX_LE3!$AC25:$AI25)</f>
        <v>-14754.6</v>
      </c>
      <c r="AK24" s="424">
        <v>0</v>
      </c>
      <c r="AL24" s="276">
        <f>SUM(OPX_LE3!$J25,OPX_LE3!$AB25,OPX_LE3!$S25,OPX_LE3!$AJ25,OPX_LE3!$R25,OPX_LE3!$AK25)</f>
        <v>-550674.6</v>
      </c>
      <c r="AM24" s="427">
        <v>0</v>
      </c>
    </row>
    <row r="25" spans="1:39" ht="15" hidden="1">
      <c r="A25" s="244" t="s">
        <v>457</v>
      </c>
      <c r="B25" s="232" t="str">
        <f>VLOOKUP(OPX_LE3!$A26,Tableau106[],3,FALSE)</f>
        <v>A133</v>
      </c>
      <c r="C25" s="232" t="str">
        <f>VLOOKUP(OPX_LE3!$A26,Tableau106[],2,FALSE)</f>
        <v>FR84S01E</v>
      </c>
      <c r="D25" s="232" t="str">
        <f>VLOOKUP(OPX_LE3!$A26,Tableau106[],8,FALSE)</f>
        <v>SOLAIRE</v>
      </c>
      <c r="E25" s="233">
        <f>VLOOKUP(OPX_LE3!$A26,Tableau106[],4,FALSE)</f>
        <v>2.61</v>
      </c>
      <c r="F25" s="232" t="str">
        <f>VLOOKUP(OPX_LE3!$A26,Tableau106[],5,FALSE)</f>
        <v>BLAU</v>
      </c>
      <c r="G25" s="232" t="str">
        <f>VLOOKUP(OPX_LE3!$A26,Tableau106[],7,FALSE)</f>
        <v>GROUPE</v>
      </c>
      <c r="H25" s="232" t="str">
        <f>VLOOKUP(OPX_LE3!$A26,Tableau106[],6,FALSE)</f>
        <v>S</v>
      </c>
      <c r="I25" s="232" t="str">
        <f>VLOOKUP(OPX_LE3!$A26,Tableau106[],9,FALSE)</f>
        <v>ArB</v>
      </c>
      <c r="J25" s="254">
        <v>-91583</v>
      </c>
      <c r="K25" s="228"/>
      <c r="L25" s="228"/>
      <c r="M25" s="229">
        <f>+VLOOKUP(Tableau163[[#This Row],[CODE PI]],Tableau15[[CODE PI]:[Prestations diverses  &amp; accompagnements interne (1,6 k€ par jour d''acc)]],8,FALSE)</f>
        <v>0</v>
      </c>
      <c r="N25" s="229">
        <f>+VLOOKUP(Tableau163[[#This Row],[CODE PI]],Tableau15[[CODE PI]:[Prestations diverses  &amp; accompagnements interne (1,6 k€ par jour d''acc)]],9,FALSE)</f>
        <v>0</v>
      </c>
      <c r="O25" s="229">
        <f>+VLOOKUP(Tableau163[[#This Row],[CODE PI]],Tableau15[[CODE PI]:[Prestations diverses  &amp; accompagnements interne (1,6 k€ par jour d''acc)]],10,FALSE)</f>
        <v>0</v>
      </c>
      <c r="P25" s="229">
        <f>+VLOOKUP(Tableau163[[#This Row],[CODE PI]],Tableau15[[CODE PI]:[Prestations diverses  &amp; accompagnements interne (1,6 k€ par jour d''acc)]],11,FALSE)</f>
        <v>0</v>
      </c>
      <c r="Q25" s="230">
        <f>-250*OPX_LE3!$E26</f>
        <v>-652.5</v>
      </c>
      <c r="R25" s="311">
        <f>SUM(OPX_LE3!$K26:$Q26)</f>
        <v>-16112.5</v>
      </c>
      <c r="S25" s="337">
        <v>0</v>
      </c>
      <c r="T25" s="361">
        <v>0</v>
      </c>
      <c r="U25" s="362">
        <v>0</v>
      </c>
      <c r="V25" s="361">
        <v>0</v>
      </c>
      <c r="W25" s="361">
        <v>0</v>
      </c>
      <c r="X25" s="361">
        <v>0</v>
      </c>
      <c r="Y25" s="361">
        <v>0</v>
      </c>
      <c r="Z25" s="264">
        <v>-652.5</v>
      </c>
      <c r="AA25" s="423">
        <v>-2500</v>
      </c>
      <c r="AB25" s="273">
        <f>SUM(OPX_LE3!$T26:$AA26)</f>
        <v>-3152.5</v>
      </c>
      <c r="AC25" s="426">
        <f t="shared" si="0"/>
        <v>-11500</v>
      </c>
      <c r="AD25" s="426"/>
      <c r="AE25" s="417">
        <v>0</v>
      </c>
      <c r="AF25" s="417">
        <v>0</v>
      </c>
      <c r="AG25" s="417">
        <v>0</v>
      </c>
      <c r="AH25" s="417">
        <v>0</v>
      </c>
      <c r="AI25" s="417">
        <v>0</v>
      </c>
      <c r="AJ25" s="317">
        <f>SUM(OPX_LE3!$AC26:$AI26)</f>
        <v>0</v>
      </c>
      <c r="AK25" s="424">
        <v>-7000</v>
      </c>
      <c r="AL25" s="276">
        <f>SUM(OPX_LE3!$J26,OPX_LE3!$AB26,OPX_LE3!$S26,OPX_LE3!$AJ26,OPX_LE3!$R26,OPX_LE3!$AK26)</f>
        <v>-117848</v>
      </c>
      <c r="AM25" s="427">
        <v>0</v>
      </c>
    </row>
    <row r="26" spans="1:39" ht="15" hidden="1">
      <c r="A26" s="325" t="s">
        <v>437</v>
      </c>
      <c r="B26" s="322" t="str">
        <f>VLOOKUP(OPX_LE3!$A27,Tableau106[],3,FALSE)</f>
        <v>A541</v>
      </c>
      <c r="C26" s="322" t="str">
        <f>VLOOKUP(OPX_LE3!$A27,Tableau106[],2,FALSE)</f>
        <v>FR57E05E</v>
      </c>
      <c r="D26" s="322" t="str">
        <f>VLOOKUP(OPX_LE3!$A27,Tableau106[],8,FALSE)</f>
        <v>EOLIEN</v>
      </c>
      <c r="E26" s="324">
        <f>VLOOKUP(OPX_LE3!$A27,Tableau106[],4,FALSE)</f>
        <v>10.5</v>
      </c>
      <c r="F26" s="322" t="str">
        <f>VLOOKUP(OPX_LE3!$A27,Tableau106[],5,FALSE)</f>
        <v>BOUS</v>
      </c>
      <c r="G26" s="322" t="str">
        <f>VLOOKUP(OPX_LE3!$A27,Tableau106[],7,FALSE)</f>
        <v>EGM</v>
      </c>
      <c r="H26" s="322" t="str">
        <f>VLOOKUP(OPX_LE3!$A27,Tableau106[],6,FALSE)</f>
        <v>N</v>
      </c>
      <c r="I26" s="322" t="str">
        <f>VLOOKUP(OPX_LE3!$A27,Tableau106[],9,FALSE)</f>
        <v>NoS</v>
      </c>
      <c r="J26" s="254">
        <v>-258123</v>
      </c>
      <c r="K26" s="228"/>
      <c r="L26" s="228"/>
      <c r="M26" s="229">
        <f>+VLOOKUP(Tableau163[[#This Row],[CODE PI]],Tableau15[[CODE PI]:[Prestations diverses  &amp; accompagnements interne (1,6 k€ par jour d''acc)]],8,FALSE)</f>
        <v>0</v>
      </c>
      <c r="N26" s="229">
        <f>+VLOOKUP(Tableau163[[#This Row],[CODE PI]],Tableau15[[CODE PI]:[Prestations diverses  &amp; accompagnements interne (1,6 k€ par jour d''acc)]],9,FALSE)</f>
        <v>0</v>
      </c>
      <c r="O26" s="229">
        <f>+VLOOKUP(Tableau163[[#This Row],[CODE PI]],Tableau15[[CODE PI]:[Prestations diverses  &amp; accompagnements interne (1,6 k€ par jour d''acc)]],10,FALSE)</f>
        <v>0</v>
      </c>
      <c r="P26" s="229">
        <f>+VLOOKUP(Tableau163[[#This Row],[CODE PI]],Tableau15[[CODE PI]:[Prestations diverses  &amp; accompagnements interne (1,6 k€ par jour d''acc)]],11,FALSE)</f>
        <v>-3675</v>
      </c>
      <c r="Q26" s="230">
        <f>-250*OPX_LE3!$E27</f>
        <v>-2625</v>
      </c>
      <c r="R26" s="311">
        <f>SUM(OPX_LE3!$K27:$Q27)</f>
        <v>-186300</v>
      </c>
      <c r="S26" s="337">
        <v>0</v>
      </c>
      <c r="T26" s="361">
        <v>0</v>
      </c>
      <c r="U26" s="362">
        <v>0</v>
      </c>
      <c r="V26" s="361">
        <v>-2000</v>
      </c>
      <c r="W26" s="361">
        <v>0</v>
      </c>
      <c r="X26" s="361">
        <v>0</v>
      </c>
      <c r="Y26" s="361">
        <v>0</v>
      </c>
      <c r="Z26" s="264">
        <v>-2625</v>
      </c>
      <c r="AA26" s="423"/>
      <c r="AB26" s="273">
        <f>SUM(OPX_LE3!$T27:$AA27)</f>
        <v>-4625</v>
      </c>
      <c r="AC26" s="426">
        <f t="shared" si="0"/>
        <v>-11500</v>
      </c>
      <c r="AD26" s="426"/>
      <c r="AE26" s="417">
        <v>-12000</v>
      </c>
      <c r="AF26" s="417">
        <v>0</v>
      </c>
      <c r="AG26" s="417">
        <v>0</v>
      </c>
      <c r="AH26" s="417">
        <v>0</v>
      </c>
      <c r="AI26" s="417">
        <v>0</v>
      </c>
      <c r="AJ26" s="317">
        <f>SUM(OPX_LE3!$AC27:$AI27)</f>
        <v>0</v>
      </c>
      <c r="AK26" s="424">
        <v>0</v>
      </c>
      <c r="AL26" s="276">
        <f>SUM(OPX_LE3!$J27,OPX_LE3!$AB27,OPX_LE3!$S27,OPX_LE3!$AJ27,OPX_LE3!$R27,OPX_LE3!$AK27)</f>
        <v>-449048</v>
      </c>
      <c r="AM26" s="427">
        <v>0</v>
      </c>
    </row>
    <row r="27" spans="1:39" ht="15" hidden="1">
      <c r="A27" s="244" t="s">
        <v>459</v>
      </c>
      <c r="B27" s="232" t="str">
        <f>VLOOKUP(OPX_LE3!$A28,Tableau106[],3,FALSE)</f>
        <v>A145</v>
      </c>
      <c r="C27" s="232" t="str">
        <f>VLOOKUP(OPX_LE3!$A28,Tableau106[],2,FALSE)</f>
        <v>FR31S01E</v>
      </c>
      <c r="D27" s="232" t="str">
        <f>VLOOKUP(OPX_LE3!$A28,Tableau106[],8,FALSE)</f>
        <v>SOLAIRE</v>
      </c>
      <c r="E27" s="233">
        <f>VLOOKUP(OPX_LE3!$A28,Tableau106[],4,FALSE)</f>
        <v>10.15</v>
      </c>
      <c r="F27" s="232" t="str">
        <f>VLOOKUP(OPX_LE3!$A28,Tableau106[],5,FALSE)</f>
        <v>BOUL</v>
      </c>
      <c r="G27" s="232" t="str">
        <f>VLOOKUP(OPX_LE3!$A28,Tableau106[],7,FALSE)</f>
        <v>GROUPE</v>
      </c>
      <c r="H27" s="232" t="str">
        <f>VLOOKUP(OPX_LE3!$A28,Tableau106[],6,FALSE)</f>
        <v>S</v>
      </c>
      <c r="I27" s="232" t="str">
        <f>VLOOKUP(OPX_LE3!$A28,Tableau106[],9,FALSE)</f>
        <v>BaA</v>
      </c>
      <c r="J27" s="254">
        <v>-287867</v>
      </c>
      <c r="K27" s="228"/>
      <c r="L27" s="228"/>
      <c r="M27" s="229">
        <f>+VLOOKUP(Tableau163[[#This Row],[CODE PI]],Tableau15[[CODE PI]:[Prestations diverses  &amp; accompagnements interne (1,6 k€ par jour d''acc)]],8,FALSE)</f>
        <v>0</v>
      </c>
      <c r="N27" s="229">
        <f>+VLOOKUP(Tableau163[[#This Row],[CODE PI]],Tableau15[[CODE PI]:[Prestations diverses  &amp; accompagnements interne (1,6 k€ par jour d''acc)]],9,FALSE)</f>
        <v>0</v>
      </c>
      <c r="O27" s="229">
        <f>+VLOOKUP(Tableau163[[#This Row],[CODE PI]],Tableau15[[CODE PI]:[Prestations diverses  &amp; accompagnements interne (1,6 k€ par jour d''acc)]],10,FALSE)</f>
        <v>0</v>
      </c>
      <c r="P27" s="229">
        <f>+VLOOKUP(Tableau163[[#This Row],[CODE PI]],Tableau15[[CODE PI]:[Prestations diverses  &amp; accompagnements interne (1,6 k€ par jour d''acc)]],11,FALSE)</f>
        <v>-70000</v>
      </c>
      <c r="Q27" s="230">
        <f>-250*OPX_LE3!$E28</f>
        <v>-2537.5</v>
      </c>
      <c r="R27" s="311">
        <f>SUM(OPX_LE3!$K28:$Q28)</f>
        <v>-24157.5</v>
      </c>
      <c r="S27" s="337">
        <v>0</v>
      </c>
      <c r="T27" s="361">
        <v>0</v>
      </c>
      <c r="U27" s="362">
        <v>0</v>
      </c>
      <c r="V27" s="361">
        <v>0</v>
      </c>
      <c r="W27" s="361">
        <v>0</v>
      </c>
      <c r="X27" s="361">
        <v>0</v>
      </c>
      <c r="Y27" s="361">
        <v>0</v>
      </c>
      <c r="Z27" s="264">
        <v>-2537.5</v>
      </c>
      <c r="AA27" s="423"/>
      <c r="AB27" s="273">
        <f>SUM(OPX_LE3!$T28:$AA28)</f>
        <v>-19537.5</v>
      </c>
      <c r="AC27" s="426">
        <f t="shared" si="0"/>
        <v>-11500</v>
      </c>
      <c r="AD27" s="426"/>
      <c r="AE27" s="417">
        <v>0</v>
      </c>
      <c r="AF27" s="417">
        <v>0</v>
      </c>
      <c r="AG27" s="417">
        <v>0</v>
      </c>
      <c r="AH27" s="417">
        <v>-4400</v>
      </c>
      <c r="AI27" s="417">
        <v>0</v>
      </c>
      <c r="AJ27" s="317">
        <f>SUM(OPX_LE3!$AC28:$AI28)</f>
        <v>-4400</v>
      </c>
      <c r="AK27" s="424">
        <v>-20000</v>
      </c>
      <c r="AL27" s="276">
        <f>SUM(OPX_LE3!$J28,OPX_LE3!$AB28,OPX_LE3!$S28,OPX_LE3!$AJ28,OPX_LE3!$R28,OPX_LE3!$AK28)</f>
        <v>-358701</v>
      </c>
      <c r="AM27" s="427">
        <v>0</v>
      </c>
    </row>
    <row r="28" spans="1:39" ht="15" hidden="1">
      <c r="A28" s="325" t="s">
        <v>54</v>
      </c>
      <c r="B28" s="322" t="str">
        <f>VLOOKUP(OPX_LE3!$A29,Tableau106[],3,FALSE)</f>
        <v>A272</v>
      </c>
      <c r="C28" s="322" t="str">
        <f>VLOOKUP(OPX_LE3!$A29,Tableau106[],2,FALSE)</f>
        <v>FR45S03E</v>
      </c>
      <c r="D28" s="322" t="str">
        <f>VLOOKUP(OPX_LE3!$A29,Tableau106[],8,FALSE)</f>
        <v>SOLAIRE</v>
      </c>
      <c r="E28" s="324">
        <f>VLOOKUP(OPX_LE3!$A29,Tableau106[],4,FALSE)</f>
        <v>15.5</v>
      </c>
      <c r="F28" s="322" t="str">
        <f>VLOOKUP(OPX_LE3!$A29,Tableau106[],5,FALSE)</f>
        <v>BRIA</v>
      </c>
      <c r="G28" s="322" t="str">
        <f>VLOOKUP(OPX_LE3!$A29,Tableau106[],7,FALSE)</f>
        <v>GROUPE</v>
      </c>
      <c r="H28" s="322" t="str">
        <f>VLOOKUP(OPX_LE3!$A29,Tableau106[],6,FALSE)</f>
        <v>N</v>
      </c>
      <c r="I28" s="322" t="str">
        <f>VLOOKUP(OPX_LE3!$A29,Tableau106[],9,FALSE)</f>
        <v>LoG</v>
      </c>
      <c r="J28" s="254">
        <v>-47147</v>
      </c>
      <c r="K28" s="228"/>
      <c r="L28" s="228"/>
      <c r="M28" s="229">
        <f>+VLOOKUP(Tableau163[[#This Row],[CODE PI]],Tableau15[[CODE PI]:[Prestations diverses  &amp; accompagnements interne (1,6 k€ par jour d''acc)]],8,FALSE)</f>
        <v>0</v>
      </c>
      <c r="N28" s="229">
        <f>+VLOOKUP(Tableau163[[#This Row],[CODE PI]],Tableau15[[CODE PI]:[Prestations diverses  &amp; accompagnements interne (1,6 k€ par jour d''acc)]],9,FALSE)</f>
        <v>0</v>
      </c>
      <c r="O28" s="229">
        <f>+VLOOKUP(Tableau163[[#This Row],[CODE PI]],Tableau15[[CODE PI]:[Prestations diverses  &amp; accompagnements interne (1,6 k€ par jour d''acc)]],10,FALSE)</f>
        <v>0</v>
      </c>
      <c r="P28" s="229">
        <f>+VLOOKUP(Tableau163[[#This Row],[CODE PI]],Tableau15[[CODE PI]:[Prestations diverses  &amp; accompagnements interne (1,6 k€ par jour d''acc)]],11,FALSE)</f>
        <v>0</v>
      </c>
      <c r="Q28" s="230">
        <f>-250*OPX_LE3!$E29</f>
        <v>-3875</v>
      </c>
      <c r="R28" s="311">
        <f>SUM(OPX_LE3!$K29:$Q29)</f>
        <v>-44475</v>
      </c>
      <c r="S28" s="337">
        <v>0</v>
      </c>
      <c r="T28" s="361">
        <v>0</v>
      </c>
      <c r="U28" s="362">
        <v>0</v>
      </c>
      <c r="V28" s="361">
        <v>0</v>
      </c>
      <c r="W28" s="361">
        <v>0</v>
      </c>
      <c r="X28" s="361">
        <v>0</v>
      </c>
      <c r="Y28" s="361">
        <v>0</v>
      </c>
      <c r="Z28" s="264">
        <v>-3875</v>
      </c>
      <c r="AA28" s="423"/>
      <c r="AB28" s="273">
        <f>SUM(OPX_LE3!$T29:$AA29)</f>
        <v>0</v>
      </c>
      <c r="AC28" s="426">
        <f t="shared" si="0"/>
        <v>-11500</v>
      </c>
      <c r="AD28" s="426"/>
      <c r="AE28" s="417">
        <v>0</v>
      </c>
      <c r="AF28" s="417">
        <v>0</v>
      </c>
      <c r="AG28" s="417">
        <v>0</v>
      </c>
      <c r="AH28" s="417">
        <v>0</v>
      </c>
      <c r="AI28" s="417">
        <v>0</v>
      </c>
      <c r="AJ28" s="317">
        <f>SUM(OPX_LE3!$AC29:$AI29)</f>
        <v>0</v>
      </c>
      <c r="AK28" s="424">
        <v>0</v>
      </c>
      <c r="AL28" s="276">
        <f>SUM(OPX_LE3!$J29,OPX_LE3!$AB29,OPX_LE3!$S29,OPX_LE3!$AJ29,OPX_LE3!$R29,OPX_LE3!$AK29)</f>
        <v>-121622</v>
      </c>
      <c r="AM28" s="427">
        <v>0</v>
      </c>
    </row>
    <row r="29" spans="1:39" ht="15" hidden="1">
      <c r="A29" s="244" t="s">
        <v>510</v>
      </c>
      <c r="B29" s="232" t="str">
        <f>VLOOKUP(OPX_LE3!$A30,Tableau106[],3,FALSE)</f>
        <v>A540</v>
      </c>
      <c r="C29" s="232" t="str">
        <f>VLOOKUP(OPX_LE3!$A30,Tableau106[],2,FALSE)</f>
        <v>FR02E03E</v>
      </c>
      <c r="D29" s="232" t="str">
        <f>VLOOKUP(OPX_LE3!$A30,Tableau106[],8,FALSE)</f>
        <v>EOLIEN</v>
      </c>
      <c r="E29" s="233">
        <f>VLOOKUP(OPX_LE3!$A30,Tableau106[],4,FALSE)</f>
        <v>6</v>
      </c>
      <c r="F29" s="232" t="str">
        <f>VLOOKUP(OPX_LE3!$A30,Tableau106[],5,FALSE)</f>
        <v>BRIY</v>
      </c>
      <c r="G29" s="232" t="str">
        <f>VLOOKUP(OPX_LE3!$A30,Tableau106[],7,FALSE)</f>
        <v>EGM</v>
      </c>
      <c r="H29" s="232" t="str">
        <f>VLOOKUP(OPX_LE3!$A30,Tableau106[],6,FALSE)</f>
        <v>N</v>
      </c>
      <c r="I29" s="232" t="str">
        <f>VLOOKUP(OPX_LE3!$A30,Tableau106[],9,FALSE)</f>
        <v>NoS</v>
      </c>
      <c r="J29" s="254">
        <v>-154874</v>
      </c>
      <c r="K29" s="228"/>
      <c r="L29" s="228"/>
      <c r="M29" s="229">
        <f>+VLOOKUP(Tableau163[[#This Row],[CODE PI]],Tableau15[[CODE PI]:[Prestations diverses  &amp; accompagnements interne (1,6 k€ par jour d''acc)]],8,FALSE)</f>
        <v>0</v>
      </c>
      <c r="N29" s="229">
        <f>+VLOOKUP(Tableau163[[#This Row],[CODE PI]],Tableau15[[CODE PI]:[Prestations diverses  &amp; accompagnements interne (1,6 k€ par jour d''acc)]],9,FALSE)</f>
        <v>0</v>
      </c>
      <c r="O29" s="229">
        <f>+VLOOKUP(Tableau163[[#This Row],[CODE PI]],Tableau15[[CODE PI]:[Prestations diverses  &amp; accompagnements interne (1,6 k€ par jour d''acc)]],10,FALSE)</f>
        <v>0</v>
      </c>
      <c r="P29" s="229">
        <f>+VLOOKUP(Tableau163[[#This Row],[CODE PI]],Tableau15[[CODE PI]:[Prestations diverses  &amp; accompagnements interne (1,6 k€ par jour d''acc)]],11,FALSE)</f>
        <v>-2100</v>
      </c>
      <c r="Q29" s="230">
        <f>-250*OPX_LE3!$E30</f>
        <v>-1500</v>
      </c>
      <c r="R29" s="311">
        <f>SUM(OPX_LE3!$K30:$Q30)</f>
        <v>-96872</v>
      </c>
      <c r="S29" s="337">
        <v>0</v>
      </c>
      <c r="T29" s="361">
        <v>0</v>
      </c>
      <c r="U29" s="362">
        <v>0</v>
      </c>
      <c r="V29" s="361">
        <v>-1000</v>
      </c>
      <c r="W29" s="361">
        <v>0</v>
      </c>
      <c r="X29" s="361">
        <v>0</v>
      </c>
      <c r="Y29" s="361">
        <v>0</v>
      </c>
      <c r="Z29" s="264">
        <v>-1500</v>
      </c>
      <c r="AA29" s="423"/>
      <c r="AB29" s="273">
        <f>SUM(OPX_LE3!$T30:$AA30)</f>
        <v>-5230</v>
      </c>
      <c r="AC29" s="426">
        <f t="shared" si="0"/>
        <v>-11500</v>
      </c>
      <c r="AD29" s="426"/>
      <c r="AE29" s="417">
        <v>0</v>
      </c>
      <c r="AF29" s="417">
        <v>0</v>
      </c>
      <c r="AG29" s="417">
        <v>0</v>
      </c>
      <c r="AH29" s="417">
        <v>0</v>
      </c>
      <c r="AI29" s="417">
        <v>0</v>
      </c>
      <c r="AJ29" s="317">
        <f>SUM(OPX_LE3!$AC30:$AI30)</f>
        <v>0</v>
      </c>
      <c r="AK29" s="424">
        <v>0</v>
      </c>
      <c r="AL29" s="276">
        <f>SUM(OPX_LE3!$J30,OPX_LE3!$AB30,OPX_LE3!$S30,OPX_LE3!$AJ30,OPX_LE3!$R30,OPX_LE3!$AK30)</f>
        <v>-256976</v>
      </c>
      <c r="AM29" s="427">
        <v>0</v>
      </c>
    </row>
    <row r="30" spans="1:39" ht="15" hidden="1">
      <c r="A30" s="325" t="s">
        <v>558</v>
      </c>
      <c r="B30" s="322" t="str">
        <f>VLOOKUP(OPX_LE3!$A31,Tableau106[],3,FALSE)</f>
        <v>A540</v>
      </c>
      <c r="C30" s="322" t="str">
        <f>VLOOKUP(OPX_LE3!$A31,Tableau106[],2,FALSE)</f>
        <v>FR56E01E</v>
      </c>
      <c r="D30" s="322" t="str">
        <f>VLOOKUP(OPX_LE3!$A31,Tableau106[],8,FALSE)</f>
        <v>EOLIEN</v>
      </c>
      <c r="E30" s="324">
        <f>VLOOKUP(OPX_LE3!$A31,Tableau106[],4,FALSE)</f>
        <v>12</v>
      </c>
      <c r="F30" s="322" t="str">
        <f>VLOOKUP(OPX_LE3!$A31,Tableau106[],5,FALSE)</f>
        <v>LBDF</v>
      </c>
      <c r="G30" s="322" t="str">
        <f>VLOOKUP(OPX_LE3!$A31,Tableau106[],7,FALSE)</f>
        <v>EGM</v>
      </c>
      <c r="H30" s="322" t="str">
        <f>VLOOKUP(OPX_LE3!$A31,Tableau106[],6,FALSE)</f>
        <v>N</v>
      </c>
      <c r="I30" s="322" t="str">
        <f>VLOOKUP(OPX_LE3!$A31,Tableau106[],9,FALSE)</f>
        <v>BoK</v>
      </c>
      <c r="J30" s="254">
        <v>-309748</v>
      </c>
      <c r="K30" s="228"/>
      <c r="L30" s="228"/>
      <c r="M30" s="229">
        <f>+VLOOKUP(Tableau163[[#This Row],[CODE PI]],Tableau15[[CODE PI]:[Prestations diverses  &amp; accompagnements interne (1,6 k€ par jour d''acc)]],8,FALSE)</f>
        <v>0</v>
      </c>
      <c r="N30" s="229">
        <f>+VLOOKUP(Tableau163[[#This Row],[CODE PI]],Tableau15[[CODE PI]:[Prestations diverses  &amp; accompagnements interne (1,6 k€ par jour d''acc)]],9,FALSE)</f>
        <v>0</v>
      </c>
      <c r="O30" s="229">
        <f>+VLOOKUP(Tableau163[[#This Row],[CODE PI]],Tableau15[[CODE PI]:[Prestations diverses  &amp; accompagnements interne (1,6 k€ par jour d''acc)]],10,FALSE)</f>
        <v>0</v>
      </c>
      <c r="P30" s="229">
        <f>+VLOOKUP(Tableau163[[#This Row],[CODE PI]],Tableau15[[CODE PI]:[Prestations diverses  &amp; accompagnements interne (1,6 k€ par jour d''acc)]],11,FALSE)</f>
        <v>-4200</v>
      </c>
      <c r="Q30" s="230">
        <f>-250*OPX_LE3!$E31</f>
        <v>-3000</v>
      </c>
      <c r="R30" s="311">
        <f>SUM(OPX_LE3!$K31:$Q31)</f>
        <v>-133710</v>
      </c>
      <c r="S30" s="337">
        <v>0</v>
      </c>
      <c r="T30" s="361">
        <v>0</v>
      </c>
      <c r="U30" s="362">
        <v>0</v>
      </c>
      <c r="V30" s="361">
        <v>-2000</v>
      </c>
      <c r="W30" s="361">
        <v>0</v>
      </c>
      <c r="X30" s="361">
        <v>0</v>
      </c>
      <c r="Y30" s="361">
        <v>0</v>
      </c>
      <c r="Z30" s="264">
        <v>-3000</v>
      </c>
      <c r="AA30" s="423"/>
      <c r="AB30" s="273">
        <f>SUM(OPX_LE3!$T31:$AA31)</f>
        <v>-5000</v>
      </c>
      <c r="AC30" s="426">
        <f t="shared" si="0"/>
        <v>-11500</v>
      </c>
      <c r="AD30" s="426"/>
      <c r="AE30" s="417">
        <v>0</v>
      </c>
      <c r="AF30" s="417">
        <v>0</v>
      </c>
      <c r="AG30" s="417">
        <v>0</v>
      </c>
      <c r="AH30" s="417">
        <v>0</v>
      </c>
      <c r="AI30" s="417">
        <v>0</v>
      </c>
      <c r="AJ30" s="317">
        <f>SUM(OPX_LE3!$AC31:$AI31)</f>
        <v>0</v>
      </c>
      <c r="AK30" s="424">
        <v>0</v>
      </c>
      <c r="AL30" s="276">
        <f>SUM(OPX_LE3!$J31,OPX_LE3!$AB31,OPX_LE3!$S31,OPX_LE3!$AJ31,OPX_LE3!$R31,OPX_LE3!$AK31)</f>
        <v>-448458</v>
      </c>
      <c r="AM30" s="427">
        <v>0</v>
      </c>
    </row>
    <row r="31" spans="1:39" ht="15" hidden="1">
      <c r="A31" s="244" t="s">
        <v>563</v>
      </c>
      <c r="B31" s="232" t="str">
        <f>VLOOKUP(OPX_LE3!$A32,Tableau106[],3,FALSE)</f>
        <v>A114</v>
      </c>
      <c r="C31" s="232" t="str">
        <f>VLOOKUP(OPX_LE3!$A32,Tableau106[],2,FALSE)</f>
        <v>FR11E95E</v>
      </c>
      <c r="D31" s="232" t="str">
        <f>VLOOKUP(OPX_LE3!$A32,Tableau106[],8,FALSE)</f>
        <v>EOLIEN</v>
      </c>
      <c r="E31" s="233">
        <f>VLOOKUP(OPX_LE3!$A32,Tableau106[],4,FALSE)</f>
        <v>11.5</v>
      </c>
      <c r="F31" s="232" t="str">
        <f>VLOOKUP(OPX_LE3!$A32,Tableau106[],5,FALSE)</f>
        <v>CAMB</v>
      </c>
      <c r="G31" s="232" t="str">
        <f>VLOOKUP(OPX_LE3!$A32,Tableau106[],7,FALSE)</f>
        <v>GROUPE</v>
      </c>
      <c r="H31" s="232" t="str">
        <f>VLOOKUP(OPX_LE3!$A32,Tableau106[],6,FALSE)</f>
        <v>S</v>
      </c>
      <c r="I31" s="232" t="str">
        <f>VLOOKUP(OPX_LE3!$A32,Tableau106[],9,FALSE)</f>
        <v>ThC</v>
      </c>
      <c r="J31" s="254">
        <v>-10055</v>
      </c>
      <c r="K31" s="228"/>
      <c r="L31" s="228"/>
      <c r="M31" s="229">
        <f>+VLOOKUP(Tableau163[[#This Row],[CODE PI]],Tableau15[[CODE PI]:[Prestations diverses  &amp; accompagnements interne (1,6 k€ par jour d''acc)]],8,FALSE)</f>
        <v>0</v>
      </c>
      <c r="N31" s="229">
        <f>+VLOOKUP(Tableau163[[#This Row],[CODE PI]],Tableau15[[CODE PI]:[Prestations diverses  &amp; accompagnements interne (1,6 k€ par jour d''acc)]],9,FALSE)</f>
        <v>0</v>
      </c>
      <c r="O31" s="229">
        <f>+VLOOKUP(Tableau163[[#This Row],[CODE PI]],Tableau15[[CODE PI]:[Prestations diverses  &amp; accompagnements interne (1,6 k€ par jour d''acc)]],10,FALSE)</f>
        <v>0</v>
      </c>
      <c r="P31" s="229">
        <f>+VLOOKUP(Tableau163[[#This Row],[CODE PI]],Tableau15[[CODE PI]:[Prestations diverses  &amp; accompagnements interne (1,6 k€ par jour d''acc)]],11,FALSE)</f>
        <v>-4025</v>
      </c>
      <c r="Q31" s="230">
        <f>-250*OPX_LE3!$E32</f>
        <v>-2875</v>
      </c>
      <c r="R31" s="311">
        <f>SUM(OPX_LE3!$K32:$Q32)</f>
        <v>-20455</v>
      </c>
      <c r="S31" s="337">
        <v>-410595</v>
      </c>
      <c r="T31" s="361">
        <v>0</v>
      </c>
      <c r="U31" s="362">
        <v>0</v>
      </c>
      <c r="V31" s="361">
        <v>-6000</v>
      </c>
      <c r="W31" s="361">
        <v>-6000</v>
      </c>
      <c r="X31" s="361">
        <v>0</v>
      </c>
      <c r="Y31" s="361">
        <v>0</v>
      </c>
      <c r="Z31" s="264">
        <v>-2875</v>
      </c>
      <c r="AA31" s="423"/>
      <c r="AB31" s="273">
        <f>SUM(OPX_LE3!$T32:$AA32)</f>
        <v>-26675</v>
      </c>
      <c r="AC31" s="426">
        <f t="shared" si="0"/>
        <v>-11500</v>
      </c>
      <c r="AD31" s="426"/>
      <c r="AE31" s="417">
        <v>0</v>
      </c>
      <c r="AF31" s="417">
        <v>0</v>
      </c>
      <c r="AG31" s="417">
        <v>0</v>
      </c>
      <c r="AH31" s="417">
        <v>-8000</v>
      </c>
      <c r="AI31" s="417">
        <v>-10000</v>
      </c>
      <c r="AJ31" s="317">
        <f>SUM(OPX_LE3!$AC32:$AI32)</f>
        <v>-45297</v>
      </c>
      <c r="AK31" s="424">
        <v>0</v>
      </c>
      <c r="AL31" s="276">
        <f>SUM(OPX_LE3!$J32,OPX_LE3!$AB32,OPX_LE3!$S32,OPX_LE3!$AJ32,OPX_LE3!$R32,OPX_LE3!$AK32)</f>
        <v>-512862</v>
      </c>
      <c r="AM31" s="427">
        <v>0</v>
      </c>
    </row>
    <row r="32" spans="1:39" ht="15" hidden="1">
      <c r="A32" s="325" t="s">
        <v>466</v>
      </c>
      <c r="B32" s="322" t="str">
        <f>VLOOKUP(OPX_LE3!$A33,Tableau106[],3,FALSE)</f>
        <v>A047</v>
      </c>
      <c r="C32" s="322" t="str">
        <f>VLOOKUP(OPX_LE3!$A33,Tableau106[],2,FALSE)</f>
        <v>FR97S76E</v>
      </c>
      <c r="D32" s="322" t="str">
        <f>VLOOKUP(OPX_LE3!$A33,Tableau106[],8,FALSE)</f>
        <v>SOLAIRE DOM</v>
      </c>
      <c r="E32" s="324">
        <f>VLOOKUP(OPX_LE3!$A33,Tableau106[],4,FALSE)</f>
        <v>0.68200000000000005</v>
      </c>
      <c r="F32" s="322" t="str">
        <f>VLOOKUP(OPX_LE3!$A33,Tableau106[],5,FALSE)</f>
        <v>CANO</v>
      </c>
      <c r="G32" s="322" t="str">
        <f>VLOOKUP(OPX_LE3!$A33,Tableau106[],7,FALSE)</f>
        <v>GROUPE</v>
      </c>
      <c r="H32" s="322" t="str">
        <f>VLOOKUP(OPX_LE3!$A33,Tableau106[],6,FALSE)</f>
        <v>DOM</v>
      </c>
      <c r="I32" s="322" t="str">
        <f>VLOOKUP(OPX_LE3!$A33,Tableau106[],9,FALSE)</f>
        <v>DoJ</v>
      </c>
      <c r="J32" s="254">
        <v>0</v>
      </c>
      <c r="K32" s="228"/>
      <c r="L32" s="228"/>
      <c r="M32" s="229">
        <f>+VLOOKUP(Tableau163[[#This Row],[CODE PI]],Tableau15[[CODE PI]:[Prestations diverses  &amp; accompagnements interne (1,6 k€ par jour d''acc)]],8,FALSE)</f>
        <v>0</v>
      </c>
      <c r="N32" s="229">
        <f>+VLOOKUP(Tableau163[[#This Row],[CODE PI]],Tableau15[[CODE PI]:[Prestations diverses  &amp; accompagnements interne (1,6 k€ par jour d''acc)]],9,FALSE)</f>
        <v>0</v>
      </c>
      <c r="O32" s="229">
        <f>+VLOOKUP(Tableau163[[#This Row],[CODE PI]],Tableau15[[CODE PI]:[Prestations diverses  &amp; accompagnements interne (1,6 k€ par jour d''acc)]],10,FALSE)</f>
        <v>0</v>
      </c>
      <c r="P32" s="229">
        <f>+VLOOKUP(Tableau163[[#This Row],[CODE PI]],Tableau15[[CODE PI]:[Prestations diverses  &amp; accompagnements interne (1,6 k€ par jour d''acc)]],11,FALSE)</f>
        <v>0</v>
      </c>
      <c r="Q32" s="230">
        <f>-250*OPX_LE3!$E33</f>
        <v>-170.5</v>
      </c>
      <c r="R32" s="311">
        <f>SUM(OPX_LE3!$K33:$Q33)</f>
        <v>-170.5</v>
      </c>
      <c r="S32" s="337">
        <v>-35312</v>
      </c>
      <c r="T32" s="361">
        <v>-6000</v>
      </c>
      <c r="U32" s="362">
        <v>0</v>
      </c>
      <c r="V32" s="361">
        <v>-4000</v>
      </c>
      <c r="W32" s="361">
        <v>-1220</v>
      </c>
      <c r="X32" s="361">
        <v>0</v>
      </c>
      <c r="Y32" s="361">
        <v>0</v>
      </c>
      <c r="Z32" s="264">
        <v>-170.5</v>
      </c>
      <c r="AA32" s="423"/>
      <c r="AB32" s="273">
        <f>SUM(OPX_LE3!$T33:$AA33)</f>
        <v>-15699.103999999999</v>
      </c>
      <c r="AC32" s="426">
        <f t="shared" si="0"/>
        <v>-11500</v>
      </c>
      <c r="AD32" s="426"/>
      <c r="AE32" s="417">
        <v>0</v>
      </c>
      <c r="AF32" s="417">
        <v>0</v>
      </c>
      <c r="AG32" s="417">
        <v>0</v>
      </c>
      <c r="AH32" s="417">
        <v>0</v>
      </c>
      <c r="AI32" s="417">
        <v>0</v>
      </c>
      <c r="AJ32" s="317">
        <f>SUM(OPX_LE3!$AC33:$AI33)</f>
        <v>0</v>
      </c>
      <c r="AK32" s="424">
        <v>0</v>
      </c>
      <c r="AL32" s="276">
        <f>SUM(OPX_LE3!$J33,OPX_LE3!$AB33,OPX_LE3!$S33,OPX_LE3!$AJ33,OPX_LE3!$R33,OPX_LE3!$AK33)</f>
        <v>-51181.603999999999</v>
      </c>
      <c r="AM32" s="427">
        <v>0</v>
      </c>
    </row>
    <row r="33" spans="1:39" ht="15" hidden="1">
      <c r="A33" s="244" t="s">
        <v>590</v>
      </c>
      <c r="B33" s="232" t="str">
        <f>VLOOKUP(OPX_LE3!$A34,Tableau106[],3,FALSE)</f>
        <v>A124</v>
      </c>
      <c r="C33" s="232" t="str">
        <f>VLOOKUP(OPX_LE3!$A34,Tableau106[],2,FALSE)</f>
        <v>FR28E99E</v>
      </c>
      <c r="D33" s="232" t="str">
        <f>VLOOKUP(OPX_LE3!$A34,Tableau106[],8,FALSE)</f>
        <v>EOLIEN</v>
      </c>
      <c r="E33" s="233">
        <f>VLOOKUP(OPX_LE3!$A34,Tableau106[],4,FALSE)</f>
        <v>12</v>
      </c>
      <c r="F33" s="232" t="str">
        <f>VLOOKUP(OPX_LE3!$A34,Tableau106[],5,FALSE)</f>
        <v>CDBO</v>
      </c>
      <c r="G33" s="232" t="str">
        <f>VLOOKUP(OPX_LE3!$A34,Tableau106[],7,FALSE)</f>
        <v>GROUPE</v>
      </c>
      <c r="H33" s="232" t="str">
        <f>VLOOKUP(OPX_LE3!$A34,Tableau106[],6,FALSE)</f>
        <v>N</v>
      </c>
      <c r="I33" s="232" t="str">
        <f>VLOOKUP(OPX_LE3!$A34,Tableau106[],9,FALSE)</f>
        <v>LoH</v>
      </c>
      <c r="J33" s="254">
        <v>-20274</v>
      </c>
      <c r="K33" s="228"/>
      <c r="L33" s="228"/>
      <c r="M33" s="229">
        <f>+VLOOKUP(Tableau163[[#This Row],[CODE PI]],Tableau15[[CODE PI]:[Prestations diverses  &amp; accompagnements interne (1,6 k€ par jour d''acc)]],8,FALSE)</f>
        <v>0</v>
      </c>
      <c r="N33" s="229">
        <f>+VLOOKUP(Tableau163[[#This Row],[CODE PI]],Tableau15[[CODE PI]:[Prestations diverses  &amp; accompagnements interne (1,6 k€ par jour d''acc)]],9,FALSE)</f>
        <v>0</v>
      </c>
      <c r="O33" s="229">
        <f>+VLOOKUP(Tableau163[[#This Row],[CODE PI]],Tableau15[[CODE PI]:[Prestations diverses  &amp; accompagnements interne (1,6 k€ par jour d''acc)]],10,FALSE)</f>
        <v>-3000</v>
      </c>
      <c r="P33" s="229">
        <f>+VLOOKUP(Tableau163[[#This Row],[CODE PI]],Tableau15[[CODE PI]:[Prestations diverses  &amp; accompagnements interne (1,6 k€ par jour d''acc)]],11,FALSE)</f>
        <v>-8400</v>
      </c>
      <c r="Q33" s="230">
        <f>-250*OPX_LE3!$E34</f>
        <v>-3000</v>
      </c>
      <c r="R33" s="311">
        <f>SUM(OPX_LE3!$K34:$Q34)</f>
        <v>-40390</v>
      </c>
      <c r="S33" s="337">
        <v>-775210</v>
      </c>
      <c r="T33" s="361">
        <v>0</v>
      </c>
      <c r="U33" s="362">
        <v>0</v>
      </c>
      <c r="V33" s="361">
        <v>-2000</v>
      </c>
      <c r="W33" s="361">
        <v>0</v>
      </c>
      <c r="X33" s="361">
        <v>-4000</v>
      </c>
      <c r="Y33" s="361">
        <v>0</v>
      </c>
      <c r="Z33" s="264">
        <v>-3000</v>
      </c>
      <c r="AA33" s="423"/>
      <c r="AB33" s="273">
        <f>SUM(OPX_LE3!$T34:$AA34)</f>
        <v>-26600</v>
      </c>
      <c r="AC33" s="426">
        <f t="shared" si="0"/>
        <v>-11500</v>
      </c>
      <c r="AD33" s="426"/>
      <c r="AE33" s="417">
        <v>0</v>
      </c>
      <c r="AF33" s="417">
        <v>0</v>
      </c>
      <c r="AG33" s="417">
        <v>0</v>
      </c>
      <c r="AH33" s="417">
        <v>0</v>
      </c>
      <c r="AI33" s="417">
        <v>0</v>
      </c>
      <c r="AJ33" s="317">
        <f>SUM(OPX_LE3!$AC34:$AI34)</f>
        <v>0</v>
      </c>
      <c r="AK33" s="424">
        <v>0</v>
      </c>
      <c r="AL33" s="276">
        <f>SUM(OPX_LE3!$J34,OPX_LE3!$AB34,OPX_LE3!$S34,OPX_LE3!$AJ34,OPX_LE3!$R34,OPX_LE3!$AK34)</f>
        <v>-862474</v>
      </c>
      <c r="AM33" s="427">
        <v>0</v>
      </c>
    </row>
    <row r="34" spans="1:39" ht="15" hidden="1">
      <c r="A34" s="325" t="s">
        <v>485</v>
      </c>
      <c r="B34" s="322" t="str">
        <f>VLOOKUP(OPX_LE3!$A35,Tableau106[],3,FALSE)</f>
        <v>A534</v>
      </c>
      <c r="C34" s="322" t="str">
        <f>VLOOKUP(OPX_LE3!$A35,Tableau106[],2,FALSE)</f>
        <v>FR62E03E</v>
      </c>
      <c r="D34" s="322" t="str">
        <f>VLOOKUP(OPX_LE3!$A35,Tableau106[],8,FALSE)</f>
        <v>EOLIEN</v>
      </c>
      <c r="E34" s="324">
        <f>VLOOKUP(OPX_LE3!$A35,Tableau106[],4,FALSE)</f>
        <v>19.8</v>
      </c>
      <c r="F34" s="322" t="str">
        <f>VLOOKUP(OPX_LE3!$A35,Tableau106[],5,FALSE)</f>
        <v>CARN</v>
      </c>
      <c r="G34" s="322" t="str">
        <f>VLOOKUP(OPX_LE3!$A35,Tableau106[],7,FALSE)</f>
        <v>GROUPE</v>
      </c>
      <c r="H34" s="322" t="str">
        <f>VLOOKUP(OPX_LE3!$A35,Tableau106[],6,FALSE)</f>
        <v>N</v>
      </c>
      <c r="I34" s="322" t="str">
        <f>VLOOKUP(OPX_LE3!$A35,Tableau106[],9,FALSE)</f>
        <v>NiL</v>
      </c>
      <c r="J34" s="254">
        <v>-458981</v>
      </c>
      <c r="K34" s="228"/>
      <c r="L34" s="228"/>
      <c r="M34" s="229">
        <f>+VLOOKUP(Tableau163[[#This Row],[CODE PI]],Tableau15[[CODE PI]:[Prestations diverses  &amp; accompagnements interne (1,6 k€ par jour d''acc)]],8,FALSE)</f>
        <v>0</v>
      </c>
      <c r="N34" s="229">
        <f>+VLOOKUP(Tableau163[[#This Row],[CODE PI]],Tableau15[[CODE PI]:[Prestations diverses  &amp; accompagnements interne (1,6 k€ par jour d''acc)]],9,FALSE)</f>
        <v>0</v>
      </c>
      <c r="O34" s="229">
        <f>+VLOOKUP(Tableau163[[#This Row],[CODE PI]],Tableau15[[CODE PI]:[Prestations diverses  &amp; accompagnements interne (1,6 k€ par jour d''acc)]],10,FALSE)</f>
        <v>0</v>
      </c>
      <c r="P34" s="229">
        <f>+VLOOKUP(Tableau163[[#This Row],[CODE PI]],Tableau15[[CODE PI]:[Prestations diverses  &amp; accompagnements interne (1,6 k€ par jour d''acc)]],11,FALSE)</f>
        <v>-6930</v>
      </c>
      <c r="Q34" s="230">
        <f>-250*OPX_LE3!$E35</f>
        <v>-4950</v>
      </c>
      <c r="R34" s="311">
        <f>SUM(OPX_LE3!$K35:$Q35)</f>
        <v>-30982</v>
      </c>
      <c r="S34" s="337">
        <v>0</v>
      </c>
      <c r="T34" s="361">
        <v>0</v>
      </c>
      <c r="U34" s="362">
        <v>0</v>
      </c>
      <c r="V34" s="361">
        <v>-3000</v>
      </c>
      <c r="W34" s="361">
        <v>0</v>
      </c>
      <c r="X34" s="361">
        <v>0</v>
      </c>
      <c r="Y34" s="361">
        <v>0</v>
      </c>
      <c r="Z34" s="264">
        <v>-4950</v>
      </c>
      <c r="AA34" s="423"/>
      <c r="AB34" s="273">
        <f>SUM(OPX_LE3!$T35:$AA35)</f>
        <v>-18150</v>
      </c>
      <c r="AC34" s="426">
        <f t="shared" si="0"/>
        <v>-11500</v>
      </c>
      <c r="AD34" s="426"/>
      <c r="AE34" s="417">
        <v>0</v>
      </c>
      <c r="AF34" s="417">
        <v>0</v>
      </c>
      <c r="AG34" s="417">
        <v>-12000</v>
      </c>
      <c r="AH34" s="417">
        <v>0</v>
      </c>
      <c r="AI34" s="417">
        <v>0</v>
      </c>
      <c r="AJ34" s="317">
        <f>SUM(OPX_LE3!$AC35:$AI35)</f>
        <v>-12000</v>
      </c>
      <c r="AK34" s="424">
        <v>0</v>
      </c>
      <c r="AL34" s="276">
        <f>SUM(OPX_LE3!$J35,OPX_LE3!$AB35,OPX_LE3!$S35,OPX_LE3!$AJ35,OPX_LE3!$R35,OPX_LE3!$AK35)</f>
        <v>-520113</v>
      </c>
      <c r="AM34" s="427">
        <v>0</v>
      </c>
    </row>
    <row r="35" spans="1:39" ht="15" hidden="1">
      <c r="A35" s="244" t="s">
        <v>622</v>
      </c>
      <c r="B35" s="232" t="str">
        <f>VLOOKUP(OPX_LE3!$A36,Tableau106[],3,FALSE)</f>
        <v>A049</v>
      </c>
      <c r="C35" s="232" t="str">
        <f>VLOOKUP(OPX_LE3!$A36,Tableau106[],2,FALSE)</f>
        <v>FR34E96E</v>
      </c>
      <c r="D35" s="232" t="str">
        <f>VLOOKUP(OPX_LE3!$A36,Tableau106[],8,FALSE)</f>
        <v>EOLIEN</v>
      </c>
      <c r="E35" s="233">
        <f>VLOOKUP(OPX_LE3!$A36,Tableau106[],4,FALSE)</f>
        <v>11.5</v>
      </c>
      <c r="F35" s="232" t="str">
        <f>VLOOKUP(OPX_LE3!$A36,Tableau106[],5,FALSE)</f>
        <v>CASH</v>
      </c>
      <c r="G35" s="232" t="str">
        <f>VLOOKUP(OPX_LE3!$A36,Tableau106[],7,FALSE)</f>
        <v>GROUPE</v>
      </c>
      <c r="H35" s="232" t="str">
        <f>VLOOKUP(OPX_LE3!$A36,Tableau106[],6,FALSE)</f>
        <v>S</v>
      </c>
      <c r="I35" s="232" t="str">
        <f>VLOOKUP(OPX_LE3!$A36,Tableau106[],9,FALSE)</f>
        <v>OdP</v>
      </c>
      <c r="J35" s="254">
        <v>-424551</v>
      </c>
      <c r="K35" s="228"/>
      <c r="L35" s="228"/>
      <c r="M35" s="229">
        <f>+VLOOKUP(Tableau163[[#This Row],[CODE PI]],Tableau15[[CODE PI]:[Prestations diverses  &amp; accompagnements interne (1,6 k€ par jour d''acc)]],8,FALSE)</f>
        <v>0</v>
      </c>
      <c r="N35" s="229">
        <f>+VLOOKUP(Tableau163[[#This Row],[CODE PI]],Tableau15[[CODE PI]:[Prestations diverses  &amp; accompagnements interne (1,6 k€ par jour d''acc)]],9,FALSE)</f>
        <v>0</v>
      </c>
      <c r="O35" s="229">
        <f>+VLOOKUP(Tableau163[[#This Row],[CODE PI]],Tableau15[[CODE PI]:[Prestations diverses  &amp; accompagnements interne (1,6 k€ par jour d''acc)]],10,FALSE)</f>
        <v>0</v>
      </c>
      <c r="P35" s="229">
        <f>+VLOOKUP(Tableau163[[#This Row],[CODE PI]],Tableau15[[CODE PI]:[Prestations diverses  &amp; accompagnements interne (1,6 k€ par jour d''acc)]],11,FALSE)</f>
        <v>-4025</v>
      </c>
      <c r="Q35" s="230">
        <f>-250*OPX_LE3!$E36</f>
        <v>-2875</v>
      </c>
      <c r="R35" s="311">
        <f>SUM(OPX_LE3!$K36:$Q36)</f>
        <v>-39145</v>
      </c>
      <c r="S35" s="337">
        <v>0</v>
      </c>
      <c r="T35" s="361">
        <v>0</v>
      </c>
      <c r="U35" s="362">
        <v>0</v>
      </c>
      <c r="V35" s="361">
        <v>-5000</v>
      </c>
      <c r="W35" s="361">
        <v>0</v>
      </c>
      <c r="X35" s="361">
        <v>0</v>
      </c>
      <c r="Y35" s="361">
        <v>0</v>
      </c>
      <c r="Z35" s="264">
        <v>-2875</v>
      </c>
      <c r="AA35" s="423"/>
      <c r="AB35" s="273">
        <f>SUM(OPX_LE3!$T36:$AA36)</f>
        <v>-11875</v>
      </c>
      <c r="AC35" s="426">
        <f t="shared" si="0"/>
        <v>-11500</v>
      </c>
      <c r="AD35" s="426"/>
      <c r="AE35" s="417">
        <v>0</v>
      </c>
      <c r="AF35" s="417">
        <v>-6663.75</v>
      </c>
      <c r="AG35" s="417">
        <v>-21833.33</v>
      </c>
      <c r="AH35" s="417">
        <v>0</v>
      </c>
      <c r="AI35" s="417">
        <v>0</v>
      </c>
      <c r="AJ35" s="317">
        <f>SUM(OPX_LE3!$AC36:$AI36)</f>
        <v>-33568.800000000003</v>
      </c>
      <c r="AK35" s="424">
        <v>0</v>
      </c>
      <c r="AL35" s="276">
        <f>SUM(OPX_LE3!$J36,OPX_LE3!$AB36,OPX_LE3!$S36,OPX_LE3!$AJ36,OPX_LE3!$R36,OPX_LE3!$AK36)</f>
        <v>-512889.8</v>
      </c>
      <c r="AM35" s="427">
        <v>0</v>
      </c>
    </row>
    <row r="36" spans="1:39" ht="15" hidden="1">
      <c r="A36" s="325" t="s">
        <v>471</v>
      </c>
      <c r="B36" s="322" t="str">
        <f>VLOOKUP(OPX_LE3!$A37,Tableau106[],3,FALSE)</f>
        <v>A043</v>
      </c>
      <c r="C36" s="322" t="str">
        <f>VLOOKUP(OPX_LE3!$A37,Tableau106[],2,FALSE)</f>
        <v>FR97S77E</v>
      </c>
      <c r="D36" s="322" t="str">
        <f>VLOOKUP(OPX_LE3!$A37,Tableau106[],8,FALSE)</f>
        <v>SOLAIRE DOM</v>
      </c>
      <c r="E36" s="324">
        <f>VLOOKUP(OPX_LE3!$A37,Tableau106[],4,FALSE)</f>
        <v>0.68200000000000005</v>
      </c>
      <c r="F36" s="322" t="str">
        <f>VLOOKUP(OPX_LE3!$A37,Tableau106[],5,FALSE)</f>
        <v>CESA</v>
      </c>
      <c r="G36" s="322" t="str">
        <f>VLOOKUP(OPX_LE3!$A37,Tableau106[],7,FALSE)</f>
        <v>GROUPE</v>
      </c>
      <c r="H36" s="322" t="str">
        <f>VLOOKUP(OPX_LE3!$A37,Tableau106[],6,FALSE)</f>
        <v>DOM</v>
      </c>
      <c r="I36" s="322" t="str">
        <f>VLOOKUP(OPX_LE3!$A37,Tableau106[],9,FALSE)</f>
        <v>DoJ</v>
      </c>
      <c r="J36" s="254">
        <v>0</v>
      </c>
      <c r="K36" s="228"/>
      <c r="L36" s="228"/>
      <c r="M36" s="229">
        <f>+VLOOKUP(Tableau163[[#This Row],[CODE PI]],Tableau15[[CODE PI]:[Prestations diverses  &amp; accompagnements interne (1,6 k€ par jour d''acc)]],8,FALSE)</f>
        <v>0</v>
      </c>
      <c r="N36" s="229">
        <f>+VLOOKUP(Tableau163[[#This Row],[CODE PI]],Tableau15[[CODE PI]:[Prestations diverses  &amp; accompagnements interne (1,6 k€ par jour d''acc)]],9,FALSE)</f>
        <v>0</v>
      </c>
      <c r="O36" s="229">
        <f>+VLOOKUP(Tableau163[[#This Row],[CODE PI]],Tableau15[[CODE PI]:[Prestations diverses  &amp; accompagnements interne (1,6 k€ par jour d''acc)]],10,FALSE)</f>
        <v>0</v>
      </c>
      <c r="P36" s="229">
        <f>+VLOOKUP(Tableau163[[#This Row],[CODE PI]],Tableau15[[CODE PI]:[Prestations diverses  &amp; accompagnements interne (1,6 k€ par jour d''acc)]],11,FALSE)</f>
        <v>0</v>
      </c>
      <c r="Q36" s="230">
        <f>-250*OPX_LE3!$E37</f>
        <v>-170.5</v>
      </c>
      <c r="R36" s="311">
        <f>SUM(OPX_LE3!$K37:$Q37)</f>
        <v>-170.5</v>
      </c>
      <c r="S36" s="337">
        <v>-33543</v>
      </c>
      <c r="T36" s="361">
        <v>-6000</v>
      </c>
      <c r="U36" s="362">
        <v>0</v>
      </c>
      <c r="V36" s="361">
        <v>0</v>
      </c>
      <c r="W36" s="361">
        <v>-1220</v>
      </c>
      <c r="X36" s="361">
        <v>0</v>
      </c>
      <c r="Y36" s="361">
        <v>0</v>
      </c>
      <c r="Z36" s="264">
        <v>-170.5</v>
      </c>
      <c r="AA36" s="423"/>
      <c r="AB36" s="273">
        <f>SUM(OPX_LE3!$T37:$AA37)</f>
        <v>-16028.834000000001</v>
      </c>
      <c r="AC36" s="426">
        <f t="shared" si="0"/>
        <v>-11500</v>
      </c>
      <c r="AD36" s="426"/>
      <c r="AE36" s="417">
        <v>0</v>
      </c>
      <c r="AF36" s="417">
        <v>0</v>
      </c>
      <c r="AG36" s="417">
        <v>0</v>
      </c>
      <c r="AH36" s="417">
        <v>0</v>
      </c>
      <c r="AI36" s="417">
        <v>0</v>
      </c>
      <c r="AJ36" s="317">
        <f>SUM(OPX_LE3!$AC37:$AI37)</f>
        <v>0</v>
      </c>
      <c r="AK36" s="424">
        <v>0</v>
      </c>
      <c r="AL36" s="276">
        <f>SUM(OPX_LE3!$J37,OPX_LE3!$AB37,OPX_LE3!$S37,OPX_LE3!$AJ37,OPX_LE3!$R37,OPX_LE3!$AK37)</f>
        <v>-49742.334000000003</v>
      </c>
      <c r="AM36" s="427">
        <v>0</v>
      </c>
    </row>
    <row r="37" spans="1:39" ht="15" hidden="1">
      <c r="A37" s="244" t="s">
        <v>83</v>
      </c>
      <c r="B37" s="232" t="str">
        <f>VLOOKUP(OPX_LE3!$A38,Tableau106[],3,FALSE)</f>
        <v>A253</v>
      </c>
      <c r="C37" s="232" t="str">
        <f>VLOOKUP(OPX_LE3!$A38,Tableau106[],2,FALSE)</f>
        <v>FR21S01E</v>
      </c>
      <c r="D37" s="232" t="str">
        <f>VLOOKUP(OPX_LE3!$A38,Tableau106[],8,FALSE)</f>
        <v>SOLAIRE</v>
      </c>
      <c r="E37" s="233">
        <f>VLOOKUP(OPX_LE3!$A38,Tableau106[],4,FALSE)</f>
        <v>15.5</v>
      </c>
      <c r="F37" s="232" t="str">
        <f>VLOOKUP(OPX_LE3!$A38,Tableau106[],5,FALSE)</f>
        <v>DIJO</v>
      </c>
      <c r="G37" s="232" t="str">
        <f>VLOOKUP(OPX_LE3!$A38,Tableau106[],7,FALSE)</f>
        <v>GROUPE</v>
      </c>
      <c r="H37" s="232" t="str">
        <f>VLOOKUP(OPX_LE3!$A38,Tableau106[],6,FALSE)</f>
        <v>N</v>
      </c>
      <c r="I37" s="232" t="str">
        <f>VLOOKUP(OPX_LE3!$A38,Tableau106[],9,FALSE)</f>
        <v>LoG</v>
      </c>
      <c r="J37" s="254">
        <v>-80534</v>
      </c>
      <c r="K37" s="228"/>
      <c r="L37" s="228"/>
      <c r="M37" s="229">
        <f>+VLOOKUP(Tableau163[[#This Row],[CODE PI]],Tableau15[[CODE PI]:[Prestations diverses  &amp; accompagnements interne (1,6 k€ par jour d''acc)]],8,FALSE)</f>
        <v>0</v>
      </c>
      <c r="N37" s="229">
        <f>+VLOOKUP(Tableau163[[#This Row],[CODE PI]],Tableau15[[CODE PI]:[Prestations diverses  &amp; accompagnements interne (1,6 k€ par jour d''acc)]],9,FALSE)</f>
        <v>0</v>
      </c>
      <c r="O37" s="229">
        <f>+VLOOKUP(Tableau163[[#This Row],[CODE PI]],Tableau15[[CODE PI]:[Prestations diverses  &amp; accompagnements interne (1,6 k€ par jour d''acc)]],10,FALSE)</f>
        <v>0</v>
      </c>
      <c r="P37" s="229">
        <f>+VLOOKUP(Tableau163[[#This Row],[CODE PI]],Tableau15[[CODE PI]:[Prestations diverses  &amp; accompagnements interne (1,6 k€ par jour d''acc)]],11,FALSE)</f>
        <v>0</v>
      </c>
      <c r="Q37" s="230">
        <f>-250*OPX_LE3!$E38</f>
        <v>-3875</v>
      </c>
      <c r="R37" s="311">
        <f>SUM(OPX_LE3!$K38:$Q38)</f>
        <v>-63427.7</v>
      </c>
      <c r="S37" s="337">
        <v>0</v>
      </c>
      <c r="T37" s="361">
        <v>0</v>
      </c>
      <c r="U37" s="362">
        <v>0</v>
      </c>
      <c r="V37" s="361">
        <v>0</v>
      </c>
      <c r="W37" s="361">
        <v>0</v>
      </c>
      <c r="X37" s="361">
        <v>0</v>
      </c>
      <c r="Y37" s="361">
        <v>0</v>
      </c>
      <c r="Z37" s="264">
        <v>-3875</v>
      </c>
      <c r="AA37" s="423"/>
      <c r="AB37" s="273">
        <f>SUM(OPX_LE3!$T38:$AA38)</f>
        <v>-11200</v>
      </c>
      <c r="AC37" s="426">
        <f t="shared" si="0"/>
        <v>-11500</v>
      </c>
      <c r="AD37" s="426"/>
      <c r="AE37" s="417">
        <v>0</v>
      </c>
      <c r="AF37" s="417">
        <v>0</v>
      </c>
      <c r="AG37" s="417">
        <v>0</v>
      </c>
      <c r="AH37" s="417">
        <v>0</v>
      </c>
      <c r="AI37" s="417">
        <v>0</v>
      </c>
      <c r="AJ37" s="317">
        <f>SUM(OPX_LE3!$AC38:$AI38)</f>
        <v>0</v>
      </c>
      <c r="AK37" s="424">
        <v>0</v>
      </c>
      <c r="AL37" s="276">
        <f>SUM(OPX_LE3!$J38,OPX_LE3!$AB38,OPX_LE3!$S38,OPX_LE3!$AJ38,OPX_LE3!$R38,OPX_LE3!$AK38)</f>
        <v>-166654.70000000001</v>
      </c>
      <c r="AM37" s="427">
        <v>0</v>
      </c>
    </row>
    <row r="38" spans="1:39" ht="15" hidden="1">
      <c r="A38" s="325" t="s">
        <v>472</v>
      </c>
      <c r="B38" s="322" t="str">
        <f>VLOOKUP(OPX_LE3!$A39,Tableau106[],3,FALSE)</f>
        <v>A257</v>
      </c>
      <c r="C38" s="322" t="str">
        <f>VLOOKUP(OPX_LE3!$A39,Tableau106[],2,FALSE)</f>
        <v>FR71S06E</v>
      </c>
      <c r="D38" s="322" t="str">
        <f>VLOOKUP(OPX_LE3!$A39,Tableau106[],8,FALSE)</f>
        <v>SOLAIRE</v>
      </c>
      <c r="E38" s="324">
        <f>VLOOKUP(OPX_LE3!$A39,Tableau106[],4,FALSE)</f>
        <v>4.4000000000000004</v>
      </c>
      <c r="F38" s="322" t="str">
        <f>VLOOKUP(OPX_LE3!$A39,Tableau106[],5,FALSE)</f>
        <v>CHAG</v>
      </c>
      <c r="G38" s="322" t="str">
        <f>VLOOKUP(OPX_LE3!$A39,Tableau106[],7,FALSE)</f>
        <v>GROUPE</v>
      </c>
      <c r="H38" s="322" t="str">
        <f>VLOOKUP(OPX_LE3!$A39,Tableau106[],6,FALSE)</f>
        <v>N</v>
      </c>
      <c r="I38" s="322" t="str">
        <f>VLOOKUP(OPX_LE3!$A39,Tableau106[],9,FALSE)</f>
        <v>LoG</v>
      </c>
      <c r="J38" s="254">
        <v>-26669</v>
      </c>
      <c r="K38" s="228"/>
      <c r="L38" s="228"/>
      <c r="M38" s="229">
        <f>+VLOOKUP(Tableau163[[#This Row],[CODE PI]],Tableau15[[CODE PI]:[Prestations diverses  &amp; accompagnements interne (1,6 k€ par jour d''acc)]],8,FALSE)</f>
        <v>0</v>
      </c>
      <c r="N38" s="229">
        <f>+VLOOKUP(Tableau163[[#This Row],[CODE PI]],Tableau15[[CODE PI]:[Prestations diverses  &amp; accompagnements interne (1,6 k€ par jour d''acc)]],9,FALSE)</f>
        <v>0</v>
      </c>
      <c r="O38" s="229">
        <f>+VLOOKUP(Tableau163[[#This Row],[CODE PI]],Tableau15[[CODE PI]:[Prestations diverses  &amp; accompagnements interne (1,6 k€ par jour d''acc)]],10,FALSE)</f>
        <v>0</v>
      </c>
      <c r="P38" s="229">
        <f>+VLOOKUP(Tableau163[[#This Row],[CODE PI]],Tableau15[[CODE PI]:[Prestations diverses  &amp; accompagnements interne (1,6 k€ par jour d''acc)]],11,FALSE)</f>
        <v>0</v>
      </c>
      <c r="Q38" s="230">
        <f>-250*OPX_LE3!$E39</f>
        <v>-1100</v>
      </c>
      <c r="R38" s="311">
        <f>SUM(OPX_LE3!$K39:$Q39)</f>
        <v>-26420</v>
      </c>
      <c r="S38" s="337">
        <v>0</v>
      </c>
      <c r="T38" s="361">
        <v>0</v>
      </c>
      <c r="U38" s="362">
        <v>0</v>
      </c>
      <c r="V38" s="361">
        <v>0</v>
      </c>
      <c r="W38" s="361">
        <v>0</v>
      </c>
      <c r="X38" s="361">
        <v>0</v>
      </c>
      <c r="Y38" s="361">
        <v>0</v>
      </c>
      <c r="Z38" s="264">
        <v>-1100</v>
      </c>
      <c r="AA38" s="423"/>
      <c r="AB38" s="273">
        <f>SUM(OPX_LE3!$T39:$AA39)</f>
        <v>0</v>
      </c>
      <c r="AC38" s="426">
        <f t="shared" si="0"/>
        <v>-11500</v>
      </c>
      <c r="AD38" s="426"/>
      <c r="AE38" s="417">
        <v>0</v>
      </c>
      <c r="AF38" s="417">
        <v>0</v>
      </c>
      <c r="AG38" s="417">
        <v>0</v>
      </c>
      <c r="AH38" s="417">
        <v>-3500</v>
      </c>
      <c r="AI38" s="417">
        <v>0</v>
      </c>
      <c r="AJ38" s="317">
        <f>SUM(OPX_LE3!$AC39:$AI39)</f>
        <v>-4249.5</v>
      </c>
      <c r="AK38" s="424">
        <v>0</v>
      </c>
      <c r="AL38" s="276">
        <f>SUM(OPX_LE3!$J39,OPX_LE3!$AB39,OPX_LE3!$S39,OPX_LE3!$AJ39,OPX_LE3!$R39,OPX_LE3!$AK39)</f>
        <v>-56669.5</v>
      </c>
      <c r="AM38" s="427">
        <v>0</v>
      </c>
    </row>
    <row r="39" spans="1:39" ht="15" hidden="1">
      <c r="A39" s="244" t="s">
        <v>538</v>
      </c>
      <c r="B39" s="232" t="str">
        <f>VLOOKUP(OPX_LE3!$A40,Tableau106[],3,FALSE)</f>
        <v>A992</v>
      </c>
      <c r="C39" s="232" t="str">
        <f>VLOOKUP(OPX_LE3!$A40,Tableau106[],2,FALSE)</f>
        <v>FR89E03E</v>
      </c>
      <c r="D39" s="232" t="str">
        <f>VLOOKUP(OPX_LE3!$A40,Tableau106[],8,FALSE)</f>
        <v>EOLIEN</v>
      </c>
      <c r="E39" s="233">
        <f>VLOOKUP(OPX_LE3!$A40,Tableau106[],4,FALSE)</f>
        <v>21.700000000000003</v>
      </c>
      <c r="F39" s="232" t="str">
        <f>VLOOKUP(OPX_LE3!$A40,Tableau106[],5,FALSE)</f>
        <v>GOUR</v>
      </c>
      <c r="G39" s="232" t="str">
        <f>VLOOKUP(OPX_LE3!$A40,Tableau106[],7,FALSE)</f>
        <v>GROUPE</v>
      </c>
      <c r="H39" s="232" t="str">
        <f>VLOOKUP(OPX_LE3!$A40,Tableau106[],6,FALSE)</f>
        <v>N</v>
      </c>
      <c r="I39" s="232" t="str">
        <f>VLOOKUP(OPX_LE3!$A40,Tableau106[],9,FALSE)</f>
        <v>LoH</v>
      </c>
      <c r="J39" s="254">
        <v>-20775</v>
      </c>
      <c r="K39" s="228"/>
      <c r="L39" s="228"/>
      <c r="M39" s="229">
        <f>+VLOOKUP(Tableau163[[#This Row],[CODE PI]],Tableau15[[CODE PI]:[Prestations diverses  &amp; accompagnements interne (1,6 k€ par jour d''acc)]],8,FALSE)</f>
        <v>0</v>
      </c>
      <c r="N39" s="229">
        <f>+VLOOKUP(Tableau163[[#This Row],[CODE PI]],Tableau15[[CODE PI]:[Prestations diverses  &amp; accompagnements interne (1,6 k€ par jour d''acc)]],9,FALSE)</f>
        <v>0</v>
      </c>
      <c r="O39" s="229">
        <f>+VLOOKUP(Tableau163[[#This Row],[CODE PI]],Tableau15[[CODE PI]:[Prestations diverses  &amp; accompagnements interne (1,6 k€ par jour d''acc)]],10,FALSE)</f>
        <v>0</v>
      </c>
      <c r="P39" s="229">
        <f>+VLOOKUP(Tableau163[[#This Row],[CODE PI]],Tableau15[[CODE PI]:[Prestations diverses  &amp; accompagnements interne (1,6 k€ par jour d''acc)]],11,FALSE)</f>
        <v>-7980</v>
      </c>
      <c r="Q39" s="230">
        <f>-250*OPX_LE3!$E40</f>
        <v>-5425.0000000000009</v>
      </c>
      <c r="R39" s="311">
        <f>SUM(OPX_LE3!$K40:$Q40)</f>
        <v>-17023.000000000004</v>
      </c>
      <c r="S39" s="337">
        <v>-310000</v>
      </c>
      <c r="T39" s="361">
        <v>0</v>
      </c>
      <c r="U39" s="362">
        <v>0</v>
      </c>
      <c r="V39" s="361">
        <v>0</v>
      </c>
      <c r="W39" s="361">
        <v>-3650</v>
      </c>
      <c r="X39" s="361">
        <v>0</v>
      </c>
      <c r="Y39" s="361">
        <v>0</v>
      </c>
      <c r="Z39" s="264">
        <v>-5425.0000000000009</v>
      </c>
      <c r="AA39" s="423"/>
      <c r="AB39" s="273">
        <f>SUM(OPX_LE3!$T40:$AA40)</f>
        <v>-35425</v>
      </c>
      <c r="AC39" s="426">
        <f t="shared" si="0"/>
        <v>-11500</v>
      </c>
      <c r="AD39" s="426"/>
      <c r="AE39" s="417">
        <v>-15000</v>
      </c>
      <c r="AF39" s="417">
        <v>-7150</v>
      </c>
      <c r="AG39" s="417">
        <v>-18430</v>
      </c>
      <c r="AH39" s="417">
        <v>0</v>
      </c>
      <c r="AI39" s="417">
        <v>0</v>
      </c>
      <c r="AJ39" s="317">
        <f>SUM(OPX_LE3!$AC40:$AI40)</f>
        <v>-46832</v>
      </c>
      <c r="AK39" s="424">
        <v>0</v>
      </c>
      <c r="AL39" s="276">
        <f>SUM(OPX_LE3!$J40,OPX_LE3!$AB40,OPX_LE3!$S40,OPX_LE3!$AJ40,OPX_LE3!$R40,OPX_LE3!$AK40)</f>
        <v>-431055</v>
      </c>
      <c r="AM39" s="427">
        <v>0</v>
      </c>
    </row>
    <row r="40" spans="1:39" ht="15" hidden="1">
      <c r="A40" s="325" t="s">
        <v>524</v>
      </c>
      <c r="B40" s="322" t="str">
        <f>VLOOKUP(OPX_LE3!$A41,Tableau106[],3,FALSE)</f>
        <v>A419</v>
      </c>
      <c r="C40" s="322" t="str">
        <f>VLOOKUP(OPX_LE3!$A41,Tableau106[],2,FALSE)</f>
        <v>FR02E02E</v>
      </c>
      <c r="D40" s="322" t="str">
        <f>VLOOKUP(OPX_LE3!$A41,Tableau106[],8,FALSE)</f>
        <v>EOLIEN</v>
      </c>
      <c r="E40" s="324">
        <f>VLOOKUP(OPX_LE3!$A41,Tableau106[],4,FALSE)</f>
        <v>72</v>
      </c>
      <c r="F40" s="322" t="str">
        <f>VLOOKUP(OPX_LE3!$A41,Tableau106[],5,FALSE)</f>
        <v>CHPI</v>
      </c>
      <c r="G40" s="322" t="str">
        <f>VLOOKUP(OPX_LE3!$A41,Tableau106[],7,FALSE)</f>
        <v>GROUPE</v>
      </c>
      <c r="H40" s="322" t="str">
        <f>VLOOKUP(OPX_LE3!$A41,Tableau106[],6,FALSE)</f>
        <v>N</v>
      </c>
      <c r="I40" s="322" t="str">
        <f>VLOOKUP(OPX_LE3!$A41,Tableau106[],9,FALSE)</f>
        <v>MéS</v>
      </c>
      <c r="J40" s="254">
        <v>-1544657</v>
      </c>
      <c r="K40" s="228"/>
      <c r="L40" s="228"/>
      <c r="M40" s="229">
        <f>+VLOOKUP(Tableau163[[#This Row],[CODE PI]],Tableau15[[CODE PI]:[Prestations diverses  &amp; accompagnements interne (1,6 k€ par jour d''acc)]],8,FALSE)</f>
        <v>0</v>
      </c>
      <c r="N40" s="229">
        <f>+VLOOKUP(Tableau163[[#This Row],[CODE PI]],Tableau15[[CODE PI]:[Prestations diverses  &amp; accompagnements interne (1,6 k€ par jour d''acc)]],9,FALSE)</f>
        <v>0</v>
      </c>
      <c r="O40" s="229">
        <f>+VLOOKUP(Tableau163[[#This Row],[CODE PI]],Tableau15[[CODE PI]:[Prestations diverses  &amp; accompagnements interne (1,6 k€ par jour d''acc)]],10,FALSE)</f>
        <v>-3000</v>
      </c>
      <c r="P40" s="229">
        <f>+VLOOKUP(Tableau163[[#This Row],[CODE PI]],Tableau15[[CODE PI]:[Prestations diverses  &amp; accompagnements interne (1,6 k€ par jour d''acc)]],11,FALSE)</f>
        <v>-25200</v>
      </c>
      <c r="Q40" s="230">
        <f>-250*OPX_LE3!$E41</f>
        <v>-18000</v>
      </c>
      <c r="R40" s="311">
        <f>SUM(OPX_LE3!$K41:$Q41)</f>
        <v>-189989.7</v>
      </c>
      <c r="S40" s="337">
        <v>0</v>
      </c>
      <c r="T40" s="361">
        <v>0</v>
      </c>
      <c r="U40" s="362">
        <v>0</v>
      </c>
      <c r="V40" s="361">
        <v>-5000</v>
      </c>
      <c r="W40" s="361">
        <v>-2000</v>
      </c>
      <c r="X40" s="361">
        <v>-4000</v>
      </c>
      <c r="Y40" s="361">
        <v>0</v>
      </c>
      <c r="Z40" s="264">
        <v>-18000</v>
      </c>
      <c r="AA40" s="423"/>
      <c r="AB40" s="273">
        <f>SUM(OPX_LE3!$T41:$AA41)</f>
        <v>-48632</v>
      </c>
      <c r="AC40" s="426">
        <f t="shared" si="0"/>
        <v>-11500</v>
      </c>
      <c r="AD40" s="426"/>
      <c r="AE40" s="417">
        <v>0</v>
      </c>
      <c r="AF40" s="417">
        <v>0</v>
      </c>
      <c r="AG40" s="417">
        <v>0</v>
      </c>
      <c r="AH40" s="417">
        <v>0</v>
      </c>
      <c r="AI40" s="417">
        <v>0</v>
      </c>
      <c r="AJ40" s="317">
        <f>SUM(OPX_LE3!$AC41:$AI41)</f>
        <v>-25500</v>
      </c>
      <c r="AK40" s="424">
        <v>0</v>
      </c>
      <c r="AL40" s="276">
        <f>SUM(OPX_LE3!$J41,OPX_LE3!$AB41,OPX_LE3!$S41,OPX_LE3!$AJ41,OPX_LE3!$R41,OPX_LE3!$AK41)</f>
        <v>-2012068.7</v>
      </c>
      <c r="AM40" s="427">
        <v>0</v>
      </c>
    </row>
    <row r="41" spans="1:39" ht="15">
      <c r="A41" s="244" t="s">
        <v>92</v>
      </c>
      <c r="B41" s="232" t="str">
        <f>VLOOKUP(OPX_LE3!$A42,Tableau106[],3,FALSE)</f>
        <v>F212</v>
      </c>
      <c r="C41" s="232" t="str">
        <f>VLOOKUP(OPX_LE3!$A42,Tableau106[],2,FALSE)</f>
        <v>FR10E01E</v>
      </c>
      <c r="D41" s="232" t="str">
        <f>VLOOKUP(OPX_LE3!$A42,Tableau106[],8,FALSE)</f>
        <v>EOLIEN</v>
      </c>
      <c r="E41" s="233">
        <f>VLOOKUP(OPX_LE3!$A42,Tableau106[],4,FALSE)</f>
        <v>18</v>
      </c>
      <c r="F41" s="232" t="str">
        <f>VLOOKUP(OPX_LE3!$A42,Tableau106[],5,FALSE)</f>
        <v>CPE1, CPE2</v>
      </c>
      <c r="G41" s="232" t="str">
        <f>VLOOKUP(OPX_LE3!$A42,Tableau106[],7,FALSE)</f>
        <v>FUTUREN</v>
      </c>
      <c r="H41" s="232" t="str">
        <f>VLOOKUP(OPX_LE3!$A42,Tableau106[],6,FALSE)</f>
        <v>N</v>
      </c>
      <c r="I41" s="232" t="str">
        <f>VLOOKUP(OPX_LE3!$A42,Tableau106[],9,FALSE)</f>
        <v>AlY</v>
      </c>
      <c r="J41" s="254">
        <v>-24529</v>
      </c>
      <c r="K41" s="228"/>
      <c r="L41" s="228"/>
      <c r="M41" s="229">
        <f>+VLOOKUP(Tableau163[[#This Row],[CODE PI]],Tableau15[[CODE PI]:[Prestations diverses  &amp; accompagnements interne (1,6 k€ par jour d''acc)]],8,FALSE)</f>
        <v>0</v>
      </c>
      <c r="N41" s="229">
        <f>+VLOOKUP(Tableau163[[#This Row],[CODE PI]],Tableau15[[CODE PI]:[Prestations diverses  &amp; accompagnements interne (1,6 k€ par jour d''acc)]],9,FALSE)</f>
        <v>0</v>
      </c>
      <c r="O41" s="229">
        <f>+VLOOKUP(Tableau163[[#This Row],[CODE PI]],Tableau15[[CODE PI]:[Prestations diverses  &amp; accompagnements interne (1,6 k€ par jour d''acc)]],10,FALSE)</f>
        <v>0</v>
      </c>
      <c r="P41" s="229">
        <f>+VLOOKUP(Tableau163[[#This Row],[CODE PI]],Tableau15[[CODE PI]:[Prestations diverses  &amp; accompagnements interne (1,6 k€ par jour d''acc)]],11,FALSE)</f>
        <v>0</v>
      </c>
      <c r="Q41" s="230">
        <f>-250*OPX_LE3!$E42</f>
        <v>-4500</v>
      </c>
      <c r="R41" s="311">
        <f>SUM(OPX_LE3!$K42:$Q42)</f>
        <v>-11160</v>
      </c>
      <c r="S41" s="337">
        <v>-551604</v>
      </c>
      <c r="T41" s="361">
        <v>-4050</v>
      </c>
      <c r="U41" s="362">
        <v>0</v>
      </c>
      <c r="V41" s="361">
        <v>-3160</v>
      </c>
      <c r="W41" s="361">
        <v>0</v>
      </c>
      <c r="X41" s="361">
        <v>0</v>
      </c>
      <c r="Y41" s="361">
        <v>0</v>
      </c>
      <c r="Z41" s="264">
        <v>-4500</v>
      </c>
      <c r="AA41" s="423"/>
      <c r="AB41" s="273">
        <f>SUM(OPX_LE3!$T42:$AA42)</f>
        <v>-385521</v>
      </c>
      <c r="AC41" s="426">
        <f t="shared" si="0"/>
        <v>-11500</v>
      </c>
      <c r="AD41" s="426"/>
      <c r="AE41" s="417">
        <v>-4039.2000000000003</v>
      </c>
      <c r="AF41" s="417">
        <v>0</v>
      </c>
      <c r="AG41" s="417">
        <v>0</v>
      </c>
      <c r="AH41" s="417">
        <v>0</v>
      </c>
      <c r="AI41" s="417">
        <v>0</v>
      </c>
      <c r="AJ41" s="317">
        <f>SUM(OPX_LE3!$AC42:$AI42)</f>
        <v>-46391.199999999997</v>
      </c>
      <c r="AK41" s="424">
        <v>0</v>
      </c>
      <c r="AL41" s="276">
        <f>SUM(OPX_LE3!$J42,OPX_LE3!$AB42,OPX_LE3!$S42,OPX_LE3!$AJ42,OPX_LE3!$R42,OPX_LE3!$AK42)</f>
        <v>-1015664.2</v>
      </c>
      <c r="AM41" s="427">
        <v>0</v>
      </c>
    </row>
    <row r="42" spans="1:39" ht="15" hidden="1">
      <c r="A42" s="325" t="s">
        <v>476</v>
      </c>
      <c r="B42" s="322" t="str">
        <f>VLOOKUP(OPX_LE3!$A43,Tableau106[],3,FALSE)</f>
        <v>A290</v>
      </c>
      <c r="C42" s="322" t="str">
        <f>VLOOKUP(OPX_LE3!$A43,Tableau106[],2,FALSE)</f>
        <v>FR86S03E</v>
      </c>
      <c r="D42" s="322" t="str">
        <f>VLOOKUP(OPX_LE3!$A43,Tableau106[],8,FALSE)</f>
        <v>SOLAIRE</v>
      </c>
      <c r="E42" s="324">
        <f>VLOOKUP(OPX_LE3!$A43,Tableau106[],4,FALSE)</f>
        <v>5.5</v>
      </c>
      <c r="F42" s="322" t="str">
        <f>VLOOKUP(OPX_LE3!$A43,Tableau106[],5,FALSE)</f>
        <v>CIVA</v>
      </c>
      <c r="G42" s="322" t="str">
        <f>VLOOKUP(OPX_LE3!$A43,Tableau106[],7,FALSE)</f>
        <v>GROUPE</v>
      </c>
      <c r="H42" s="322" t="str">
        <f>VLOOKUP(OPX_LE3!$A43,Tableau106[],6,FALSE)</f>
        <v>N</v>
      </c>
      <c r="I42" s="322" t="str">
        <f>VLOOKUP(OPX_LE3!$A43,Tableau106[],9,FALSE)</f>
        <v>ArB</v>
      </c>
      <c r="J42" s="254"/>
      <c r="K42" s="228"/>
      <c r="L42" s="228"/>
      <c r="M42" s="229">
        <f>+VLOOKUP(Tableau163[[#This Row],[CODE PI]],Tableau15[[CODE PI]:[Prestations diverses  &amp; accompagnements interne (1,6 k€ par jour d''acc)]],8,FALSE)</f>
        <v>0</v>
      </c>
      <c r="N42" s="229">
        <f>+VLOOKUP(Tableau163[[#This Row],[CODE PI]],Tableau15[[CODE PI]:[Prestations diverses  &amp; accompagnements interne (1,6 k€ par jour d''acc)]],9,FALSE)</f>
        <v>0</v>
      </c>
      <c r="O42" s="229">
        <f>+VLOOKUP(Tableau163[[#This Row],[CODE PI]],Tableau15[[CODE PI]:[Prestations diverses  &amp; accompagnements interne (1,6 k€ par jour d''acc)]],10,FALSE)</f>
        <v>0</v>
      </c>
      <c r="P42" s="229">
        <f>+VLOOKUP(Tableau163[[#This Row],[CODE PI]],Tableau15[[CODE PI]:[Prestations diverses  &amp; accompagnements interne (1,6 k€ par jour d''acc)]],11,FALSE)</f>
        <v>0</v>
      </c>
      <c r="Q42" s="230">
        <f>-250*OPX_LE3!$E43</f>
        <v>-1375</v>
      </c>
      <c r="R42" s="311">
        <f>SUM(OPX_LE3!$K43:$Q43)</f>
        <v>-1375</v>
      </c>
      <c r="S42" s="337"/>
      <c r="T42" s="361">
        <v>0</v>
      </c>
      <c r="U42" s="362">
        <v>0</v>
      </c>
      <c r="V42" s="361">
        <v>0</v>
      </c>
      <c r="W42" s="361">
        <v>0</v>
      </c>
      <c r="X42" s="361">
        <v>0</v>
      </c>
      <c r="Y42" s="361">
        <v>0</v>
      </c>
      <c r="Z42" s="264">
        <v>-1375</v>
      </c>
      <c r="AA42" s="423"/>
      <c r="AB42" s="273">
        <f>SUM(OPX_LE3!$T43:$AA43)</f>
        <v>-4775</v>
      </c>
      <c r="AC42" s="426">
        <f t="shared" si="0"/>
        <v>-11500</v>
      </c>
      <c r="AD42" s="426"/>
      <c r="AE42" s="417">
        <v>0</v>
      </c>
      <c r="AF42" s="417">
        <v>0</v>
      </c>
      <c r="AG42" s="417">
        <v>0</v>
      </c>
      <c r="AH42" s="417">
        <v>0</v>
      </c>
      <c r="AI42" s="417">
        <v>0</v>
      </c>
      <c r="AJ42" s="317">
        <f>SUM(OPX_LE3!$AC43:$AI43)</f>
        <v>0</v>
      </c>
      <c r="AK42" s="424">
        <v>0</v>
      </c>
      <c r="AL42" s="276">
        <f>SUM(OPX_LE3!$J43,OPX_LE3!$AB43,OPX_LE3!$S43,OPX_LE3!$AJ43,OPX_LE3!$R43,OPX_LE3!$AK43)</f>
        <v>-40150</v>
      </c>
      <c r="AM42" s="427">
        <v>0</v>
      </c>
    </row>
    <row r="43" spans="1:39" ht="15" hidden="1">
      <c r="A43" s="244" t="s">
        <v>570</v>
      </c>
      <c r="B43" s="232" t="str">
        <f>VLOOKUP(OPX_LE3!$A44,Tableau106[],3,FALSE)</f>
        <v>A532</v>
      </c>
      <c r="C43" s="232" t="str">
        <f>VLOOKUP(OPX_LE3!$A44,Tableau106[],2,FALSE)</f>
        <v>FR51E03E</v>
      </c>
      <c r="D43" s="232" t="str">
        <f>VLOOKUP(OPX_LE3!$A44,Tableau106[],8,FALSE)</f>
        <v>EOLIEN</v>
      </c>
      <c r="E43" s="233">
        <f>VLOOKUP(OPX_LE3!$A44,Tableau106[],4,FALSE)</f>
        <v>10.02</v>
      </c>
      <c r="F43" s="232" t="str">
        <f>VLOOKUP(OPX_LE3!$A44,Tableau106[],5,FALSE)</f>
        <v>CLAM</v>
      </c>
      <c r="G43" s="232" t="str">
        <f>VLOOKUP(OPX_LE3!$A44,Tableau106[],7,FALSE)</f>
        <v>GROUPE</v>
      </c>
      <c r="H43" s="232" t="str">
        <f>VLOOKUP(OPX_LE3!$A44,Tableau106[],6,FALSE)</f>
        <v>N</v>
      </c>
      <c r="I43" s="232" t="str">
        <f>VLOOKUP(OPX_LE3!$A44,Tableau106[],9,FALSE)</f>
        <v>AyB</v>
      </c>
      <c r="J43" s="254">
        <v>-10720</v>
      </c>
      <c r="K43" s="228"/>
      <c r="L43" s="228"/>
      <c r="M43" s="229">
        <f>+VLOOKUP(Tableau163[[#This Row],[CODE PI]],Tableau15[[CODE PI]:[Prestations diverses  &amp; accompagnements interne (1,6 k€ par jour d''acc)]],8,FALSE)</f>
        <v>0</v>
      </c>
      <c r="N43" s="229">
        <f>+VLOOKUP(Tableau163[[#This Row],[CODE PI]],Tableau15[[CODE PI]:[Prestations diverses  &amp; accompagnements interne (1,6 k€ par jour d''acc)]],9,FALSE)</f>
        <v>0</v>
      </c>
      <c r="O43" s="229">
        <f>+VLOOKUP(Tableau163[[#This Row],[CODE PI]],Tableau15[[CODE PI]:[Prestations diverses  &amp; accompagnements interne (1,6 k€ par jour d''acc)]],10,FALSE)</f>
        <v>0</v>
      </c>
      <c r="P43" s="229">
        <f>+VLOOKUP(Tableau163[[#This Row],[CODE PI]],Tableau15[[CODE PI]:[Prestations diverses  &amp; accompagnements interne (1,6 k€ par jour d''acc)]],11,FALSE)</f>
        <v>0</v>
      </c>
      <c r="Q43" s="230">
        <f>-250*OPX_LE3!$E44</f>
        <v>-2505</v>
      </c>
      <c r="R43" s="311">
        <f>SUM(OPX_LE3!$K44:$Q44)</f>
        <v>-4709.3999999999996</v>
      </c>
      <c r="S43" s="337">
        <v>-379707</v>
      </c>
      <c r="T43" s="361">
        <v>0</v>
      </c>
      <c r="U43" s="362">
        <v>0</v>
      </c>
      <c r="V43" s="361">
        <v>-400</v>
      </c>
      <c r="W43" s="361">
        <v>0</v>
      </c>
      <c r="X43" s="361">
        <v>0</v>
      </c>
      <c r="Y43" s="361">
        <v>0</v>
      </c>
      <c r="Z43" s="264">
        <v>-2505</v>
      </c>
      <c r="AA43" s="423"/>
      <c r="AB43" s="273">
        <f>SUM(OPX_LE3!$T44:$AA44)</f>
        <v>-5410</v>
      </c>
      <c r="AC43" s="426">
        <f t="shared" si="0"/>
        <v>-11500</v>
      </c>
      <c r="AD43" s="426"/>
      <c r="AE43" s="417">
        <v>0</v>
      </c>
      <c r="AF43" s="417">
        <v>0</v>
      </c>
      <c r="AG43" s="417">
        <v>0</v>
      </c>
      <c r="AH43" s="417">
        <v>0</v>
      </c>
      <c r="AI43" s="417">
        <v>0</v>
      </c>
      <c r="AJ43" s="317">
        <f>SUM(OPX_LE3!$AC44:$AI44)</f>
        <v>0</v>
      </c>
      <c r="AK43" s="424">
        <v>0</v>
      </c>
      <c r="AL43" s="276">
        <f>SUM(OPX_LE3!$J44,OPX_LE3!$AB44,OPX_LE3!$S44,OPX_LE3!$AJ44,OPX_LE3!$R44,OPX_LE3!$AK44)</f>
        <v>-400546.4</v>
      </c>
      <c r="AM43" s="427">
        <v>0</v>
      </c>
    </row>
    <row r="44" spans="1:39" ht="15" hidden="1">
      <c r="A44" s="325" t="s">
        <v>567</v>
      </c>
      <c r="B44" s="322" t="str">
        <f>VLOOKUP(OPX_LE3!$A45,Tableau106[],3,FALSE)</f>
        <v>A532</v>
      </c>
      <c r="C44" s="322" t="str">
        <f>VLOOKUP(OPX_LE3!$A45,Tableau106[],2,FALSE)</f>
        <v>FR51E04E</v>
      </c>
      <c r="D44" s="322" t="str">
        <f>VLOOKUP(OPX_LE3!$A45,Tableau106[],8,FALSE)</f>
        <v>EOLIEN</v>
      </c>
      <c r="E44" s="324">
        <f>VLOOKUP(OPX_LE3!$A45,Tableau106[],4,FALSE)</f>
        <v>4</v>
      </c>
      <c r="F44" s="322" t="str">
        <f>VLOOKUP(OPX_LE3!$A45,Tableau106[],5,FALSE)</f>
        <v>CLA2</v>
      </c>
      <c r="G44" s="322" t="str">
        <f>VLOOKUP(OPX_LE3!$A45,Tableau106[],7,FALSE)</f>
        <v>GROUPE</v>
      </c>
      <c r="H44" s="322" t="str">
        <f>VLOOKUP(OPX_LE3!$A45,Tableau106[],6,FALSE)</f>
        <v>N</v>
      </c>
      <c r="I44" s="322" t="str">
        <f>VLOOKUP(OPX_LE3!$A45,Tableau106[],9,FALSE)</f>
        <v>AyB</v>
      </c>
      <c r="J44" s="254">
        <v>-12897</v>
      </c>
      <c r="K44" s="228"/>
      <c r="L44" s="228"/>
      <c r="M44" s="229">
        <f>+VLOOKUP(Tableau163[[#This Row],[CODE PI]],Tableau15[[CODE PI]:[Prestations diverses  &amp; accompagnements interne (1,6 k€ par jour d''acc)]],8,FALSE)</f>
        <v>0</v>
      </c>
      <c r="N44" s="229">
        <f>+VLOOKUP(Tableau163[[#This Row],[CODE PI]],Tableau15[[CODE PI]:[Prestations diverses  &amp; accompagnements interne (1,6 k€ par jour d''acc)]],9,FALSE)</f>
        <v>0</v>
      </c>
      <c r="O44" s="229">
        <f>+VLOOKUP(Tableau163[[#This Row],[CODE PI]],Tableau15[[CODE PI]:[Prestations diverses  &amp; accompagnements interne (1,6 k€ par jour d''acc)]],10,FALSE)</f>
        <v>0</v>
      </c>
      <c r="P44" s="229">
        <f>+VLOOKUP(Tableau163[[#This Row],[CODE PI]],Tableau15[[CODE PI]:[Prestations diverses  &amp; accompagnements interne (1,6 k€ par jour d''acc)]],11,FALSE)</f>
        <v>-1400</v>
      </c>
      <c r="Q44" s="230">
        <f>-250*OPX_LE3!$E45</f>
        <v>-1000</v>
      </c>
      <c r="R44" s="311">
        <f>SUM(OPX_LE3!$K45:$Q45)</f>
        <v>-3890</v>
      </c>
      <c r="S44" s="337">
        <v>-109799</v>
      </c>
      <c r="T44" s="361">
        <v>-900</v>
      </c>
      <c r="U44" s="362">
        <v>0</v>
      </c>
      <c r="V44" s="361">
        <v>-200</v>
      </c>
      <c r="W44" s="361">
        <v>0</v>
      </c>
      <c r="X44" s="361">
        <v>0</v>
      </c>
      <c r="Y44" s="361">
        <v>0</v>
      </c>
      <c r="Z44" s="264">
        <v>-1000</v>
      </c>
      <c r="AA44" s="423"/>
      <c r="AB44" s="273">
        <f>SUM(OPX_LE3!$T45:$AA45)</f>
        <v>-5100</v>
      </c>
      <c r="AC44" s="426">
        <f t="shared" si="0"/>
        <v>-11500</v>
      </c>
      <c r="AD44" s="426"/>
      <c r="AE44" s="417">
        <v>0</v>
      </c>
      <c r="AF44" s="417">
        <v>0</v>
      </c>
      <c r="AG44" s="417">
        <v>0</v>
      </c>
      <c r="AH44" s="417">
        <v>0</v>
      </c>
      <c r="AI44" s="417">
        <v>0</v>
      </c>
      <c r="AJ44" s="317">
        <f>SUM(OPX_LE3!$AC45:$AI45)</f>
        <v>0</v>
      </c>
      <c r="AK44" s="424">
        <v>0</v>
      </c>
      <c r="AL44" s="276">
        <f>SUM(OPX_LE3!$J45,OPX_LE3!$AB45,OPX_LE3!$S45,OPX_LE3!$AJ45,OPX_LE3!$R45,OPX_LE3!$AK45)</f>
        <v>-139186</v>
      </c>
      <c r="AM44" s="427">
        <v>0</v>
      </c>
    </row>
    <row r="45" spans="1:39" ht="15" hidden="1">
      <c r="A45" s="244" t="s">
        <v>552</v>
      </c>
      <c r="B45" s="232" t="str">
        <f>VLOOKUP(OPX_LE3!$A46,Tableau106[],3,FALSE)</f>
        <v>A535</v>
      </c>
      <c r="C45" s="232" t="str">
        <f>VLOOKUP(OPX_LE3!$A46,Tableau106[],2,FALSE)</f>
        <v>FR02E10E</v>
      </c>
      <c r="D45" s="232" t="str">
        <f>VLOOKUP(OPX_LE3!$A46,Tableau106[],8,FALSE)</f>
        <v>EOLIEN</v>
      </c>
      <c r="E45" s="233">
        <f>VLOOKUP(OPX_LE3!$A46,Tableau106[],4,FALSE)</f>
        <v>15</v>
      </c>
      <c r="F45" s="232" t="str">
        <f>VLOOKUP(OPX_LE3!$A46,Tableau106[],5,FALSE)</f>
        <v>CLAN</v>
      </c>
      <c r="G45" s="232" t="str">
        <f>VLOOKUP(OPX_LE3!$A46,Tableau106[],7,FALSE)</f>
        <v>FUTUREN</v>
      </c>
      <c r="H45" s="232" t="str">
        <f>VLOOKUP(OPX_LE3!$A46,Tableau106[],6,FALSE)</f>
        <v>N</v>
      </c>
      <c r="I45" s="232" t="str">
        <f>VLOOKUP(OPX_LE3!$A46,Tableau106[],9,FALSE)</f>
        <v>NiL</v>
      </c>
      <c r="J45" s="254">
        <v>-279041</v>
      </c>
      <c r="K45" s="228"/>
      <c r="L45" s="228"/>
      <c r="M45" s="229">
        <f>+VLOOKUP(Tableau163[[#This Row],[CODE PI]],Tableau15[[CODE PI]:[Prestations diverses  &amp; accompagnements interne (1,6 k€ par jour d''acc)]],8,FALSE)</f>
        <v>0</v>
      </c>
      <c r="N45" s="229">
        <f>+VLOOKUP(Tableau163[[#This Row],[CODE PI]],Tableau15[[CODE PI]:[Prestations diverses  &amp; accompagnements interne (1,6 k€ par jour d''acc)]],9,FALSE)</f>
        <v>0</v>
      </c>
      <c r="O45" s="229">
        <f>+VLOOKUP(Tableau163[[#This Row],[CODE PI]],Tableau15[[CODE PI]:[Prestations diverses  &amp; accompagnements interne (1,6 k€ par jour d''acc)]],10,FALSE)</f>
        <v>0</v>
      </c>
      <c r="P45" s="229">
        <f>+VLOOKUP(Tableau163[[#This Row],[CODE PI]],Tableau15[[CODE PI]:[Prestations diverses  &amp; accompagnements interne (1,6 k€ par jour d''acc)]],11,FALSE)</f>
        <v>-4620</v>
      </c>
      <c r="Q45" s="230">
        <f>-250*OPX_LE3!$E46</f>
        <v>-3750</v>
      </c>
      <c r="R45" s="311">
        <f>SUM(OPX_LE3!$K46:$Q46)</f>
        <v>-10350</v>
      </c>
      <c r="S45" s="337">
        <v>0</v>
      </c>
      <c r="T45" s="361">
        <v>0</v>
      </c>
      <c r="U45" s="362">
        <v>0</v>
      </c>
      <c r="V45" s="361">
        <v>-2000</v>
      </c>
      <c r="W45" s="361">
        <v>0</v>
      </c>
      <c r="X45" s="361">
        <v>0</v>
      </c>
      <c r="Y45" s="361">
        <v>0</v>
      </c>
      <c r="Z45" s="264">
        <v>-3750</v>
      </c>
      <c r="AA45" s="423"/>
      <c r="AB45" s="273">
        <f>SUM(OPX_LE3!$T46:$AA46)</f>
        <v>-5750</v>
      </c>
      <c r="AC45" s="426">
        <f t="shared" si="0"/>
        <v>-11500</v>
      </c>
      <c r="AD45" s="426"/>
      <c r="AE45" s="417">
        <v>0</v>
      </c>
      <c r="AF45" s="417">
        <v>0</v>
      </c>
      <c r="AG45" s="417">
        <v>-12000</v>
      </c>
      <c r="AH45" s="417">
        <v>0</v>
      </c>
      <c r="AI45" s="417">
        <v>0</v>
      </c>
      <c r="AJ45" s="317">
        <f>SUM(OPX_LE3!$AC46:$AI46)</f>
        <v>0</v>
      </c>
      <c r="AK45" s="424">
        <v>0</v>
      </c>
      <c r="AL45" s="276">
        <f>SUM(OPX_LE3!$J46,OPX_LE3!$AB46,OPX_LE3!$S46,OPX_LE3!$AJ46,OPX_LE3!$R46,OPX_LE3!$AK46)</f>
        <v>-295141</v>
      </c>
      <c r="AM45" s="427">
        <v>0</v>
      </c>
    </row>
    <row r="46" spans="1:39" ht="15" hidden="1">
      <c r="A46" s="325" t="s">
        <v>468</v>
      </c>
      <c r="B46" s="322" t="str">
        <f>VLOOKUP(OPX_LE3!$A47,Tableau106[],3,FALSE)</f>
        <v>A893</v>
      </c>
      <c r="C46" s="322" t="str">
        <f>VLOOKUP(OPX_LE3!$A47,Tableau106[],2,FALSE)</f>
        <v>FR50E99E</v>
      </c>
      <c r="D46" s="322" t="str">
        <f>VLOOKUP(OPX_LE3!$A47,Tableau106[],8,FALSE)</f>
        <v>EOLIEN</v>
      </c>
      <c r="E46" s="324">
        <f>VLOOKUP(OPX_LE3!$A47,Tableau106[],4,FALSE)</f>
        <v>3.3</v>
      </c>
      <c r="F46" s="322" t="str">
        <f>VLOOKUP(OPX_LE3!$A47,Tableau106[],5,FALSE)</f>
        <v>CLIT</v>
      </c>
      <c r="G46" s="322" t="str">
        <f>VLOOKUP(OPX_LE3!$A47,Tableau106[],7,FALSE)</f>
        <v>GROUPE</v>
      </c>
      <c r="H46" s="322" t="str">
        <f>VLOOKUP(OPX_LE3!$A47,Tableau106[],6,FALSE)</f>
        <v>N</v>
      </c>
      <c r="I46" s="322" t="str">
        <f>VLOOKUP(OPX_LE3!$A47,Tableau106[],9,FALSE)</f>
        <v>AnN</v>
      </c>
      <c r="J46" s="254">
        <v>-57628</v>
      </c>
      <c r="K46" s="228"/>
      <c r="L46" s="228"/>
      <c r="M46" s="229">
        <f>+VLOOKUP(Tableau163[[#This Row],[CODE PI]],Tableau15[[CODE PI]:[Prestations diverses  &amp; accompagnements interne (1,6 k€ par jour d''acc)]],8,FALSE)</f>
        <v>0</v>
      </c>
      <c r="N46" s="229">
        <f>+VLOOKUP(Tableau163[[#This Row],[CODE PI]],Tableau15[[CODE PI]:[Prestations diverses  &amp; accompagnements interne (1,6 k€ par jour d''acc)]],9,FALSE)</f>
        <v>0</v>
      </c>
      <c r="O46" s="229">
        <f>+VLOOKUP(Tableau163[[#This Row],[CODE PI]],Tableau15[[CODE PI]:[Prestations diverses  &amp; accompagnements interne (1,6 k€ par jour d''acc)]],10,FALSE)</f>
        <v>0</v>
      </c>
      <c r="P46" s="229">
        <f>+VLOOKUP(Tableau163[[#This Row],[CODE PI]],Tableau15[[CODE PI]:[Prestations diverses  &amp; accompagnements interne (1,6 k€ par jour d''acc)]],11,FALSE)</f>
        <v>0</v>
      </c>
      <c r="Q46" s="230">
        <f>-250*OPX_LE3!$E47</f>
        <v>-825</v>
      </c>
      <c r="R46" s="311">
        <f>SUM(OPX_LE3!$K47:$Q47)</f>
        <v>-103375</v>
      </c>
      <c r="S46" s="337">
        <v>0</v>
      </c>
      <c r="T46" s="361">
        <v>-51000</v>
      </c>
      <c r="U46" s="362">
        <v>0</v>
      </c>
      <c r="V46" s="361">
        <v>-700</v>
      </c>
      <c r="W46" s="361">
        <v>-15926</v>
      </c>
      <c r="X46" s="361">
        <v>0</v>
      </c>
      <c r="Y46" s="361">
        <v>-717</v>
      </c>
      <c r="Z46" s="264">
        <v>-825</v>
      </c>
      <c r="AA46" s="423"/>
      <c r="AB46" s="273">
        <f>SUM(OPX_LE3!$T47:$AA47)</f>
        <v>-21918</v>
      </c>
      <c r="AC46" s="426">
        <f t="shared" si="0"/>
        <v>-11500</v>
      </c>
      <c r="AD46" s="426"/>
      <c r="AE46" s="417">
        <v>0</v>
      </c>
      <c r="AF46" s="417">
        <v>0</v>
      </c>
      <c r="AG46" s="417">
        <v>0</v>
      </c>
      <c r="AH46" s="417">
        <v>0</v>
      </c>
      <c r="AI46" s="417">
        <v>0</v>
      </c>
      <c r="AJ46" s="317">
        <f>SUM(OPX_LE3!$AC47:$AI47)</f>
        <v>0</v>
      </c>
      <c r="AK46" s="424">
        <v>0</v>
      </c>
      <c r="AL46" s="276">
        <f>SUM(OPX_LE3!$J47,OPX_LE3!$AB47,OPX_LE3!$S47,OPX_LE3!$AJ47,OPX_LE3!$R47,OPX_LE3!$AK47)</f>
        <v>-182921</v>
      </c>
      <c r="AM46" s="427">
        <v>0</v>
      </c>
    </row>
    <row r="47" spans="1:39" ht="15" hidden="1">
      <c r="A47" s="244" t="s">
        <v>481</v>
      </c>
      <c r="B47" s="232" t="str">
        <f>VLOOKUP(OPX_LE3!$A48,Tableau106[],3,FALSE)</f>
        <v>A313</v>
      </c>
      <c r="C47" s="232" t="str">
        <f>VLOOKUP(OPX_LE3!$A48,Tableau106[],2,FALSE)</f>
        <v>FR21S03E</v>
      </c>
      <c r="D47" s="232" t="str">
        <f>VLOOKUP(OPX_LE3!$A48,Tableau106[],8,FALSE)</f>
        <v>SOLAIRE</v>
      </c>
      <c r="E47" s="233">
        <f>VLOOKUP(OPX_LE3!$A48,Tableau106[],4,FALSE)</f>
        <v>5</v>
      </c>
      <c r="F47" s="232" t="str">
        <f>VLOOKUP(OPX_LE3!$A48,Tableau106[],5,FALSE)</f>
        <v>COLB</v>
      </c>
      <c r="G47" s="232" t="str">
        <f>VLOOKUP(OPX_LE3!$A48,Tableau106[],7,FALSE)</f>
        <v>GROUPE</v>
      </c>
      <c r="H47" s="232" t="str">
        <f>VLOOKUP(OPX_LE3!$A48,Tableau106[],6,FALSE)</f>
        <v>N</v>
      </c>
      <c r="I47" s="232" t="str">
        <f>VLOOKUP(OPX_LE3!$A48,Tableau106[],9,FALSE)</f>
        <v>LoG</v>
      </c>
      <c r="J47" s="254">
        <v>-29100</v>
      </c>
      <c r="K47" s="228"/>
      <c r="L47" s="228"/>
      <c r="M47" s="229">
        <f>+VLOOKUP(Tableau163[[#This Row],[CODE PI]],Tableau15[[CODE PI]:[Prestations diverses  &amp; accompagnements interne (1,6 k€ par jour d''acc)]],8,FALSE)</f>
        <v>0</v>
      </c>
      <c r="N47" s="229">
        <f>+VLOOKUP(Tableau163[[#This Row],[CODE PI]],Tableau15[[CODE PI]:[Prestations diverses  &amp; accompagnements interne (1,6 k€ par jour d''acc)]],9,FALSE)</f>
        <v>0</v>
      </c>
      <c r="O47" s="229">
        <f>+VLOOKUP(Tableau163[[#This Row],[CODE PI]],Tableau15[[CODE PI]:[Prestations diverses  &amp; accompagnements interne (1,6 k€ par jour d''acc)]],10,FALSE)</f>
        <v>0</v>
      </c>
      <c r="P47" s="229">
        <f>+VLOOKUP(Tableau163[[#This Row],[CODE PI]],Tableau15[[CODE PI]:[Prestations diverses  &amp; accompagnements interne (1,6 k€ par jour d''acc)]],11,FALSE)</f>
        <v>0</v>
      </c>
      <c r="Q47" s="230">
        <f>-250*OPX_LE3!$E48</f>
        <v>-1250</v>
      </c>
      <c r="R47" s="311">
        <f>SUM(OPX_LE3!$K48:$Q48)</f>
        <v>-26250</v>
      </c>
      <c r="S47" s="337">
        <v>0</v>
      </c>
      <c r="T47" s="361">
        <v>0</v>
      </c>
      <c r="U47" s="362">
        <v>0</v>
      </c>
      <c r="V47" s="361">
        <v>0</v>
      </c>
      <c r="W47" s="361">
        <v>0</v>
      </c>
      <c r="X47" s="361">
        <v>0</v>
      </c>
      <c r="Y47" s="361">
        <v>0</v>
      </c>
      <c r="Z47" s="264">
        <v>-1250</v>
      </c>
      <c r="AA47" s="423"/>
      <c r="AB47" s="273">
        <f>SUM(OPX_LE3!$T48:$AA48)</f>
        <v>0</v>
      </c>
      <c r="AC47" s="426">
        <f t="shared" si="0"/>
        <v>-11500</v>
      </c>
      <c r="AD47" s="426"/>
      <c r="AE47" s="417">
        <v>0</v>
      </c>
      <c r="AF47" s="417">
        <v>0</v>
      </c>
      <c r="AG47" s="417">
        <v>0</v>
      </c>
      <c r="AH47" s="417">
        <v>-14000</v>
      </c>
      <c r="AI47" s="417">
        <v>0</v>
      </c>
      <c r="AJ47" s="317">
        <f>SUM(OPX_LE3!$AC48:$AI48)</f>
        <v>-5998</v>
      </c>
      <c r="AK47" s="424">
        <v>0</v>
      </c>
      <c r="AL47" s="276">
        <f>SUM(OPX_LE3!$J48,OPX_LE3!$AB48,OPX_LE3!$S48,OPX_LE3!$AJ48,OPX_LE3!$R48,OPX_LE3!$AK48)</f>
        <v>-61348</v>
      </c>
      <c r="AM47" s="427">
        <v>0</v>
      </c>
    </row>
    <row r="48" spans="1:39" ht="15" hidden="1">
      <c r="A48" s="325" t="s">
        <v>544</v>
      </c>
      <c r="B48" s="322" t="str">
        <f>VLOOKUP(OPX_LE3!$A49,Tableau106[],3,FALSE)</f>
        <v>A958</v>
      </c>
      <c r="C48" s="322" t="str">
        <f>VLOOKUP(OPX_LE3!$A49,Tableau106[],2,FALSE)</f>
        <v>FR11E92E</v>
      </c>
      <c r="D48" s="322" t="str">
        <f>VLOOKUP(OPX_LE3!$A49,Tableau106[],8,FALSE)</f>
        <v>EOLIEN</v>
      </c>
      <c r="E48" s="324">
        <f>VLOOKUP(OPX_LE3!$A49,Tableau106[],4,FALSE)</f>
        <v>9.1999999999999993</v>
      </c>
      <c r="F48" s="322" t="str">
        <f>VLOOKUP(OPX_LE3!$A49,Tableau106[],5,FALSE)</f>
        <v>CONI</v>
      </c>
      <c r="G48" s="322" t="str">
        <f>VLOOKUP(OPX_LE3!$A49,Tableau106[],7,FALSE)</f>
        <v>FUTUREN</v>
      </c>
      <c r="H48" s="322" t="str">
        <f>VLOOKUP(OPX_LE3!$A49,Tableau106[],6,FALSE)</f>
        <v>S</v>
      </c>
      <c r="I48" s="322" t="str">
        <f>VLOOKUP(OPX_LE3!$A49,Tableau106[],9,FALSE)</f>
        <v>StE</v>
      </c>
      <c r="J48" s="254">
        <v>-11128</v>
      </c>
      <c r="K48" s="228"/>
      <c r="L48" s="228"/>
      <c r="M48" s="229">
        <f>+VLOOKUP(Tableau163[[#This Row],[CODE PI]],Tableau15[[CODE PI]:[Prestations diverses  &amp; accompagnements interne (1,6 k€ par jour d''acc)]],8,FALSE)</f>
        <v>0</v>
      </c>
      <c r="N48" s="229">
        <f>+VLOOKUP(Tableau163[[#This Row],[CODE PI]],Tableau15[[CODE PI]:[Prestations diverses  &amp; accompagnements interne (1,6 k€ par jour d''acc)]],9,FALSE)</f>
        <v>0</v>
      </c>
      <c r="O48" s="229">
        <f>+VLOOKUP(Tableau163[[#This Row],[CODE PI]],Tableau15[[CODE PI]:[Prestations diverses  &amp; accompagnements interne (1,6 k€ par jour d''acc)]],10,FALSE)</f>
        <v>0</v>
      </c>
      <c r="P48" s="229">
        <f>+VLOOKUP(Tableau163[[#This Row],[CODE PI]],Tableau15[[CODE PI]:[Prestations diverses  &amp; accompagnements interne (1,6 k€ par jour d''acc)]],11,FALSE)</f>
        <v>-3220</v>
      </c>
      <c r="Q48" s="230">
        <f>-250*OPX_LE3!$E49</f>
        <v>-2300</v>
      </c>
      <c r="R48" s="311">
        <f>SUM(OPX_LE3!$K49:$Q49)</f>
        <v>-12718</v>
      </c>
      <c r="S48" s="337">
        <f>-303796</f>
        <v>-303796</v>
      </c>
      <c r="T48" s="361">
        <v>0</v>
      </c>
      <c r="U48" s="362">
        <v>0</v>
      </c>
      <c r="V48" s="361">
        <v>-6000</v>
      </c>
      <c r="W48" s="361">
        <v>-6000</v>
      </c>
      <c r="X48" s="361">
        <v>0</v>
      </c>
      <c r="Y48" s="361">
        <v>0</v>
      </c>
      <c r="Z48" s="264">
        <v>-2300</v>
      </c>
      <c r="AA48" s="423"/>
      <c r="AB48" s="273">
        <f>SUM(OPX_LE3!$T49:$AA49)</f>
        <v>-28009</v>
      </c>
      <c r="AC48" s="426">
        <f t="shared" si="0"/>
        <v>-11500</v>
      </c>
      <c r="AD48" s="426"/>
      <c r="AE48" s="417">
        <v>0</v>
      </c>
      <c r="AF48" s="417">
        <v>0</v>
      </c>
      <c r="AG48" s="417">
        <v>0</v>
      </c>
      <c r="AH48" s="417">
        <v>0</v>
      </c>
      <c r="AI48" s="417">
        <v>-5000</v>
      </c>
      <c r="AJ48" s="317">
        <f>SUM(OPX_LE3!$AC49:$AI49)</f>
        <v>-10071.720000000001</v>
      </c>
      <c r="AK48" s="424">
        <v>0</v>
      </c>
      <c r="AL48" s="276">
        <f>SUM(OPX_LE3!$J49,OPX_LE3!$AB49,OPX_LE3!$S49,OPX_LE3!$AJ49,OPX_LE3!$R49,OPX_LE3!$AK49)</f>
        <v>-361284.72</v>
      </c>
      <c r="AM48" s="427">
        <v>0</v>
      </c>
    </row>
    <row r="49" spans="1:39" ht="15" hidden="1">
      <c r="A49" s="244" t="s">
        <v>580</v>
      </c>
      <c r="B49" s="232" t="str">
        <f>VLOOKUP(OPX_LE3!$A50,Tableau106[],3,FALSE)</f>
        <v>A064</v>
      </c>
      <c r="C49" s="232" t="str">
        <f>VLOOKUP(OPX_LE3!$A50,Tableau106[],2,FALSE)</f>
        <v>FR34E92E</v>
      </c>
      <c r="D49" s="232" t="str">
        <f>VLOOKUP(OPX_LE3!$A50,Tableau106[],8,FALSE)</f>
        <v>EOLIEN</v>
      </c>
      <c r="E49" s="233">
        <f>VLOOKUP(OPX_LE3!$A50,Tableau106[],4,FALSE)</f>
        <v>12</v>
      </c>
      <c r="F49" s="232" t="str">
        <f>VLOOKUP(OPX_LE3!$A50,Tableau106[],5,FALSE)</f>
        <v>AUCO</v>
      </c>
      <c r="G49" s="232" t="str">
        <f>VLOOKUP(OPX_LE3!$A50,Tableau106[],7,FALSE)</f>
        <v>GROUPE</v>
      </c>
      <c r="H49" s="232" t="str">
        <f>VLOOKUP(OPX_LE3!$A50,Tableau106[],6,FALSE)</f>
        <v>S</v>
      </c>
      <c r="I49" s="232" t="str">
        <f>VLOOKUP(OPX_LE3!$A50,Tableau106[],9,FALSE)</f>
        <v>KéD</v>
      </c>
      <c r="J49" s="254">
        <v>-419985</v>
      </c>
      <c r="K49" s="228"/>
      <c r="L49" s="228"/>
      <c r="M49" s="229">
        <f>+VLOOKUP(Tableau163[[#This Row],[CODE PI]],Tableau15[[CODE PI]:[Prestations diverses  &amp; accompagnements interne (1,6 k€ par jour d''acc)]],8,FALSE)</f>
        <v>0</v>
      </c>
      <c r="N49" s="229">
        <f>+VLOOKUP(Tableau163[[#This Row],[CODE PI]],Tableau15[[CODE PI]:[Prestations diverses  &amp; accompagnements interne (1,6 k€ par jour d''acc)]],9,FALSE)</f>
        <v>0</v>
      </c>
      <c r="O49" s="229">
        <f>+VLOOKUP(Tableau163[[#This Row],[CODE PI]],Tableau15[[CODE PI]:[Prestations diverses  &amp; accompagnements interne (1,6 k€ par jour d''acc)]],10,FALSE)</f>
        <v>0</v>
      </c>
      <c r="P49" s="229">
        <f>+VLOOKUP(Tableau163[[#This Row],[CODE PI]],Tableau15[[CODE PI]:[Prestations diverses  &amp; accompagnements interne (1,6 k€ par jour d''acc)]],11,FALSE)</f>
        <v>-4200</v>
      </c>
      <c r="Q49" s="230">
        <f>-250*OPX_LE3!$E50</f>
        <v>-3000</v>
      </c>
      <c r="R49" s="311">
        <f>SUM(OPX_LE3!$K50:$Q50)</f>
        <v>-49270</v>
      </c>
      <c r="S49" s="337">
        <v>0</v>
      </c>
      <c r="T49" s="361">
        <v>0</v>
      </c>
      <c r="U49" s="362">
        <v>0</v>
      </c>
      <c r="V49" s="361">
        <f>-(3877+5000)</f>
        <v>-8877</v>
      </c>
      <c r="W49" s="361">
        <v>0</v>
      </c>
      <c r="X49" s="361">
        <v>0</v>
      </c>
      <c r="Y49" s="361">
        <v>0</v>
      </c>
      <c r="Z49" s="264">
        <v>-3000</v>
      </c>
      <c r="AA49" s="423"/>
      <c r="AB49" s="273">
        <f>SUM(OPX_LE3!$T50:$AA50)</f>
        <v>-16137</v>
      </c>
      <c r="AC49" s="231">
        <f>-((6184*5)+1500)</f>
        <v>-32420</v>
      </c>
      <c r="AD49" s="426"/>
      <c r="AE49" s="417">
        <v>-4378</v>
      </c>
      <c r="AF49" s="417">
        <v>0</v>
      </c>
      <c r="AG49" s="417">
        <v>-30322.5</v>
      </c>
      <c r="AH49" s="417"/>
      <c r="AI49" s="417">
        <v>0</v>
      </c>
      <c r="AJ49" s="317">
        <f>SUM(OPX_LE3!$AC50:$AI50)</f>
        <v>-67120.5</v>
      </c>
      <c r="AK49" s="424">
        <v>0</v>
      </c>
      <c r="AL49" s="276">
        <f>SUM(OPX_LE3!$J50,OPX_LE3!$AB50,OPX_LE3!$S50,OPX_LE3!$AJ50,OPX_LE3!$R50,OPX_LE3!$AK50)</f>
        <v>-552512.5</v>
      </c>
      <c r="AM49" s="427">
        <v>0</v>
      </c>
    </row>
    <row r="50" spans="1:39" ht="15" hidden="1">
      <c r="A50" s="325" t="s">
        <v>106</v>
      </c>
      <c r="B50" s="322" t="str">
        <f>VLOOKUP(OPX_LE3!$A51,Tableau106[],3,FALSE)</f>
        <v>F069</v>
      </c>
      <c r="C50" s="322" t="str">
        <f>VLOOKUP(OPX_LE3!$A51,Tableau106[],2,FALSE)</f>
        <v>FR20E01E</v>
      </c>
      <c r="D50" s="322" t="str">
        <f>VLOOKUP(OPX_LE3!$A51,Tableau106[],8,FALSE)</f>
        <v>EOLIEN</v>
      </c>
      <c r="E50" s="324">
        <f>VLOOKUP(OPX_LE3!$A51,Tableau106[],4,FALSE)</f>
        <v>6</v>
      </c>
      <c r="F50" s="322" t="str">
        <f>VLOOKUP(OPX_LE3!$A51,Tableau106[],5,FALSE)</f>
        <v>CORS</v>
      </c>
      <c r="G50" s="322" t="str">
        <f>VLOOKUP(OPX_LE3!$A51,Tableau106[],7,FALSE)</f>
        <v>FUTUREN</v>
      </c>
      <c r="H50" s="322" t="str">
        <f>VLOOKUP(OPX_LE3!$A51,Tableau106[],6,FALSE)</f>
        <v>S</v>
      </c>
      <c r="I50" s="322" t="str">
        <f>VLOOKUP(OPX_LE3!$A51,Tableau106[],9,FALSE)</f>
        <v>SaH</v>
      </c>
      <c r="J50" s="254">
        <v>-3428</v>
      </c>
      <c r="K50" s="228"/>
      <c r="L50" s="228"/>
      <c r="M50" s="229">
        <f>+VLOOKUP(Tableau163[[#This Row],[CODE PI]],Tableau15[[CODE PI]:[Prestations diverses  &amp; accompagnements interne (1,6 k€ par jour d''acc)]],8,FALSE)</f>
        <v>0</v>
      </c>
      <c r="N50" s="229">
        <f>+VLOOKUP(Tableau163[[#This Row],[CODE PI]],Tableau15[[CODE PI]:[Prestations diverses  &amp; accompagnements interne (1,6 k€ par jour d''acc)]],9,FALSE)</f>
        <v>0</v>
      </c>
      <c r="O50" s="229">
        <f>+VLOOKUP(Tableau163[[#This Row],[CODE PI]],Tableau15[[CODE PI]:[Prestations diverses  &amp; accompagnements interne (1,6 k€ par jour d''acc)]],10,FALSE)</f>
        <v>0</v>
      </c>
      <c r="P50" s="229">
        <f>+VLOOKUP(Tableau163[[#This Row],[CODE PI]],Tableau15[[CODE PI]:[Prestations diverses  &amp; accompagnements interne (1,6 k€ par jour d''acc)]],11,FALSE)</f>
        <v>0</v>
      </c>
      <c r="Q50" s="230">
        <f>-250*OPX_LE3!$E51</f>
        <v>-1500</v>
      </c>
      <c r="R50" s="311">
        <f>SUM(OPX_LE3!$K51:$Q51)</f>
        <v>-1500</v>
      </c>
      <c r="S50" s="337">
        <v>-350585</v>
      </c>
      <c r="T50" s="361">
        <v>-2000</v>
      </c>
      <c r="U50" s="362">
        <v>0</v>
      </c>
      <c r="V50" s="361">
        <v>-6000</v>
      </c>
      <c r="W50" s="361">
        <v>-13500</v>
      </c>
      <c r="X50" s="361">
        <v>0</v>
      </c>
      <c r="Y50" s="361">
        <v>0</v>
      </c>
      <c r="Z50" s="264">
        <v>-1500</v>
      </c>
      <c r="AA50" s="423"/>
      <c r="AB50" s="273">
        <f>SUM(OPX_LE3!$T51:$AA51)</f>
        <v>-50600</v>
      </c>
      <c r="AC50" s="426">
        <f t="shared" si="0"/>
        <v>-11500</v>
      </c>
      <c r="AD50" s="426"/>
      <c r="AE50" s="417">
        <v>0</v>
      </c>
      <c r="AF50" s="417">
        <v>0</v>
      </c>
      <c r="AG50" s="417">
        <v>0</v>
      </c>
      <c r="AH50" s="417">
        <v>0</v>
      </c>
      <c r="AI50" s="417">
        <v>0</v>
      </c>
      <c r="AJ50" s="317">
        <f>SUM(OPX_LE3!$AC51:$AI51)</f>
        <v>0</v>
      </c>
      <c r="AK50" s="424">
        <v>0</v>
      </c>
      <c r="AL50" s="276">
        <f>SUM(OPX_LE3!$J51,OPX_LE3!$AB51,OPX_LE3!$S51,OPX_LE3!$AJ51,OPX_LE3!$R51,OPX_LE3!$AK51)</f>
        <v>-412685</v>
      </c>
      <c r="AM50" s="427">
        <v>0</v>
      </c>
    </row>
    <row r="51" spans="1:39" ht="15" hidden="1">
      <c r="A51" s="244" t="s">
        <v>443</v>
      </c>
      <c r="B51" s="232" t="str">
        <f>VLOOKUP(OPX_LE3!$A52,Tableau106[],3,FALSE)</f>
        <v>A051</v>
      </c>
      <c r="C51" s="232" t="str">
        <f>VLOOKUP(OPX_LE3!$A52,Tableau106[],2,FALSE)</f>
        <v>FR85E99E</v>
      </c>
      <c r="D51" s="232" t="str">
        <f>VLOOKUP(OPX_LE3!$A52,Tableau106[],8,FALSE)</f>
        <v>EOLIEN</v>
      </c>
      <c r="E51" s="233">
        <f>VLOOKUP(OPX_LE3!$A52,Tableau106[],4,FALSE)</f>
        <v>12</v>
      </c>
      <c r="F51" s="232" t="str">
        <f>VLOOKUP(OPX_LE3!$A52,Tableau106[],5,FALSE)</f>
        <v>JADE</v>
      </c>
      <c r="G51" s="232" t="str">
        <f>VLOOKUP(OPX_LE3!$A52,Tableau106[],7,FALSE)</f>
        <v>GROUPE</v>
      </c>
      <c r="H51" s="232" t="str">
        <f>VLOOKUP(OPX_LE3!$A52,Tableau106[],6,FALSE)</f>
        <v>N</v>
      </c>
      <c r="I51" s="232" t="str">
        <f>VLOOKUP(OPX_LE3!$A52,Tableau106[],9,FALSE)</f>
        <v>AyB</v>
      </c>
      <c r="J51" s="254">
        <v>0</v>
      </c>
      <c r="K51" s="228"/>
      <c r="L51" s="228"/>
      <c r="M51" s="229">
        <f>+VLOOKUP(Tableau163[[#This Row],[CODE PI]],Tableau15[[CODE PI]:[Prestations diverses  &amp; accompagnements interne (1,6 k€ par jour d''acc)]],8,FALSE)</f>
        <v>0</v>
      </c>
      <c r="N51" s="229">
        <f>+VLOOKUP(Tableau163[[#This Row],[CODE PI]],Tableau15[[CODE PI]:[Prestations diverses  &amp; accompagnements interne (1,6 k€ par jour d''acc)]],9,FALSE)</f>
        <v>0</v>
      </c>
      <c r="O51" s="229">
        <f>+VLOOKUP(Tableau163[[#This Row],[CODE PI]],Tableau15[[CODE PI]:[Prestations diverses  &amp; accompagnements interne (1,6 k€ par jour d''acc)]],10,FALSE)</f>
        <v>0</v>
      </c>
      <c r="P51" s="229">
        <f>+VLOOKUP(Tableau163[[#This Row],[CODE PI]],Tableau15[[CODE PI]:[Prestations diverses  &amp; accompagnements interne (1,6 k€ par jour d''acc)]],11,FALSE)</f>
        <v>-4200</v>
      </c>
      <c r="Q51" s="230">
        <f>-250*OPX_LE3!$E52</f>
        <v>-3000</v>
      </c>
      <c r="R51" s="311">
        <f>SUM(OPX_LE3!$K52:$Q52)</f>
        <v>-8280</v>
      </c>
      <c r="S51" s="337">
        <v>-111390</v>
      </c>
      <c r="T51" s="361">
        <v>-5000</v>
      </c>
      <c r="U51" s="362">
        <v>0</v>
      </c>
      <c r="V51" s="361">
        <v>-5000</v>
      </c>
      <c r="W51" s="361">
        <v>0</v>
      </c>
      <c r="X51" s="361">
        <v>0</v>
      </c>
      <c r="Y51" s="361">
        <v>0</v>
      </c>
      <c r="Z51" s="264">
        <v>-3000</v>
      </c>
      <c r="AA51" s="423"/>
      <c r="AB51" s="273">
        <f>SUM(OPX_LE3!$T52:$AA52)</f>
        <v>-429000</v>
      </c>
      <c r="AC51" s="426">
        <f t="shared" si="0"/>
        <v>-11500</v>
      </c>
      <c r="AD51" s="426"/>
      <c r="AE51" s="417">
        <v>-10000</v>
      </c>
      <c r="AF51" s="417">
        <v>-10000</v>
      </c>
      <c r="AG51" s="417">
        <v>-20000</v>
      </c>
      <c r="AH51" s="417">
        <v>0</v>
      </c>
      <c r="AI51" s="417">
        <v>-10000</v>
      </c>
      <c r="AJ51" s="317">
        <f>SUM(OPX_LE3!$AC52:$AI52)</f>
        <v>-33156</v>
      </c>
      <c r="AK51" s="424">
        <v>0</v>
      </c>
      <c r="AL51" s="276">
        <f>SUM(OPX_LE3!$J52,OPX_LE3!$AB52,OPX_LE3!$S52,OPX_LE3!$AJ52,OPX_LE3!$R52,OPX_LE3!$AK52)</f>
        <v>-592965</v>
      </c>
      <c r="AM51" s="427">
        <v>0</v>
      </c>
    </row>
    <row r="52" spans="1:39" ht="15" hidden="1">
      <c r="A52" s="325" t="s">
        <v>620</v>
      </c>
      <c r="B52" s="322" t="str">
        <f>VLOOKUP(OPX_LE3!$A53,Tableau106[],3,FALSE)</f>
        <v>A541</v>
      </c>
      <c r="C52" s="322" t="str">
        <f>VLOOKUP(OPX_LE3!$A53,Tableau106[],2,FALSE)</f>
        <v>FR55E02E</v>
      </c>
      <c r="D52" s="322" t="str">
        <f>VLOOKUP(OPX_LE3!$A53,Tableau106[],8,FALSE)</f>
        <v>EOLIEN</v>
      </c>
      <c r="E52" s="324">
        <f>VLOOKUP(OPX_LE3!$A53,Tableau106[],4,FALSE)</f>
        <v>12</v>
      </c>
      <c r="F52" s="322" t="str">
        <f>VLOOKUP(OPX_LE3!$A53,Tableau106[],5,FALSE)</f>
        <v>COUR</v>
      </c>
      <c r="G52" s="322" t="str">
        <f>VLOOKUP(OPX_LE3!$A53,Tableau106[],7,FALSE)</f>
        <v>EGM</v>
      </c>
      <c r="H52" s="322" t="str">
        <f>VLOOKUP(OPX_LE3!$A53,Tableau106[],6,FALSE)</f>
        <v>N</v>
      </c>
      <c r="I52" s="322" t="str">
        <f>VLOOKUP(OPX_LE3!$A53,Tableau106[],9,FALSE)</f>
        <v>BaB</v>
      </c>
      <c r="J52" s="254">
        <v>-309548</v>
      </c>
      <c r="K52" s="228"/>
      <c r="L52" s="228"/>
      <c r="M52" s="229">
        <f>+VLOOKUP(Tableau163[[#This Row],[CODE PI]],Tableau15[[CODE PI]:[Prestations diverses  &amp; accompagnements interne (1,6 k€ par jour d''acc)]],8,FALSE)</f>
        <v>0</v>
      </c>
      <c r="N52" s="229">
        <f>+VLOOKUP(Tableau163[[#This Row],[CODE PI]],Tableau15[[CODE PI]:[Prestations diverses  &amp; accompagnements interne (1,6 k€ par jour d''acc)]],9,FALSE)</f>
        <v>0</v>
      </c>
      <c r="O52" s="229">
        <f>+VLOOKUP(Tableau163[[#This Row],[CODE PI]],Tableau15[[CODE PI]:[Prestations diverses  &amp; accompagnements interne (1,6 k€ par jour d''acc)]],10,FALSE)</f>
        <v>0</v>
      </c>
      <c r="P52" s="229">
        <f>+VLOOKUP(Tableau163[[#This Row],[CODE PI]],Tableau15[[CODE PI]:[Prestations diverses  &amp; accompagnements interne (1,6 k€ par jour d''acc)]],11,FALSE)</f>
        <v>-4200</v>
      </c>
      <c r="Q52" s="230">
        <f>-250*OPX_LE3!$E53</f>
        <v>-3000</v>
      </c>
      <c r="R52" s="311">
        <f>SUM(OPX_LE3!$K53:$Q53)</f>
        <v>-161881</v>
      </c>
      <c r="S52" s="337">
        <v>0</v>
      </c>
      <c r="T52" s="361">
        <v>0</v>
      </c>
      <c r="U52" s="362">
        <v>0</v>
      </c>
      <c r="V52" s="361">
        <v>-1800</v>
      </c>
      <c r="W52" s="361">
        <v>0</v>
      </c>
      <c r="X52" s="361">
        <v>0</v>
      </c>
      <c r="Y52" s="361">
        <v>0</v>
      </c>
      <c r="Z52" s="264">
        <v>-3000</v>
      </c>
      <c r="AA52" s="423"/>
      <c r="AB52" s="273">
        <f>SUM(OPX_LE3!$T53:$AA53)</f>
        <v>-196529</v>
      </c>
      <c r="AC52" s="426">
        <f t="shared" si="0"/>
        <v>-11500</v>
      </c>
      <c r="AD52" s="426"/>
      <c r="AE52" s="417">
        <v>0</v>
      </c>
      <c r="AF52" s="417">
        <v>0</v>
      </c>
      <c r="AG52" s="417">
        <v>0</v>
      </c>
      <c r="AH52" s="417">
        <v>0</v>
      </c>
      <c r="AI52" s="417">
        <v>0</v>
      </c>
      <c r="AJ52" s="317">
        <f>SUM(OPX_LE3!$AC53:$AI53)</f>
        <v>0</v>
      </c>
      <c r="AK52" s="424">
        <v>0</v>
      </c>
      <c r="AL52" s="276">
        <f>SUM(OPX_LE3!$J53,OPX_LE3!$AB53,OPX_LE3!$S53,OPX_LE3!$AJ53,OPX_LE3!$R53,OPX_LE3!$AK53)</f>
        <v>-667958</v>
      </c>
      <c r="AM52" s="427">
        <v>0</v>
      </c>
    </row>
    <row r="53" spans="1:39" ht="15" hidden="1">
      <c r="A53" s="244" t="s">
        <v>486</v>
      </c>
      <c r="B53" s="232" t="str">
        <f>VLOOKUP(OPX_LE3!$A54,Tableau106[],3,FALSE)</f>
        <v>A290</v>
      </c>
      <c r="C53" s="232" t="str">
        <f>VLOOKUP(OPX_LE3!$A54,Tableau106[],2,FALSE)</f>
        <v>FR38S07E</v>
      </c>
      <c r="D53" s="232" t="str">
        <f>VLOOKUP(OPX_LE3!$A54,Tableau106[],8,FALSE)</f>
        <v>SOLAIRE</v>
      </c>
      <c r="E53" s="233">
        <f>VLOOKUP(OPX_LE3!$A54,Tableau106[],4,FALSE)</f>
        <v>10.8</v>
      </c>
      <c r="F53" s="232" t="str">
        <f>VLOOKUP(OPX_LE3!$A54,Tableau106[],5,FALSE)</f>
        <v>CRMA</v>
      </c>
      <c r="G53" s="232" t="str">
        <f>VLOOKUP(OPX_LE3!$A54,Tableau106[],7,FALSE)</f>
        <v>GROUPE</v>
      </c>
      <c r="H53" s="232" t="str">
        <f>VLOOKUP(OPX_LE3!$A54,Tableau106[],6,FALSE)</f>
        <v>S</v>
      </c>
      <c r="I53" s="232" t="str">
        <f>VLOOKUP(OPX_LE3!$A54,Tableau106[],9,FALSE)</f>
        <v>ZaA</v>
      </c>
      <c r="J53" s="254">
        <v>-48000</v>
      </c>
      <c r="K53" s="228"/>
      <c r="L53" s="228"/>
      <c r="M53" s="229">
        <f>+VLOOKUP(Tableau163[[#This Row],[CODE PI]],Tableau15[[CODE PI]:[Prestations diverses  &amp; accompagnements interne (1,6 k€ par jour d''acc)]],8,FALSE)</f>
        <v>0</v>
      </c>
      <c r="N53" s="229">
        <f>+VLOOKUP(Tableau163[[#This Row],[CODE PI]],Tableau15[[CODE PI]:[Prestations diverses  &amp; accompagnements interne (1,6 k€ par jour d''acc)]],9,FALSE)</f>
        <v>0</v>
      </c>
      <c r="O53" s="229">
        <f>+VLOOKUP(Tableau163[[#This Row],[CODE PI]],Tableau15[[CODE PI]:[Prestations diverses  &amp; accompagnements interne (1,6 k€ par jour d''acc)]],10,FALSE)</f>
        <v>0</v>
      </c>
      <c r="P53" s="229">
        <f>+VLOOKUP(Tableau163[[#This Row],[CODE PI]],Tableau15[[CODE PI]:[Prestations diverses  &amp; accompagnements interne (1,6 k€ par jour d''acc)]],11,FALSE)</f>
        <v>0</v>
      </c>
      <c r="Q53" s="230">
        <f>-250*OPX_LE3!$E54</f>
        <v>-2700</v>
      </c>
      <c r="R53" s="311">
        <f>SUM(OPX_LE3!$K54:$Q54)</f>
        <v>-7535.5</v>
      </c>
      <c r="S53" s="337">
        <v>0</v>
      </c>
      <c r="T53" s="361">
        <v>0</v>
      </c>
      <c r="U53" s="362">
        <v>0</v>
      </c>
      <c r="V53" s="361">
        <v>0</v>
      </c>
      <c r="W53" s="361">
        <v>0</v>
      </c>
      <c r="X53" s="361">
        <v>0</v>
      </c>
      <c r="Y53" s="361">
        <v>0</v>
      </c>
      <c r="Z53" s="264">
        <v>-2700</v>
      </c>
      <c r="AA53" s="423"/>
      <c r="AB53" s="273">
        <f>SUM(OPX_LE3!$T54:$AA54)</f>
        <v>-3240</v>
      </c>
      <c r="AC53" s="426">
        <f t="shared" si="0"/>
        <v>-11500</v>
      </c>
      <c r="AD53" s="426"/>
      <c r="AE53" s="417">
        <v>0</v>
      </c>
      <c r="AF53" s="417">
        <v>0</v>
      </c>
      <c r="AG53" s="417">
        <v>0</v>
      </c>
      <c r="AH53" s="417">
        <v>-10000</v>
      </c>
      <c r="AI53" s="417">
        <v>-9000</v>
      </c>
      <c r="AJ53" s="317">
        <f>SUM(OPX_LE3!$AC54:$AI54)</f>
        <v>-7944</v>
      </c>
      <c r="AK53" s="424">
        <v>0</v>
      </c>
      <c r="AL53" s="276">
        <f>SUM(OPX_LE3!$J54,OPX_LE3!$AB54,OPX_LE3!$S54,OPX_LE3!$AJ54,OPX_LE3!$R54,OPX_LE3!$AK54)</f>
        <v>-94074.5</v>
      </c>
      <c r="AM53" s="427">
        <v>0</v>
      </c>
    </row>
    <row r="54" spans="1:39" ht="15" hidden="1">
      <c r="A54" s="325" t="s">
        <v>487</v>
      </c>
      <c r="B54" s="322" t="str">
        <f>VLOOKUP(OPX_LE3!$A55,Tableau106[],3,FALSE)</f>
        <v>A385</v>
      </c>
      <c r="C54" s="322" t="str">
        <f>VLOOKUP(OPX_LE3!$A55,Tableau106[],2,FALSE)</f>
        <v>FR28S02E</v>
      </c>
      <c r="D54" s="322" t="str">
        <f>VLOOKUP(OPX_LE3!$A55,Tableau106[],8,FALSE)</f>
        <v>SOLAIRE</v>
      </c>
      <c r="E54" s="324">
        <f>VLOOKUP(OPX_LE3!$A55,Tableau106[],4,FALSE)</f>
        <v>36</v>
      </c>
      <c r="F54" s="322" t="str">
        <f>VLOOKUP(OPX_LE3!$A55,Tableau106[],5,FALSE)</f>
        <v>CY11, CY12, CY13</v>
      </c>
      <c r="G54" s="322" t="str">
        <f>VLOOKUP(OPX_LE3!$A55,Tableau106[],7,FALSE)</f>
        <v>GROUPE</v>
      </c>
      <c r="H54" s="322" t="str">
        <f>VLOOKUP(OPX_LE3!$A55,Tableau106[],6,FALSE)</f>
        <v>N</v>
      </c>
      <c r="I54" s="322" t="str">
        <f>VLOOKUP(OPX_LE3!$A55,Tableau106[],9,FALSE)</f>
        <v>LoG</v>
      </c>
      <c r="J54" s="254">
        <v>-795942</v>
      </c>
      <c r="K54" s="228"/>
      <c r="L54" s="228"/>
      <c r="M54" s="229">
        <f>+VLOOKUP(Tableau163[[#This Row],[CODE PI]],Tableau15[[CODE PI]:[Prestations diverses  &amp; accompagnements interne (1,6 k€ par jour d''acc)]],8,FALSE)</f>
        <v>-27000</v>
      </c>
      <c r="N54" s="229">
        <f>+VLOOKUP(Tableau163[[#This Row],[CODE PI]],Tableau15[[CODE PI]:[Prestations diverses  &amp; accompagnements interne (1,6 k€ par jour d''acc)]],9,FALSE)</f>
        <v>0</v>
      </c>
      <c r="O54" s="229">
        <f>+VLOOKUP(Tableau163[[#This Row],[CODE PI]],Tableau15[[CODE PI]:[Prestations diverses  &amp; accompagnements interne (1,6 k€ par jour d''acc)]],10,FALSE)</f>
        <v>0</v>
      </c>
      <c r="P54" s="229">
        <f>+VLOOKUP(Tableau163[[#This Row],[CODE PI]],Tableau15[[CODE PI]:[Prestations diverses  &amp; accompagnements interne (1,6 k€ par jour d''acc)]],11,FALSE)</f>
        <v>0</v>
      </c>
      <c r="Q54" s="230">
        <f>-250*OPX_LE3!$E55</f>
        <v>-9000</v>
      </c>
      <c r="R54" s="311">
        <f>SUM(OPX_LE3!$K55:$Q55)</f>
        <v>-108030</v>
      </c>
      <c r="S54" s="337">
        <v>0</v>
      </c>
      <c r="T54" s="361">
        <v>0</v>
      </c>
      <c r="U54" s="362">
        <v>0</v>
      </c>
      <c r="V54" s="361">
        <v>-30000</v>
      </c>
      <c r="W54" s="361">
        <v>0</v>
      </c>
      <c r="X54" s="361">
        <v>0</v>
      </c>
      <c r="Y54" s="361">
        <v>0</v>
      </c>
      <c r="Z54" s="264">
        <v>-9000</v>
      </c>
      <c r="AA54" s="423"/>
      <c r="AB54" s="273">
        <f>SUM(OPX_LE3!$T55:$AA55)</f>
        <v>-257600</v>
      </c>
      <c r="AC54" s="426">
        <f t="shared" si="0"/>
        <v>-11500</v>
      </c>
      <c r="AD54" s="426"/>
      <c r="AE54" s="417">
        <v>0</v>
      </c>
      <c r="AF54" s="417">
        <v>0</v>
      </c>
      <c r="AG54" s="417">
        <v>0</v>
      </c>
      <c r="AH54" s="417">
        <v>0</v>
      </c>
      <c r="AI54" s="417">
        <v>-10000</v>
      </c>
      <c r="AJ54" s="317">
        <f>SUM(OPX_LE3!$AC55:$AI55)</f>
        <v>-12226</v>
      </c>
      <c r="AK54" s="424">
        <v>-48000</v>
      </c>
      <c r="AL54" s="276">
        <f>SUM(OPX_LE3!$J55,OPX_LE3!$AB55,OPX_LE3!$S55,OPX_LE3!$AJ55,OPX_LE3!$R55,OPX_LE3!$AK55)</f>
        <v>-1221798</v>
      </c>
      <c r="AM54" s="427">
        <v>0</v>
      </c>
    </row>
    <row r="55" spans="1:39" ht="15" hidden="1">
      <c r="A55" s="244" t="s">
        <v>118</v>
      </c>
      <c r="B55" s="232" t="str">
        <f>VLOOKUP(OPX_LE3!$A56,Tableau106[],3,FALSE)</f>
        <v>F142</v>
      </c>
      <c r="C55" s="232" t="str">
        <f>VLOOKUP(OPX_LE3!$A56,Tableau106[],2,FALSE)</f>
        <v>FR55E14E</v>
      </c>
      <c r="D55" s="232" t="str">
        <f>VLOOKUP(OPX_LE3!$A56,Tableau106[],8,FALSE)</f>
        <v>EOLIEN</v>
      </c>
      <c r="E55" s="233">
        <f>VLOOKUP(OPX_LE3!$A56,Tableau106[],4,FALSE)</f>
        <v>19.8</v>
      </c>
      <c r="F55" s="232" t="str">
        <f>VLOOKUP(OPX_LE3!$A56,Tableau106[],5,FALSE)</f>
        <v>DEM1, DEM2</v>
      </c>
      <c r="G55" s="232" t="str">
        <f>VLOOKUP(OPX_LE3!$A56,Tableau106[],7,FALSE)</f>
        <v>FUTUREN</v>
      </c>
      <c r="H55" s="232" t="str">
        <f>VLOOKUP(OPX_LE3!$A56,Tableau106[],6,FALSE)</f>
        <v>N</v>
      </c>
      <c r="I55" s="232" t="str">
        <f>VLOOKUP(OPX_LE3!$A56,Tableau106[],9,FALSE)</f>
        <v>NiL</v>
      </c>
      <c r="J55" s="254">
        <v>-12533</v>
      </c>
      <c r="K55" s="228"/>
      <c r="L55" s="228"/>
      <c r="M55" s="229">
        <f>+VLOOKUP(Tableau163[[#This Row],[CODE PI]],Tableau15[[CODE PI]:[Prestations diverses  &amp; accompagnements interne (1,6 k€ par jour d''acc)]],8,FALSE)</f>
        <v>0</v>
      </c>
      <c r="N55" s="229">
        <f>+VLOOKUP(Tableau163[[#This Row],[CODE PI]],Tableau15[[CODE PI]:[Prestations diverses  &amp; accompagnements interne (1,6 k€ par jour d''acc)]],9,FALSE)</f>
        <v>0</v>
      </c>
      <c r="O55" s="229">
        <f>+VLOOKUP(Tableau163[[#This Row],[CODE PI]],Tableau15[[CODE PI]:[Prestations diverses  &amp; accompagnements interne (1,6 k€ par jour d''acc)]],10,FALSE)</f>
        <v>0</v>
      </c>
      <c r="P55" s="229">
        <f>+VLOOKUP(Tableau163[[#This Row],[CODE PI]],Tableau15[[CODE PI]:[Prestations diverses  &amp; accompagnements interne (1,6 k€ par jour d''acc)]],11,FALSE)</f>
        <v>0</v>
      </c>
      <c r="Q55" s="230">
        <f>-250*OPX_LE3!$E56</f>
        <v>-4950</v>
      </c>
      <c r="R55" s="311">
        <f>SUM(OPX_LE3!$K56:$Q56)</f>
        <v>-13626</v>
      </c>
      <c r="S55" s="337">
        <v>-331854</v>
      </c>
      <c r="T55" s="361">
        <v>0</v>
      </c>
      <c r="U55" s="362">
        <v>0</v>
      </c>
      <c r="V55" s="361">
        <v>-3600</v>
      </c>
      <c r="W55" s="361">
        <v>0</v>
      </c>
      <c r="X55" s="361">
        <v>0</v>
      </c>
      <c r="Y55" s="361">
        <v>0</v>
      </c>
      <c r="Z55" s="264">
        <v>-4950</v>
      </c>
      <c r="AA55" s="423"/>
      <c r="AB55" s="273">
        <f>SUM(OPX_LE3!$T56:$AA56)</f>
        <v>-16356</v>
      </c>
      <c r="AC55" s="426">
        <f t="shared" si="0"/>
        <v>-11500</v>
      </c>
      <c r="AD55" s="426"/>
      <c r="AE55" s="417">
        <v>-20000</v>
      </c>
      <c r="AF55" s="417">
        <v>0</v>
      </c>
      <c r="AG55" s="417">
        <v>0</v>
      </c>
      <c r="AH55" s="417">
        <v>0</v>
      </c>
      <c r="AI55" s="417">
        <v>0</v>
      </c>
      <c r="AJ55" s="317">
        <f>SUM(OPX_LE3!$AC56:$AI56)</f>
        <v>0</v>
      </c>
      <c r="AK55" s="424">
        <v>0</v>
      </c>
      <c r="AL55" s="276">
        <f>SUM(OPX_LE3!$J56,OPX_LE3!$AB56,OPX_LE3!$S56,OPX_LE3!$AJ56,OPX_LE3!$R56,OPX_LE3!$AK56)</f>
        <v>-374369</v>
      </c>
      <c r="AM55" s="427">
        <v>0</v>
      </c>
    </row>
    <row r="56" spans="1:39" ht="15" hidden="1">
      <c r="A56" s="325" t="s">
        <v>636</v>
      </c>
      <c r="B56" s="322" t="str">
        <f>VLOOKUP(OPX_LE3!$A57,Tableau106[],3,FALSE)</f>
        <v>A955</v>
      </c>
      <c r="C56" s="322" t="str">
        <f>VLOOKUP(OPX_LE3!$A57,Tableau106[],2,FALSE)</f>
        <v>FR01S08E</v>
      </c>
      <c r="D56" s="322" t="str">
        <f>VLOOKUP(OPX_LE3!$A57,Tableau106[],8,FALSE)</f>
        <v>SOLAIRE</v>
      </c>
      <c r="E56" s="324">
        <f>VLOOKUP(OPX_LE3!$A57,Tableau106[],4,FALSE)</f>
        <v>2.2000000000000002</v>
      </c>
      <c r="F56" s="322" t="str">
        <f>VLOOKUP(OPX_LE3!$A57,Tableau106[],5,FALSE)</f>
        <v>DROM</v>
      </c>
      <c r="G56" s="322" t="str">
        <f>VLOOKUP(OPX_LE3!$A57,Tableau106[],7,FALSE)</f>
        <v>GROUPE</v>
      </c>
      <c r="H56" s="322" t="str">
        <f>VLOOKUP(OPX_LE3!$A57,Tableau106[],6,FALSE)</f>
        <v>S</v>
      </c>
      <c r="I56" s="322" t="e">
        <f>VLOOKUP(OPX_LE3!$A57,Tableau106[],9,FALSE)</f>
        <v>#N/A</v>
      </c>
      <c r="J56" s="254"/>
      <c r="K56" s="228"/>
      <c r="L56" s="228"/>
      <c r="M56" s="229">
        <f>+VLOOKUP(Tableau163[[#This Row],[CODE PI]],Tableau15[[CODE PI]:[Prestations diverses  &amp; accompagnements interne (1,6 k€ par jour d''acc)]],8,FALSE)</f>
        <v>0</v>
      </c>
      <c r="N56" s="229">
        <f>+VLOOKUP(Tableau163[[#This Row],[CODE PI]],Tableau15[[CODE PI]:[Prestations diverses  &amp; accompagnements interne (1,6 k€ par jour d''acc)]],9,FALSE)</f>
        <v>0</v>
      </c>
      <c r="O56" s="229">
        <f>+VLOOKUP(Tableau163[[#This Row],[CODE PI]],Tableau15[[CODE PI]:[Prestations diverses  &amp; accompagnements interne (1,6 k€ par jour d''acc)]],10,FALSE)</f>
        <v>0</v>
      </c>
      <c r="P56" s="229">
        <f>+VLOOKUP(Tableau163[[#This Row],[CODE PI]],Tableau15[[CODE PI]:[Prestations diverses  &amp; accompagnements interne (1,6 k€ par jour d''acc)]],11,FALSE)</f>
        <v>0</v>
      </c>
      <c r="Q56" s="230">
        <f>-250*OPX_LE3!$E57</f>
        <v>-550</v>
      </c>
      <c r="R56" s="311">
        <f>SUM(OPX_LE3!$K57:$Q57)</f>
        <v>-2150</v>
      </c>
      <c r="S56" s="337"/>
      <c r="T56" s="361">
        <v>0</v>
      </c>
      <c r="U56" s="362">
        <v>0</v>
      </c>
      <c r="V56" s="361">
        <v>0</v>
      </c>
      <c r="W56" s="361">
        <v>0</v>
      </c>
      <c r="X56" s="361">
        <v>0</v>
      </c>
      <c r="Y56" s="361">
        <v>0</v>
      </c>
      <c r="Z56" s="264">
        <v>-550</v>
      </c>
      <c r="AA56" s="423"/>
      <c r="AB56" s="273">
        <f>SUM(OPX_LE3!$T57:$AA57)</f>
        <v>-550</v>
      </c>
      <c r="AC56" s="426">
        <f t="shared" si="0"/>
        <v>-11500</v>
      </c>
      <c r="AD56" s="426"/>
      <c r="AE56" s="417">
        <v>0</v>
      </c>
      <c r="AF56" s="417">
        <v>0</v>
      </c>
      <c r="AG56" s="417">
        <v>0</v>
      </c>
      <c r="AH56" s="417">
        <v>0</v>
      </c>
      <c r="AI56" s="417">
        <v>0</v>
      </c>
      <c r="AJ56" s="317">
        <f>SUM(OPX_LE3!$AC57:$AI57)</f>
        <v>0</v>
      </c>
      <c r="AK56" s="424">
        <v>0</v>
      </c>
      <c r="AL56" s="276">
        <f>SUM(OPX_LE3!$J57,OPX_LE3!$AB57,OPX_LE3!$S57,OPX_LE3!$AJ57,OPX_LE3!$R57,OPX_LE3!$AK57)</f>
        <v>-18700</v>
      </c>
      <c r="AM56" s="427">
        <v>0</v>
      </c>
    </row>
    <row r="57" spans="1:39" ht="15" hidden="1">
      <c r="A57" s="244" t="s">
        <v>541</v>
      </c>
      <c r="B57" s="232" t="str">
        <f>VLOOKUP(OPX_LE3!$A58,Tableau106[],3,FALSE)</f>
        <v>A900</v>
      </c>
      <c r="C57" s="232" t="str">
        <f>VLOOKUP(OPX_LE3!$A58,Tableau106[],2,FALSE)</f>
        <v>FR66E99E</v>
      </c>
      <c r="D57" s="232" t="str">
        <f>VLOOKUP(OPX_LE3!$A58,Tableau106[],8,FALSE)</f>
        <v>EOLIEN</v>
      </c>
      <c r="E57" s="233">
        <f>VLOOKUP(OPX_LE3!$A58,Tableau106[],4,FALSE)</f>
        <v>96</v>
      </c>
      <c r="F57" s="232" t="str">
        <f>VLOOKUP(OPX_LE3!$A58,Tableau106[],5,FALSE)</f>
        <v>PEZI</v>
      </c>
      <c r="G57" s="232" t="str">
        <f>VLOOKUP(OPX_LE3!$A58,Tableau106[],7,FALSE)</f>
        <v>GROUPE</v>
      </c>
      <c r="H57" s="232" t="str">
        <f>VLOOKUP(OPX_LE3!$A58,Tableau106[],6,FALSE)</f>
        <v>S</v>
      </c>
      <c r="I57" s="232" t="str">
        <f>VLOOKUP(OPX_LE3!$A58,Tableau106[],9,FALSE)</f>
        <v>PiM</v>
      </c>
      <c r="J57" s="254">
        <v>-2521859</v>
      </c>
      <c r="K57" s="228"/>
      <c r="L57" s="228"/>
      <c r="M57" s="229">
        <f>+VLOOKUP(Tableau163[[#This Row],[CODE PI]],Tableau15[[CODE PI]:[Prestations diverses  &amp; accompagnements interne (1,6 k€ par jour d''acc)]],8,FALSE)</f>
        <v>0</v>
      </c>
      <c r="N57" s="229">
        <f>+VLOOKUP(Tableau163[[#This Row],[CODE PI]],Tableau15[[CODE PI]:[Prestations diverses  &amp; accompagnements interne (1,6 k€ par jour d''acc)]],9,FALSE)</f>
        <v>0</v>
      </c>
      <c r="O57" s="229">
        <f>+VLOOKUP(Tableau163[[#This Row],[CODE PI]],Tableau15[[CODE PI]:[Prestations diverses  &amp; accompagnements interne (1,6 k€ par jour d''acc)]],10,FALSE)</f>
        <v>-3000</v>
      </c>
      <c r="P57" s="229">
        <f>+VLOOKUP(Tableau163[[#This Row],[CODE PI]],Tableau15[[CODE PI]:[Prestations diverses  &amp; accompagnements interne (1,6 k€ par jour d''acc)]],11,FALSE)</f>
        <v>-33600</v>
      </c>
      <c r="Q57" s="230">
        <f>-250*OPX_LE3!$E58</f>
        <v>-24000</v>
      </c>
      <c r="R57" s="311">
        <f>SUM(OPX_LE3!$K58:$Q58)</f>
        <v>-213548.7</v>
      </c>
      <c r="S57" s="337">
        <v>-14873</v>
      </c>
      <c r="T57" s="361">
        <v>-70000</v>
      </c>
      <c r="U57" s="362">
        <v>0</v>
      </c>
      <c r="V57" s="361">
        <v>-30000</v>
      </c>
      <c r="W57" s="361">
        <v>0</v>
      </c>
      <c r="X57" s="361">
        <v>-9000</v>
      </c>
      <c r="Y57" s="361">
        <v>0</v>
      </c>
      <c r="Z57" s="264">
        <v>-13000</v>
      </c>
      <c r="AA57" s="423"/>
      <c r="AB57" s="273">
        <f>SUM(OPX_LE3!$T58:$AA58)</f>
        <v>-336096.92</v>
      </c>
      <c r="AC57" s="426">
        <f t="shared" si="0"/>
        <v>-11500</v>
      </c>
      <c r="AD57" s="426"/>
      <c r="AE57" s="417">
        <v>0</v>
      </c>
      <c r="AF57" s="417">
        <v>0</v>
      </c>
      <c r="AG57" s="417">
        <v>0</v>
      </c>
      <c r="AH57" s="417">
        <v>-13000</v>
      </c>
      <c r="AI57" s="417">
        <v>-10000</v>
      </c>
      <c r="AJ57" s="317">
        <f>SUM(OPX_LE3!$AC58:$AI58)</f>
        <v>-128000</v>
      </c>
      <c r="AK57" s="424">
        <v>0</v>
      </c>
      <c r="AL57" s="276">
        <f>SUM(OPX_LE3!$J58,OPX_LE3!$AB58,OPX_LE3!$S58,OPX_LE3!$AJ58,OPX_LE3!$R58,OPX_LE3!$AK58)</f>
        <v>-3243483.7</v>
      </c>
      <c r="AM57" s="427">
        <v>0</v>
      </c>
    </row>
    <row r="58" spans="1:39" ht="15" hidden="1">
      <c r="A58" s="325" t="s">
        <v>491</v>
      </c>
      <c r="B58" s="322" t="str">
        <f>VLOOKUP(OPX_LE3!$A59,Tableau106[],3,FALSE)</f>
        <v>A266</v>
      </c>
      <c r="C58" s="322" t="str">
        <f>VLOOKUP(OPX_LE3!$A59,Tableau106[],2,FALSE)</f>
        <v>FR71S05E</v>
      </c>
      <c r="D58" s="322" t="str">
        <f>VLOOKUP(OPX_LE3!$A59,Tableau106[],8,FALSE)</f>
        <v>SOLAIRE</v>
      </c>
      <c r="E58" s="324">
        <f>VLOOKUP(OPX_LE3!$A59,Tableau106[],4,FALSE)</f>
        <v>3.1</v>
      </c>
      <c r="F58" s="322" t="str">
        <f>VLOOKUP(OPX_LE3!$A59,Tableau106[],5,FALSE)</f>
        <v>EPIN</v>
      </c>
      <c r="G58" s="322" t="str">
        <f>VLOOKUP(OPX_LE3!$A59,Tableau106[],7,FALSE)</f>
        <v>GROUPE</v>
      </c>
      <c r="H58" s="322" t="str">
        <f>VLOOKUP(OPX_LE3!$A59,Tableau106[],6,FALSE)</f>
        <v>N</v>
      </c>
      <c r="I58" s="322" t="str">
        <f>VLOOKUP(OPX_LE3!$A59,Tableau106[],9,FALSE)</f>
        <v>LoG</v>
      </c>
      <c r="J58" s="254"/>
      <c r="K58" s="228"/>
      <c r="L58" s="228"/>
      <c r="M58" s="229">
        <f>+VLOOKUP(Tableau163[[#This Row],[CODE PI]],Tableau15[[CODE PI]:[Prestations diverses  &amp; accompagnements interne (1,6 k€ par jour d''acc)]],8,FALSE)</f>
        <v>0</v>
      </c>
      <c r="N58" s="229">
        <f>+VLOOKUP(Tableau163[[#This Row],[CODE PI]],Tableau15[[CODE PI]:[Prestations diverses  &amp; accompagnements interne (1,6 k€ par jour d''acc)]],9,FALSE)</f>
        <v>0</v>
      </c>
      <c r="O58" s="229">
        <f>+VLOOKUP(Tableau163[[#This Row],[CODE PI]],Tableau15[[CODE PI]:[Prestations diverses  &amp; accompagnements interne (1,6 k€ par jour d''acc)]],10,FALSE)</f>
        <v>0</v>
      </c>
      <c r="P58" s="229">
        <f>+VLOOKUP(Tableau163[[#This Row],[CODE PI]],Tableau15[[CODE PI]:[Prestations diverses  &amp; accompagnements interne (1,6 k€ par jour d''acc)]],11,FALSE)</f>
        <v>0</v>
      </c>
      <c r="Q58" s="230">
        <f>-250*OPX_LE3!$E59</f>
        <v>-775</v>
      </c>
      <c r="R58" s="311">
        <f>SUM(OPX_LE3!$K59:$Q59)</f>
        <v>-2015</v>
      </c>
      <c r="S58" s="337"/>
      <c r="T58" s="361">
        <v>0</v>
      </c>
      <c r="U58" s="362">
        <v>0</v>
      </c>
      <c r="V58" s="361">
        <v>0</v>
      </c>
      <c r="W58" s="361">
        <v>0</v>
      </c>
      <c r="X58" s="361">
        <v>0</v>
      </c>
      <c r="Y58" s="361">
        <v>0</v>
      </c>
      <c r="Z58" s="264">
        <v>-775</v>
      </c>
      <c r="AA58" s="423"/>
      <c r="AB58" s="273">
        <f>SUM(OPX_LE3!$T59:$AA59)</f>
        <v>0</v>
      </c>
      <c r="AC58" s="426">
        <f t="shared" si="0"/>
        <v>-11500</v>
      </c>
      <c r="AD58" s="426"/>
      <c r="AE58" s="417">
        <v>0</v>
      </c>
      <c r="AF58" s="417">
        <v>0</v>
      </c>
      <c r="AG58" s="417">
        <v>0</v>
      </c>
      <c r="AH58" s="417">
        <v>0</v>
      </c>
      <c r="AI58" s="417">
        <v>0</v>
      </c>
      <c r="AJ58" s="317">
        <f>SUM(OPX_LE3!$AC59:$AI59)</f>
        <v>0</v>
      </c>
      <c r="AK58" s="424">
        <v>0</v>
      </c>
      <c r="AL58" s="276">
        <f>SUM(OPX_LE3!$J59,OPX_LE3!$AB59,OPX_LE3!$S59,OPX_LE3!$AJ59,OPX_LE3!$R59,OPX_LE3!$AK59)</f>
        <v>-14415</v>
      </c>
      <c r="AM58" s="427">
        <v>0</v>
      </c>
    </row>
    <row r="59" spans="1:39" ht="15" hidden="1">
      <c r="A59" s="244" t="s">
        <v>506</v>
      </c>
      <c r="B59" s="232" t="str">
        <f>VLOOKUP(OPX_LE3!$A60,Tableau106[],3,FALSE)</f>
        <v>A541</v>
      </c>
      <c r="C59" s="232" t="str">
        <f>VLOOKUP(OPX_LE3!$A60,Tableau106[],2,FALSE)</f>
        <v>FR55E03E</v>
      </c>
      <c r="D59" s="232" t="str">
        <f>VLOOKUP(OPX_LE3!$A60,Tableau106[],8,FALSE)</f>
        <v>EOLIEN</v>
      </c>
      <c r="E59" s="233">
        <f>VLOOKUP(OPX_LE3!$A60,Tableau106[],4,FALSE)</f>
        <v>11.5</v>
      </c>
      <c r="F59" s="232" t="str">
        <f>VLOOKUP(OPX_LE3!$A60,Tableau106[],5,FALSE)</f>
        <v>ERIZ</v>
      </c>
      <c r="G59" s="232" t="str">
        <f>VLOOKUP(OPX_LE3!$A60,Tableau106[],7,FALSE)</f>
        <v>EGM</v>
      </c>
      <c r="H59" s="232" t="str">
        <f>VLOOKUP(OPX_LE3!$A60,Tableau106[],6,FALSE)</f>
        <v>N</v>
      </c>
      <c r="I59" s="232" t="str">
        <f>VLOOKUP(OPX_LE3!$A60,Tableau106[],9,FALSE)</f>
        <v>MaA</v>
      </c>
      <c r="J59" s="254">
        <v>-309548</v>
      </c>
      <c r="K59" s="228"/>
      <c r="L59" s="228"/>
      <c r="M59" s="229">
        <f>+VLOOKUP(Tableau163[[#This Row],[CODE PI]],Tableau15[[CODE PI]:[Prestations diverses  &amp; accompagnements interne (1,6 k€ par jour d''acc)]],8,FALSE)</f>
        <v>0</v>
      </c>
      <c r="N59" s="229">
        <f>+VLOOKUP(Tableau163[[#This Row],[CODE PI]],Tableau15[[CODE PI]:[Prestations diverses  &amp; accompagnements interne (1,6 k€ par jour d''acc)]],9,FALSE)</f>
        <v>0</v>
      </c>
      <c r="O59" s="229">
        <f>+VLOOKUP(Tableau163[[#This Row],[CODE PI]],Tableau15[[CODE PI]:[Prestations diverses  &amp; accompagnements interne (1,6 k€ par jour d''acc)]],10,FALSE)</f>
        <v>0</v>
      </c>
      <c r="P59" s="229">
        <f>+VLOOKUP(Tableau163[[#This Row],[CODE PI]],Tableau15[[CODE PI]:[Prestations diverses  &amp; accompagnements interne (1,6 k€ par jour d''acc)]],11,FALSE)</f>
        <v>-4025</v>
      </c>
      <c r="Q59" s="230">
        <f>-250*OPX_LE3!$E60</f>
        <v>-2875</v>
      </c>
      <c r="R59" s="311">
        <f>SUM(OPX_LE3!$K60:$Q60)</f>
        <v>-171900</v>
      </c>
      <c r="S59" s="337">
        <v>0</v>
      </c>
      <c r="T59" s="361">
        <v>0</v>
      </c>
      <c r="U59" s="362">
        <v>0</v>
      </c>
      <c r="V59" s="361">
        <v>-2000</v>
      </c>
      <c r="W59" s="361">
        <v>0</v>
      </c>
      <c r="X59" s="361">
        <v>0</v>
      </c>
      <c r="Y59" s="361">
        <v>0</v>
      </c>
      <c r="Z59" s="264">
        <v>-2875</v>
      </c>
      <c r="AA59" s="423"/>
      <c r="AB59" s="273">
        <f>SUM(OPX_LE3!$T60:$AA60)</f>
        <v>-6065</v>
      </c>
      <c r="AC59" s="426">
        <f t="shared" si="0"/>
        <v>-11500</v>
      </c>
      <c r="AD59" s="426"/>
      <c r="AE59" s="417">
        <v>0</v>
      </c>
      <c r="AF59" s="417">
        <v>0</v>
      </c>
      <c r="AG59" s="417">
        <v>0</v>
      </c>
      <c r="AH59" s="417">
        <v>0</v>
      </c>
      <c r="AI59" s="417">
        <v>0</v>
      </c>
      <c r="AJ59" s="317">
        <f>SUM(OPX_LE3!$AC60:$AI60)</f>
        <v>0</v>
      </c>
      <c r="AK59" s="424">
        <v>0</v>
      </c>
      <c r="AL59" s="276">
        <f>SUM(OPX_LE3!$J60,OPX_LE3!$AB60,OPX_LE3!$S60,OPX_LE3!$AJ60,OPX_LE3!$R60,OPX_LE3!$AK60)</f>
        <v>-501093</v>
      </c>
      <c r="AM59" s="427">
        <v>0</v>
      </c>
    </row>
    <row r="60" spans="1:39" ht="15">
      <c r="A60" s="325" t="s">
        <v>526</v>
      </c>
      <c r="B60" s="322" t="str">
        <f>VLOOKUP(OPX_LE3!$A61,Tableau106[],3,FALSE)</f>
        <v>A967</v>
      </c>
      <c r="C60" s="322" t="str">
        <f>VLOOKUP(OPX_LE3!$A61,Tableau106[],2,FALSE)</f>
        <v>FR28E97E</v>
      </c>
      <c r="D60" s="322" t="str">
        <f>VLOOKUP(OPX_LE3!$A61,Tableau106[],8,FALSE)</f>
        <v>EOLIEN</v>
      </c>
      <c r="E60" s="324">
        <f>VLOOKUP(OPX_LE3!$A61,Tableau106[],4,FALSE)</f>
        <v>17</v>
      </c>
      <c r="F60" s="322" t="str">
        <f>VLOOKUP(OPX_LE3!$A61,Tableau106[],5,FALSE)</f>
        <v>ESPS</v>
      </c>
      <c r="G60" s="322" t="str">
        <f>VLOOKUP(OPX_LE3!$A61,Tableau106[],7,FALSE)</f>
        <v>FUTUREN</v>
      </c>
      <c r="H60" s="322" t="str">
        <f>VLOOKUP(OPX_LE3!$A61,Tableau106[],6,FALSE)</f>
        <v>N</v>
      </c>
      <c r="I60" s="322" t="str">
        <f>VLOOKUP(OPX_LE3!$A61,Tableau106[],9,FALSE)</f>
        <v>AlY</v>
      </c>
      <c r="J60" s="254">
        <v>-23738</v>
      </c>
      <c r="K60" s="228"/>
      <c r="L60" s="228"/>
      <c r="M60" s="229">
        <f>-2500-750-600</f>
        <v>-3850</v>
      </c>
      <c r="N60" s="229">
        <v>-3600</v>
      </c>
      <c r="O60" s="229">
        <f>+VLOOKUP(Tableau163[[#This Row],[CODE PI]],Tableau15[[CODE PI]:[Prestations diverses  &amp; accompagnements interne (1,6 k€ par jour d''acc)]],10,FALSE)</f>
        <v>0</v>
      </c>
      <c r="P60" s="229">
        <f>+VLOOKUP(Tableau163[[#This Row],[CODE PI]],Tableau15[[CODE PI]:[Prestations diverses  &amp; accompagnements interne (1,6 k€ par jour d''acc)]],11,FALSE)</f>
        <v>-6300</v>
      </c>
      <c r="Q60" s="230">
        <f>-250*OPX_LE3!$E61</f>
        <v>-4250</v>
      </c>
      <c r="R60" s="311">
        <f>SUM(OPX_LE3!$K61:$Q61)</f>
        <v>-15750</v>
      </c>
      <c r="S60" s="337">
        <v>-281447</v>
      </c>
      <c r="T60" s="361">
        <v>0</v>
      </c>
      <c r="U60" s="362">
        <v>0</v>
      </c>
      <c r="V60" s="361">
        <v>0</v>
      </c>
      <c r="W60" s="361">
        <v>-1000</v>
      </c>
      <c r="X60" s="361">
        <v>0</v>
      </c>
      <c r="Y60" s="361">
        <v>0</v>
      </c>
      <c r="Z60" s="264">
        <v>-4250</v>
      </c>
      <c r="AA60" s="423"/>
      <c r="AB60" s="273">
        <f>SUM(OPX_LE3!$T61:$AA61)</f>
        <v>-11000</v>
      </c>
      <c r="AC60" s="426">
        <f t="shared" si="0"/>
        <v>-11500</v>
      </c>
      <c r="AD60" s="426"/>
      <c r="AE60" s="417">
        <v>0</v>
      </c>
      <c r="AF60" s="417">
        <v>0</v>
      </c>
      <c r="AG60" s="417">
        <v>-12000</v>
      </c>
      <c r="AH60" s="417">
        <v>-3000</v>
      </c>
      <c r="AI60" s="417">
        <v>-4200</v>
      </c>
      <c r="AJ60" s="317">
        <f>SUM(OPX_LE3!$AC61:$AI61)</f>
        <v>-7543.2</v>
      </c>
      <c r="AK60" s="424">
        <v>0</v>
      </c>
      <c r="AL60" s="276">
        <f>SUM(OPX_LE3!$J61,OPX_LE3!$AB61,OPX_LE3!$S61,OPX_LE3!$AJ61,OPX_LE3!$R61,OPX_LE3!$AK61)</f>
        <v>-369807.2</v>
      </c>
      <c r="AM60" s="427">
        <v>0</v>
      </c>
    </row>
    <row r="61" spans="1:39" ht="15" hidden="1">
      <c r="A61" s="244" t="s">
        <v>493</v>
      </c>
      <c r="B61" s="232" t="str">
        <f>VLOOKUP(OPX_LE3!$A62,Tableau106[],3,FALSE)</f>
        <v>A353</v>
      </c>
      <c r="C61" s="232" t="str">
        <f>VLOOKUP(OPX_LE3!$A62,Tableau106[],2,FALSE)</f>
        <v>FR13S08E</v>
      </c>
      <c r="D61" s="232" t="str">
        <f>VLOOKUP(OPX_LE3!$A62,Tableau106[],8,FALSE)</f>
        <v>SOLAIRE</v>
      </c>
      <c r="E61" s="233">
        <f>VLOOKUP(OPX_LE3!$A62,Tableau106[],4,FALSE)</f>
        <v>10.4</v>
      </c>
      <c r="F61" s="232" t="str">
        <f>VLOOKUP(OPX_LE3!$A62,Tableau106[],5,FALSE)</f>
        <v>EYGU</v>
      </c>
      <c r="G61" s="232" t="str">
        <f>VLOOKUP(OPX_LE3!$A62,Tableau106[],7,FALSE)</f>
        <v>GROUPE</v>
      </c>
      <c r="H61" s="232" t="str">
        <f>VLOOKUP(OPX_LE3!$A62,Tableau106[],6,FALSE)</f>
        <v>S</v>
      </c>
      <c r="I61" s="232" t="str">
        <f>VLOOKUP(OPX_LE3!$A62,Tableau106[],9,FALSE)</f>
        <v>ArB</v>
      </c>
      <c r="J61" s="254">
        <v>-54778</v>
      </c>
      <c r="K61" s="228"/>
      <c r="L61" s="228"/>
      <c r="M61" s="229">
        <f>+VLOOKUP(Tableau163[[#This Row],[CODE PI]],Tableau15[[CODE PI]:[Prestations diverses  &amp; accompagnements interne (1,6 k€ par jour d''acc)]],8,FALSE)</f>
        <v>0</v>
      </c>
      <c r="N61" s="229">
        <f>+VLOOKUP(Tableau163[[#This Row],[CODE PI]],Tableau15[[CODE PI]:[Prestations diverses  &amp; accompagnements interne (1,6 k€ par jour d''acc)]],9,FALSE)</f>
        <v>0</v>
      </c>
      <c r="O61" s="229">
        <f>+VLOOKUP(Tableau163[[#This Row],[CODE PI]],Tableau15[[CODE PI]:[Prestations diverses  &amp; accompagnements interne (1,6 k€ par jour d''acc)]],10,FALSE)</f>
        <v>0</v>
      </c>
      <c r="P61" s="229">
        <f>+VLOOKUP(Tableau163[[#This Row],[CODE PI]],Tableau15[[CODE PI]:[Prestations diverses  &amp; accompagnements interne (1,6 k€ par jour d''acc)]],11,FALSE)</f>
        <v>0</v>
      </c>
      <c r="Q61" s="230">
        <f>-250*OPX_LE3!$E62</f>
        <v>-2600</v>
      </c>
      <c r="R61" s="311">
        <f>SUM(OPX_LE3!$K62:$Q62)</f>
        <v>-12600</v>
      </c>
      <c r="S61" s="337">
        <v>0</v>
      </c>
      <c r="T61" s="361">
        <v>0</v>
      </c>
      <c r="U61" s="362">
        <v>0</v>
      </c>
      <c r="V61" s="361">
        <v>0</v>
      </c>
      <c r="W61" s="361">
        <v>0</v>
      </c>
      <c r="X61" s="361">
        <v>0</v>
      </c>
      <c r="Y61" s="361">
        <v>0</v>
      </c>
      <c r="Z61" s="264">
        <v>-2600</v>
      </c>
      <c r="AA61" s="423">
        <v>-5000</v>
      </c>
      <c r="AB61" s="273">
        <f>SUM(OPX_LE3!$T62:$AA62)</f>
        <v>-7600</v>
      </c>
      <c r="AC61" s="426">
        <f t="shared" si="0"/>
        <v>-11500</v>
      </c>
      <c r="AD61" s="426"/>
      <c r="AE61" s="417">
        <v>0</v>
      </c>
      <c r="AF61" s="417">
        <v>0</v>
      </c>
      <c r="AG61" s="417">
        <v>0</v>
      </c>
      <c r="AH61" s="417">
        <v>20000</v>
      </c>
      <c r="AI61" s="417">
        <v>-1500</v>
      </c>
      <c r="AJ61" s="317">
        <f>SUM(OPX_LE3!$AC62:$AI62)</f>
        <v>-13450</v>
      </c>
      <c r="AK61" s="424">
        <v>0</v>
      </c>
      <c r="AL61" s="276">
        <f>SUM(OPX_LE3!$J62,OPX_LE3!$AB62,OPX_LE3!$S62,OPX_LE3!$AJ62,OPX_LE3!$R62,OPX_LE3!$AK62)</f>
        <v>-88428</v>
      </c>
      <c r="AM61" s="427">
        <v>0</v>
      </c>
    </row>
    <row r="62" spans="1:39" ht="15" hidden="1">
      <c r="A62" s="325" t="s">
        <v>616</v>
      </c>
      <c r="B62" s="322" t="str">
        <f>VLOOKUP(OPX_LE3!$A63,Tableau106[],3,FALSE)</f>
        <v>A895</v>
      </c>
      <c r="C62" s="322" t="str">
        <f>VLOOKUP(OPX_LE3!$A63,Tableau106[],2,FALSE)</f>
        <v>FR76E99E</v>
      </c>
      <c r="D62" s="322" t="str">
        <f>VLOOKUP(OPX_LE3!$A63,Tableau106[],8,FALSE)</f>
        <v>EOLIEN</v>
      </c>
      <c r="E62" s="324">
        <f>VLOOKUP(OPX_LE3!$A63,Tableau106[],4,FALSE)</f>
        <v>4.5</v>
      </c>
      <c r="F62" s="322" t="str">
        <f>VLOOKUP(OPX_LE3!$A63,Tableau106[],5,FALSE)</f>
        <v>FECA</v>
      </c>
      <c r="G62" s="322" t="str">
        <f>VLOOKUP(OPX_LE3!$A63,Tableau106[],7,FALSE)</f>
        <v>GROUPE</v>
      </c>
      <c r="H62" s="322" t="str">
        <f>VLOOKUP(OPX_LE3!$A63,Tableau106[],6,FALSE)</f>
        <v>N</v>
      </c>
      <c r="I62" s="322" t="str">
        <f>VLOOKUP(OPX_LE3!$A63,Tableau106[],9,FALSE)</f>
        <v>AnN</v>
      </c>
      <c r="J62" s="254">
        <v>-78469</v>
      </c>
      <c r="K62" s="228"/>
      <c r="L62" s="228"/>
      <c r="M62" s="229">
        <f>+VLOOKUP(Tableau163[[#This Row],[CODE PI]],Tableau15[[CODE PI]:[Prestations diverses  &amp; accompagnements interne (1,6 k€ par jour d''acc)]],8,FALSE)</f>
        <v>0</v>
      </c>
      <c r="N62" s="229">
        <v>-12888</v>
      </c>
      <c r="O62" s="229">
        <f>+VLOOKUP(Tableau163[[#This Row],[CODE PI]],Tableau15[[CODE PI]:[Prestations diverses  &amp; accompagnements interne (1,6 k€ par jour d''acc)]],10,FALSE)</f>
        <v>0</v>
      </c>
      <c r="P62" s="229">
        <f>+VLOOKUP(Tableau163[[#This Row],[CODE PI]],Tableau15[[CODE PI]:[Prestations diverses  &amp; accompagnements interne (1,6 k€ par jour d''acc)]],11,FALSE)</f>
        <v>0</v>
      </c>
      <c r="Q62" s="230">
        <f>-250*OPX_LE3!$E63</f>
        <v>-1125</v>
      </c>
      <c r="R62" s="311">
        <f>SUM(OPX_LE3!$K63:$Q63)</f>
        <v>-196435</v>
      </c>
      <c r="S62" s="337">
        <v>0</v>
      </c>
      <c r="T62" s="361">
        <v>-114000</v>
      </c>
      <c r="U62" s="362">
        <v>0</v>
      </c>
      <c r="V62" s="361">
        <v>-1000</v>
      </c>
      <c r="W62" s="361">
        <v>-10000</v>
      </c>
      <c r="X62" s="361">
        <v>0</v>
      </c>
      <c r="Y62" s="361">
        <v>0</v>
      </c>
      <c r="Z62" s="264">
        <v>-1125</v>
      </c>
      <c r="AA62" s="423"/>
      <c r="AB62" s="273">
        <f>SUM(OPX_LE3!$T63:$AA63)</f>
        <v>-15875</v>
      </c>
      <c r="AC62" s="426">
        <f t="shared" si="0"/>
        <v>-11500</v>
      </c>
      <c r="AD62" s="426"/>
      <c r="AE62" s="417">
        <v>0</v>
      </c>
      <c r="AF62" s="417">
        <v>0</v>
      </c>
      <c r="AG62" s="417">
        <v>0</v>
      </c>
      <c r="AH62" s="417">
        <v>0</v>
      </c>
      <c r="AI62" s="417">
        <v>0</v>
      </c>
      <c r="AJ62" s="317">
        <f>SUM(OPX_LE3!$AC63:$AI63)</f>
        <v>0</v>
      </c>
      <c r="AK62" s="424">
        <v>0</v>
      </c>
      <c r="AL62" s="276">
        <f>SUM(OPX_LE3!$J63,OPX_LE3!$AB63,OPX_LE3!$S63,OPX_LE3!$AJ63,OPX_LE3!$R63,OPX_LE3!$AK63)</f>
        <v>-290779</v>
      </c>
      <c r="AM62" s="427">
        <v>0</v>
      </c>
    </row>
    <row r="63" spans="1:39" ht="15" hidden="1">
      <c r="A63" s="244" t="s">
        <v>131</v>
      </c>
      <c r="B63" s="232" t="str">
        <f>VLOOKUP(OPX_LE3!$A64,Tableau106[],3,FALSE)</f>
        <v>A257</v>
      </c>
      <c r="C63" s="232" t="str">
        <f>VLOOKUP(OPX_LE3!$A64,Tableau106[],2,FALSE)</f>
        <v>FR11S07E</v>
      </c>
      <c r="D63" s="232" t="str">
        <f>VLOOKUP(OPX_LE3!$A64,Tableau106[],8,FALSE)</f>
        <v>SOLAIRE</v>
      </c>
      <c r="E63" s="233">
        <f>VLOOKUP(OPX_LE3!$A64,Tableau106[],4,FALSE)</f>
        <v>5</v>
      </c>
      <c r="F63" s="232" t="str">
        <f>VLOOKUP(OPX_LE3!$A64,Tableau106[],5,FALSE)</f>
        <v>FEND</v>
      </c>
      <c r="G63" s="232" t="str">
        <f>VLOOKUP(OPX_LE3!$A64,Tableau106[],7,FALSE)</f>
        <v>GROUPE</v>
      </c>
      <c r="H63" s="232" t="str">
        <f>VLOOKUP(OPX_LE3!$A64,Tableau106[],6,FALSE)</f>
        <v>S</v>
      </c>
      <c r="I63" s="232" t="str">
        <f>VLOOKUP(OPX_LE3!$A64,Tableau106[],9,FALSE)</f>
        <v>BaA</v>
      </c>
      <c r="J63" s="254">
        <v>-25303</v>
      </c>
      <c r="K63" s="228"/>
      <c r="L63" s="228"/>
      <c r="M63" s="229">
        <f>+VLOOKUP(Tableau163[[#This Row],[CODE PI]],Tableau15[[CODE PI]:[Prestations diverses  &amp; accompagnements interne (1,6 k€ par jour d''acc)]],8,FALSE)</f>
        <v>0</v>
      </c>
      <c r="N63" s="229">
        <f>+VLOOKUP(Tableau163[[#This Row],[CODE PI]],Tableau15[[CODE PI]:[Prestations diverses  &amp; accompagnements interne (1,6 k€ par jour d''acc)]],9,FALSE)</f>
        <v>0</v>
      </c>
      <c r="O63" s="229">
        <f>+VLOOKUP(Tableau163[[#This Row],[CODE PI]],Tableau15[[CODE PI]:[Prestations diverses  &amp; accompagnements interne (1,6 k€ par jour d''acc)]],10,FALSE)</f>
        <v>0</v>
      </c>
      <c r="P63" s="229">
        <f>+VLOOKUP(Tableau163[[#This Row],[CODE PI]],Tableau15[[CODE PI]:[Prestations diverses  &amp; accompagnements interne (1,6 k€ par jour d''acc)]],11,FALSE)</f>
        <v>0</v>
      </c>
      <c r="Q63" s="230">
        <f>-250*OPX_LE3!$E64</f>
        <v>-1250</v>
      </c>
      <c r="R63" s="311">
        <f>SUM(OPX_LE3!$K64:$Q64)</f>
        <v>-5880</v>
      </c>
      <c r="S63" s="337">
        <v>0</v>
      </c>
      <c r="T63" s="361">
        <v>0</v>
      </c>
      <c r="U63" s="362">
        <v>0</v>
      </c>
      <c r="V63" s="361">
        <v>0</v>
      </c>
      <c r="W63" s="361">
        <v>0</v>
      </c>
      <c r="X63" s="361">
        <v>0</v>
      </c>
      <c r="Y63" s="361">
        <v>0</v>
      </c>
      <c r="Z63" s="264">
        <v>-1250</v>
      </c>
      <c r="AA63" s="423"/>
      <c r="AB63" s="273">
        <f>SUM(OPX_LE3!$T64:$AA64)</f>
        <v>-19050</v>
      </c>
      <c r="AC63" s="426">
        <f t="shared" si="0"/>
        <v>-11500</v>
      </c>
      <c r="AD63" s="426"/>
      <c r="AE63" s="417">
        <v>0</v>
      </c>
      <c r="AF63" s="417">
        <v>0</v>
      </c>
      <c r="AG63" s="417">
        <v>0</v>
      </c>
      <c r="AH63" s="417">
        <v>-2160</v>
      </c>
      <c r="AI63" s="417">
        <v>0</v>
      </c>
      <c r="AJ63" s="317">
        <f>SUM(OPX_LE3!$AC64:$AI64)</f>
        <v>-2160</v>
      </c>
      <c r="AK63" s="424">
        <v>0</v>
      </c>
      <c r="AL63" s="276">
        <f>SUM(OPX_LE3!$J64,OPX_LE3!$AB64,OPX_LE3!$S64,OPX_LE3!$AJ64,OPX_LE3!$R64,OPX_LE3!$AK64)</f>
        <v>-52393</v>
      </c>
      <c r="AM63" s="427">
        <v>0</v>
      </c>
    </row>
    <row r="64" spans="1:39" ht="15" hidden="1">
      <c r="A64" s="325" t="s">
        <v>586</v>
      </c>
      <c r="B64" s="322" t="str">
        <f>VLOOKUP(OPX_LE3!$A65,Tableau106[],3,FALSE)</f>
        <v>A053</v>
      </c>
      <c r="C64" s="322" t="str">
        <f>VLOOKUP(OPX_LE3!$A65,Tableau106[],2,FALSE)</f>
        <v>FR62E99E</v>
      </c>
      <c r="D64" s="322" t="str">
        <f>VLOOKUP(OPX_LE3!$A65,Tableau106[],8,FALSE)</f>
        <v>EOLIEN</v>
      </c>
      <c r="E64" s="324">
        <f>VLOOKUP(OPX_LE3!$A65,Tableau106[],4,FALSE)</f>
        <v>11.5</v>
      </c>
      <c r="F64" s="322" t="str">
        <f>VLOOKUP(OPX_LE3!$A65,Tableau106[],5,FALSE)</f>
        <v>FIEN</v>
      </c>
      <c r="G64" s="322" t="str">
        <f>VLOOKUP(OPX_LE3!$A65,Tableau106[],7,FALSE)</f>
        <v>GROUPE</v>
      </c>
      <c r="H64" s="322" t="str">
        <f>VLOOKUP(OPX_LE3!$A65,Tableau106[],6,FALSE)</f>
        <v>N</v>
      </c>
      <c r="I64" s="322" t="str">
        <f>VLOOKUP(OPX_LE3!$A65,Tableau106[],9,FALSE)</f>
        <v>MéS</v>
      </c>
      <c r="J64" s="254">
        <v>-6676</v>
      </c>
      <c r="K64" s="228"/>
      <c r="L64" s="228"/>
      <c r="M64" s="229">
        <f>+VLOOKUP(Tableau163[[#This Row],[CODE PI]],Tableau15[[CODE PI]:[Prestations diverses  &amp; accompagnements interne (1,6 k€ par jour d''acc)]],8,FALSE)</f>
        <v>0</v>
      </c>
      <c r="N64" s="229">
        <f>+VLOOKUP(Tableau163[[#This Row],[CODE PI]],Tableau15[[CODE PI]:[Prestations diverses  &amp; accompagnements interne (1,6 k€ par jour d''acc)]],9,FALSE)</f>
        <v>0</v>
      </c>
      <c r="O64" s="229">
        <f>+VLOOKUP(Tableau163[[#This Row],[CODE PI]],Tableau15[[CODE PI]:[Prestations diverses  &amp; accompagnements interne (1,6 k€ par jour d''acc)]],10,FALSE)</f>
        <v>-1300</v>
      </c>
      <c r="P64" s="229">
        <f>+VLOOKUP(Tableau163[[#This Row],[CODE PI]],Tableau15[[CODE PI]:[Prestations diverses  &amp; accompagnements interne (1,6 k€ par jour d''acc)]],11,FALSE)</f>
        <v>-4025</v>
      </c>
      <c r="Q64" s="230">
        <f>-250*OPX_LE3!$E65</f>
        <v>-2875</v>
      </c>
      <c r="R64" s="311">
        <f>SUM(OPX_LE3!$K65:$Q65)</f>
        <v>-15232.2</v>
      </c>
      <c r="S64" s="337">
        <v>-352374</v>
      </c>
      <c r="T64" s="361">
        <v>-400</v>
      </c>
      <c r="U64" s="362">
        <v>0</v>
      </c>
      <c r="V64" s="361">
        <v>0</v>
      </c>
      <c r="W64" s="361">
        <v>0</v>
      </c>
      <c r="X64" s="361">
        <v>0</v>
      </c>
      <c r="Y64" s="361">
        <v>0</v>
      </c>
      <c r="Z64" s="264">
        <v>-2875</v>
      </c>
      <c r="AA64" s="423"/>
      <c r="AB64" s="273">
        <f>SUM(OPX_LE3!$T65:$AA65)</f>
        <v>-4434.1399999999994</v>
      </c>
      <c r="AC64" s="426">
        <f t="shared" si="0"/>
        <v>-11500</v>
      </c>
      <c r="AD64" s="426"/>
      <c r="AE64" s="417">
        <v>0</v>
      </c>
      <c r="AF64" s="417">
        <v>0</v>
      </c>
      <c r="AG64" s="417">
        <v>0</v>
      </c>
      <c r="AH64" s="417">
        <v>0</v>
      </c>
      <c r="AI64" s="417">
        <v>-50000</v>
      </c>
      <c r="AJ64" s="317">
        <f>SUM(OPX_LE3!$AC65:$AI65)</f>
        <v>-50000</v>
      </c>
      <c r="AK64" s="424">
        <v>0</v>
      </c>
      <c r="AL64" s="276">
        <f>SUM(OPX_LE3!$J65,OPX_LE3!$AB65,OPX_LE3!$S65,OPX_LE3!$AJ65,OPX_LE3!$R65,OPX_LE3!$AK65)</f>
        <v>-428716.34</v>
      </c>
      <c r="AM64" s="427">
        <v>0</v>
      </c>
    </row>
    <row r="65" spans="1:39" ht="15" hidden="1">
      <c r="A65" s="244" t="s">
        <v>484</v>
      </c>
      <c r="B65" s="232" t="str">
        <f>VLOOKUP(OPX_LE3!$A66,Tableau106[],3,FALSE)</f>
        <v>A542</v>
      </c>
      <c r="C65" s="232" t="str">
        <f>VLOOKUP(OPX_LE3!$A66,Tableau106[],2,FALSE)</f>
        <v>FR11E03E</v>
      </c>
      <c r="D65" s="232" t="str">
        <f>VLOOKUP(OPX_LE3!$A66,Tableau106[],8,FALSE)</f>
        <v>EOLIEN</v>
      </c>
      <c r="E65" s="233">
        <f>VLOOKUP(OPX_LE3!$A66,Tableau106[],4,FALSE)</f>
        <v>11.7</v>
      </c>
      <c r="F65" s="232" t="str">
        <f>VLOOKUP(OPX_LE3!$A66,Tableau106[],5,FALSE)</f>
        <v>FITO</v>
      </c>
      <c r="G65" s="232" t="str">
        <f>VLOOKUP(OPX_LE3!$A66,Tableau106[],7,FALSE)</f>
        <v>EGM</v>
      </c>
      <c r="H65" s="232" t="str">
        <f>VLOOKUP(OPX_LE3!$A66,Tableau106[],6,FALSE)</f>
        <v>S</v>
      </c>
      <c r="I65" s="232" t="str">
        <f>VLOOKUP(OPX_LE3!$A66,Tableau106[],9,FALSE)</f>
        <v>StE</v>
      </c>
      <c r="J65" s="254">
        <v>-313441</v>
      </c>
      <c r="K65" s="228"/>
      <c r="L65" s="228"/>
      <c r="M65" s="229">
        <f>+VLOOKUP(Tableau163[[#This Row],[CODE PI]],Tableau15[[CODE PI]:[Prestations diverses  &amp; accompagnements interne (1,6 k€ par jour d''acc)]],8,FALSE)</f>
        <v>0</v>
      </c>
      <c r="N65" s="229">
        <f>+VLOOKUP(Tableau163[[#This Row],[CODE PI]],Tableau15[[CODE PI]:[Prestations diverses  &amp; accompagnements interne (1,6 k€ par jour d''acc)]],9,FALSE)</f>
        <v>0</v>
      </c>
      <c r="O65" s="229">
        <f>+VLOOKUP(Tableau163[[#This Row],[CODE PI]],Tableau15[[CODE PI]:[Prestations diverses  &amp; accompagnements interne (1,6 k€ par jour d''acc)]],10,FALSE)</f>
        <v>0</v>
      </c>
      <c r="P65" s="229">
        <f>+VLOOKUP(Tableau163[[#This Row],[CODE PI]],Tableau15[[CODE PI]:[Prestations diverses  &amp; accompagnements interne (1,6 k€ par jour d''acc)]],11,FALSE)</f>
        <v>-4095</v>
      </c>
      <c r="Q65" s="230">
        <f>-250*OPX_LE3!$E66</f>
        <v>-2925</v>
      </c>
      <c r="R65" s="311">
        <f>SUM(OPX_LE3!$K66:$Q66)</f>
        <v>-113423.00000000001</v>
      </c>
      <c r="S65" s="337">
        <v>0</v>
      </c>
      <c r="T65" s="361">
        <v>0</v>
      </c>
      <c r="U65" s="362">
        <v>0</v>
      </c>
      <c r="V65" s="361">
        <v>-20000</v>
      </c>
      <c r="W65" s="361">
        <v>0</v>
      </c>
      <c r="X65" s="361">
        <v>0</v>
      </c>
      <c r="Y65" s="361">
        <v>0</v>
      </c>
      <c r="Z65" s="264">
        <v>-2925</v>
      </c>
      <c r="AA65" s="423"/>
      <c r="AB65" s="273">
        <f>SUM(OPX_LE3!$T66:$AA66)</f>
        <v>-30048</v>
      </c>
      <c r="AC65" s="426">
        <f t="shared" si="0"/>
        <v>-11500</v>
      </c>
      <c r="AD65" s="426"/>
      <c r="AE65" s="417">
        <v>0</v>
      </c>
      <c r="AF65" s="417">
        <v>0</v>
      </c>
      <c r="AG65" s="417">
        <v>0</v>
      </c>
      <c r="AH65" s="417">
        <v>0</v>
      </c>
      <c r="AI65" s="417">
        <v>0</v>
      </c>
      <c r="AJ65" s="317">
        <f>SUM(OPX_LE3!$AC66:$AI66)</f>
        <v>-5071.72</v>
      </c>
      <c r="AK65" s="424">
        <v>0</v>
      </c>
      <c r="AL65" s="276" t="e">
        <f>SUM(OPX_LE3!#REF!,OPX_LE3!$AB66,OPX_LE3!$J66,OPX_LE3!$AJ66,OPX_LE3!$R66,OPX_LE3!$AK66)</f>
        <v>#REF!</v>
      </c>
      <c r="AM65" s="427">
        <v>0</v>
      </c>
    </row>
    <row r="66" spans="1:39" ht="15" hidden="1">
      <c r="A66" s="325" t="s">
        <v>496</v>
      </c>
      <c r="B66" s="322" t="str">
        <f>VLOOKUP(OPX_LE3!$A67,Tableau106[],3,FALSE)</f>
        <v>F032</v>
      </c>
      <c r="C66" s="322" t="str">
        <f>VLOOKUP(OPX_LE3!$A67,Tableau106[],2,FALSE)</f>
        <v>FR80E96E</v>
      </c>
      <c r="D66" s="322" t="str">
        <f>VLOOKUP(OPX_LE3!$A67,Tableau106[],8,FALSE)</f>
        <v>EOLIEN</v>
      </c>
      <c r="E66" s="324">
        <f>VLOOKUP(OPX_LE3!$A67,Tableau106[],4,FALSE)</f>
        <v>10</v>
      </c>
      <c r="F66" s="322" t="str">
        <f>VLOOKUP(OPX_LE3!$A67,Tableau106[],5,FALSE)</f>
        <v>CEFF</v>
      </c>
      <c r="G66" s="322" t="str">
        <f>VLOOKUP(OPX_LE3!$A67,Tableau106[],7,FALSE)</f>
        <v>FUTUREN</v>
      </c>
      <c r="H66" s="322" t="str">
        <f>VLOOKUP(OPX_LE3!$A67,Tableau106[],6,FALSE)</f>
        <v>N</v>
      </c>
      <c r="I66" s="322" t="str">
        <f>VLOOKUP(OPX_LE3!$A67,Tableau106[],9,FALSE)</f>
        <v>NiD</v>
      </c>
      <c r="J66" s="254">
        <v>-257129</v>
      </c>
      <c r="K66" s="228"/>
      <c r="L66" s="228"/>
      <c r="M66" s="229">
        <f>+VLOOKUP(Tableau163[[#This Row],[CODE PI]],Tableau15[[CODE PI]:[Prestations diverses  &amp; accompagnements interne (1,6 k€ par jour d''acc)]],8,FALSE)</f>
        <v>0</v>
      </c>
      <c r="N66" s="229">
        <f>+VLOOKUP(Tableau163[[#This Row],[CODE PI]],Tableau15[[CODE PI]:[Prestations diverses  &amp; accompagnements interne (1,6 k€ par jour d''acc)]],9,FALSE)</f>
        <v>0</v>
      </c>
      <c r="O66" s="229">
        <f>+VLOOKUP(Tableau163[[#This Row],[CODE PI]],Tableau15[[CODE PI]:[Prestations diverses  &amp; accompagnements interne (1,6 k€ par jour d''acc)]],10,FALSE)</f>
        <v>0</v>
      </c>
      <c r="P66" s="229">
        <f>+VLOOKUP(Tableau163[[#This Row],[CODE PI]],Tableau15[[CODE PI]:[Prestations diverses  &amp; accompagnements interne (1,6 k€ par jour d''acc)]],11,FALSE)</f>
        <v>-3500</v>
      </c>
      <c r="Q66" s="230">
        <f>-250*OPX_LE3!$E67</f>
        <v>-2500</v>
      </c>
      <c r="R66" s="311">
        <f>SUM(OPX_LE3!$K67:$Q67)</f>
        <v>-58000</v>
      </c>
      <c r="S66" s="337">
        <v>0</v>
      </c>
      <c r="T66" s="361">
        <v>0</v>
      </c>
      <c r="U66" s="362">
        <v>0</v>
      </c>
      <c r="V66" s="361">
        <v>-2200</v>
      </c>
      <c r="W66" s="361">
        <v>0</v>
      </c>
      <c r="X66" s="361">
        <v>0</v>
      </c>
      <c r="Y66" s="361">
        <v>0</v>
      </c>
      <c r="Z66" s="264">
        <v>-2500</v>
      </c>
      <c r="AA66" s="423"/>
      <c r="AB66" s="273">
        <f>SUM(OPX_LE3!$T67:$AA67)</f>
        <v>-14000</v>
      </c>
      <c r="AC66" s="426"/>
      <c r="AD66" s="426"/>
      <c r="AE66" s="417">
        <v>0</v>
      </c>
      <c r="AF66" s="417">
        <v>0</v>
      </c>
      <c r="AG66" s="417">
        <v>0</v>
      </c>
      <c r="AH66" s="417">
        <v>0</v>
      </c>
      <c r="AI66" s="417">
        <v>0</v>
      </c>
      <c r="AJ66" s="317">
        <f>SUM(OPX_LE3!$AC67:$AI67)</f>
        <v>0</v>
      </c>
      <c r="AK66" s="424">
        <v>0</v>
      </c>
      <c r="AL66" s="276">
        <f>SUM(OPX_LE3!$J67,OPX_LE3!$AB67,OPX_LE3!$S67,OPX_LE3!$AJ67,OPX_LE3!$R67,OPX_LE3!$AK67)</f>
        <v>-329129</v>
      </c>
      <c r="AM66" s="427">
        <v>-200000</v>
      </c>
    </row>
    <row r="67" spans="1:39" ht="15" hidden="1">
      <c r="A67" s="244" t="s">
        <v>507</v>
      </c>
      <c r="B67" s="232" t="str">
        <f>VLOOKUP(OPX_LE3!$A68,Tableau106[],3,FALSE)</f>
        <v>A286</v>
      </c>
      <c r="C67" s="232" t="str">
        <f>VLOOKUP(OPX_LE3!$A68,Tableau106[],2,FALSE)</f>
        <v>FR28E03E</v>
      </c>
      <c r="D67" s="232" t="str">
        <f>VLOOKUP(OPX_LE3!$A68,Tableau106[],8,FALSE)</f>
        <v>EOLIEN</v>
      </c>
      <c r="E67" s="233">
        <f>VLOOKUP(OPX_LE3!$A68,Tableau106[],4,FALSE)</f>
        <v>13.2</v>
      </c>
      <c r="F67" s="232" t="str">
        <f>VLOOKUP(OPX_LE3!$A68,Tableau106[],5,FALSE)</f>
        <v>FOGU</v>
      </c>
      <c r="G67" s="232" t="str">
        <f>VLOOKUP(OPX_LE3!$A68,Tableau106[],7,FALSE)</f>
        <v>GROUPE</v>
      </c>
      <c r="H67" s="232" t="str">
        <f>VLOOKUP(OPX_LE3!$A68,Tableau106[],6,FALSE)</f>
        <v>N</v>
      </c>
      <c r="I67" s="232" t="str">
        <f>VLOOKUP(OPX_LE3!$A68,Tableau106[],9,FALSE)</f>
        <v>NiL</v>
      </c>
      <c r="J67" s="254">
        <v>-10387</v>
      </c>
      <c r="K67" s="228"/>
      <c r="L67" s="228"/>
      <c r="M67" s="229">
        <f>+VLOOKUP(Tableau163[[#This Row],[CODE PI]],Tableau15[[CODE PI]:[Prestations diverses  &amp; accompagnements interne (1,6 k€ par jour d''acc)]],8,FALSE)</f>
        <v>0</v>
      </c>
      <c r="N67" s="229">
        <f>+VLOOKUP(Tableau163[[#This Row],[CODE PI]],Tableau15[[CODE PI]:[Prestations diverses  &amp; accompagnements interne (1,6 k€ par jour d''acc)]],9,FALSE)</f>
        <v>0</v>
      </c>
      <c r="O67" s="229">
        <f>+VLOOKUP(Tableau163[[#This Row],[CODE PI]],Tableau15[[CODE PI]:[Prestations diverses  &amp; accompagnements interne (1,6 k€ par jour d''acc)]],10,FALSE)</f>
        <v>0</v>
      </c>
      <c r="P67" s="229">
        <f>+VLOOKUP(Tableau163[[#This Row],[CODE PI]],Tableau15[[CODE PI]:[Prestations diverses  &amp; accompagnements interne (1,6 k€ par jour d''acc)]],11,FALSE)</f>
        <v>-4620</v>
      </c>
      <c r="Q67" s="230">
        <f>-250*OPX_LE3!$E68</f>
        <v>-3300</v>
      </c>
      <c r="R67" s="311">
        <f>SUM(OPX_LE3!$K68:$Q68)</f>
        <v>-14208</v>
      </c>
      <c r="S67" s="337">
        <v>-206074</v>
      </c>
      <c r="T67" s="361">
        <v>0</v>
      </c>
      <c r="U67" s="362">
        <v>0</v>
      </c>
      <c r="V67" s="361">
        <v>-10000</v>
      </c>
      <c r="W67" s="361">
        <v>0</v>
      </c>
      <c r="X67" s="361">
        <v>0</v>
      </c>
      <c r="Y67" s="361">
        <v>0</v>
      </c>
      <c r="Z67" s="264">
        <v>-3300</v>
      </c>
      <c r="AA67" s="423"/>
      <c r="AB67" s="273">
        <f>SUM(OPX_LE3!$T68:$AA68)</f>
        <v>-19000</v>
      </c>
      <c r="AC67" s="426">
        <f t="shared" si="0"/>
        <v>-11500</v>
      </c>
      <c r="AD67" s="426"/>
      <c r="AE67" s="417">
        <v>0</v>
      </c>
      <c r="AF67" s="417">
        <v>0</v>
      </c>
      <c r="AG67" s="417">
        <v>-12000</v>
      </c>
      <c r="AH67" s="417">
        <v>0</v>
      </c>
      <c r="AI67" s="417">
        <v>0</v>
      </c>
      <c r="AJ67" s="317">
        <f>SUM(OPX_LE3!$AC68:$AI68)</f>
        <v>-4612.5</v>
      </c>
      <c r="AK67" s="424">
        <v>0</v>
      </c>
      <c r="AL67" s="276">
        <f>SUM(OPX_LE3!$J68,OPX_LE3!$AB68,OPX_LE3!$S68,OPX_LE3!$AJ68,OPX_LE3!$R68,OPX_LE3!$AK68)</f>
        <v>-254281.5</v>
      </c>
      <c r="AM67" s="427">
        <v>0</v>
      </c>
    </row>
    <row r="68" spans="1:39" ht="15" hidden="1">
      <c r="A68" s="325" t="s">
        <v>498</v>
      </c>
      <c r="B68" s="322" t="str">
        <f>VLOOKUP(OPX_LE3!$A69,Tableau106[],3,FALSE)</f>
        <v>A037</v>
      </c>
      <c r="C68" s="322" t="str">
        <f>VLOOKUP(OPX_LE3!$A69,Tableau106[],2,FALSE)</f>
        <v>FR13S15E</v>
      </c>
      <c r="D68" s="322" t="str">
        <f>VLOOKUP(OPX_LE3!$A69,Tableau106[],8,FALSE)</f>
        <v>SOLAIRE</v>
      </c>
      <c r="E68" s="324">
        <f>VLOOKUP(OPX_LE3!$A69,Tableau106[],4,FALSE)</f>
        <v>11.9</v>
      </c>
      <c r="F68" s="322" t="str">
        <f>VLOOKUP(OPX_LE3!$A69,Tableau106[],5,FALSE)</f>
        <v>FOST</v>
      </c>
      <c r="G68" s="322" t="str">
        <f>VLOOKUP(OPX_LE3!$A69,Tableau106[],7,FALSE)</f>
        <v>GROUPE</v>
      </c>
      <c r="H68" s="322" t="str">
        <f>VLOOKUP(OPX_LE3!$A69,Tableau106[],6,FALSE)</f>
        <v>S</v>
      </c>
      <c r="I68" s="322" t="str">
        <f>VLOOKUP(OPX_LE3!$A69,Tableau106[],9,FALSE)</f>
        <v>ArB</v>
      </c>
      <c r="J68" s="254">
        <v>-135292</v>
      </c>
      <c r="K68" s="228"/>
      <c r="L68" s="228"/>
      <c r="M68" s="229">
        <f>+VLOOKUP(Tableau163[[#This Row],[CODE PI]],Tableau15[[CODE PI]:[Prestations diverses  &amp; accompagnements interne (1,6 k€ par jour d''acc)]],8,FALSE)</f>
        <v>-50000</v>
      </c>
      <c r="N68" s="229">
        <f>+VLOOKUP(Tableau163[[#This Row],[CODE PI]],Tableau15[[CODE PI]:[Prestations diverses  &amp; accompagnements interne (1,6 k€ par jour d''acc)]],9,FALSE)</f>
        <v>0</v>
      </c>
      <c r="O68" s="229">
        <f>+VLOOKUP(Tableau163[[#This Row],[CODE PI]],Tableau15[[CODE PI]:[Prestations diverses  &amp; accompagnements interne (1,6 k€ par jour d''acc)]],10,FALSE)</f>
        <v>0</v>
      </c>
      <c r="P68" s="229">
        <f>+VLOOKUP(Tableau163[[#This Row],[CODE PI]],Tableau15[[CODE PI]:[Prestations diverses  &amp; accompagnements interne (1,6 k€ par jour d''acc)]],11,FALSE)</f>
        <v>0</v>
      </c>
      <c r="Q68" s="230">
        <f>-250*OPX_LE3!$E69</f>
        <v>-2975</v>
      </c>
      <c r="R68" s="311">
        <f>SUM(OPX_LE3!$K69:$Q69)</f>
        <v>-18315</v>
      </c>
      <c r="S68" s="337">
        <v>0</v>
      </c>
      <c r="T68" s="361">
        <v>0</v>
      </c>
      <c r="U68" s="362">
        <v>0</v>
      </c>
      <c r="V68" s="361">
        <v>-15710</v>
      </c>
      <c r="W68" s="361">
        <v>0</v>
      </c>
      <c r="X68" s="361">
        <v>0</v>
      </c>
      <c r="Y68" s="361">
        <v>0</v>
      </c>
      <c r="Z68" s="264">
        <v>-2975</v>
      </c>
      <c r="AA68" s="423">
        <v>-1400</v>
      </c>
      <c r="AB68" s="273">
        <f>SUM(OPX_LE3!$T69:$AA69)</f>
        <v>-48765</v>
      </c>
      <c r="AC68" s="426">
        <f t="shared" si="0"/>
        <v>-11500</v>
      </c>
      <c r="AD68" s="426"/>
      <c r="AE68" s="417">
        <v>0</v>
      </c>
      <c r="AF68" s="417">
        <v>0</v>
      </c>
      <c r="AG68" s="417">
        <v>0</v>
      </c>
      <c r="AH68" s="417">
        <v>0</v>
      </c>
      <c r="AI68" s="417">
        <v>0</v>
      </c>
      <c r="AJ68" s="317">
        <f>SUM(OPX_LE3!$AC69:$AI69)</f>
        <v>0</v>
      </c>
      <c r="AK68" s="424">
        <v>-5000</v>
      </c>
      <c r="AL68" s="276">
        <f>SUM(OPX_LE3!$J69,OPX_LE3!$AB69,OPX_LE3!$S69,OPX_LE3!$AJ69,OPX_LE3!$R69,OPX_LE3!$AK69)</f>
        <v>-207372</v>
      </c>
      <c r="AM68" s="427">
        <v>0</v>
      </c>
    </row>
    <row r="69" spans="1:39" ht="15" hidden="1">
      <c r="A69" s="244" t="s">
        <v>515</v>
      </c>
      <c r="B69" s="232" t="str">
        <f>VLOOKUP(OPX_LE3!$A70,Tableau106[],3,FALSE)</f>
        <v>A894</v>
      </c>
      <c r="C69" s="232" t="str">
        <f>VLOOKUP(OPX_LE3!$A70,Tableau106[],2,FALSE)</f>
        <v>FR07E99E</v>
      </c>
      <c r="D69" s="232" t="str">
        <f>VLOOKUP(OPX_LE3!$A70,Tableau106[],8,FALSE)</f>
        <v>EOLIEN</v>
      </c>
      <c r="E69" s="233">
        <f>VLOOKUP(OPX_LE3!$A70,Tableau106[],4,FALSE)</f>
        <v>10</v>
      </c>
      <c r="F69" s="232" t="str">
        <f>VLOOKUP(OPX_LE3!$A70,Tableau106[],5,FALSE)</f>
        <v>FREY</v>
      </c>
      <c r="G69" s="232" t="str">
        <f>VLOOKUP(OPX_LE3!$A70,Tableau106[],7,FALSE)</f>
        <v>GROUPE</v>
      </c>
      <c r="H69" s="232" t="str">
        <f>VLOOKUP(OPX_LE3!$A70,Tableau106[],6,FALSE)</f>
        <v>S</v>
      </c>
      <c r="I69" s="232" t="str">
        <f>VLOOKUP(OPX_LE3!$A70,Tableau106[],9,FALSE)</f>
        <v>ThC</v>
      </c>
      <c r="J69" s="254">
        <v>0</v>
      </c>
      <c r="K69" s="228"/>
      <c r="L69" s="228"/>
      <c r="M69" s="229">
        <f>+VLOOKUP(Tableau163[[#This Row],[CODE PI]],Tableau15[[CODE PI]:[Prestations diverses  &amp; accompagnements interne (1,6 k€ par jour d''acc)]],8,FALSE)</f>
        <v>0</v>
      </c>
      <c r="N69" s="229">
        <f>+VLOOKUP(Tableau163[[#This Row],[CODE PI]],Tableau15[[CODE PI]:[Prestations diverses  &amp; accompagnements interne (1,6 k€ par jour d''acc)]],9,FALSE)</f>
        <v>0</v>
      </c>
      <c r="O69" s="229">
        <f>+VLOOKUP(Tableau163[[#This Row],[CODE PI]],Tableau15[[CODE PI]:[Prestations diverses  &amp; accompagnements interne (1,6 k€ par jour d''acc)]],10,FALSE)</f>
        <v>0</v>
      </c>
      <c r="P69" s="229">
        <f>+VLOOKUP(Tableau163[[#This Row],[CODE PI]],Tableau15[[CODE PI]:[Prestations diverses  &amp; accompagnements interne (1,6 k€ par jour d''acc)]],11,FALSE)</f>
        <v>-3500</v>
      </c>
      <c r="Q69" s="230">
        <f>-250*OPX_LE3!$E70</f>
        <v>-2500</v>
      </c>
      <c r="R69" s="311">
        <f>SUM(OPX_LE3!$K70:$Q70)</f>
        <v>-8900</v>
      </c>
      <c r="S69" s="337">
        <v>-330486</v>
      </c>
      <c r="T69" s="361">
        <v>-27500</v>
      </c>
      <c r="U69" s="362">
        <v>0</v>
      </c>
      <c r="V69" s="361">
        <v>-10000</v>
      </c>
      <c r="W69" s="361">
        <v>0</v>
      </c>
      <c r="X69" s="361">
        <v>0</v>
      </c>
      <c r="Y69" s="361">
        <v>0</v>
      </c>
      <c r="Z69" s="264">
        <v>-2500</v>
      </c>
      <c r="AA69" s="423"/>
      <c r="AB69" s="273">
        <f>SUM(OPX_LE3!$T70:$AA70)</f>
        <v>-53250</v>
      </c>
      <c r="AC69" s="426">
        <f t="shared" si="0"/>
        <v>-11500</v>
      </c>
      <c r="AD69" s="426"/>
      <c r="AE69" s="417">
        <v>0</v>
      </c>
      <c r="AF69" s="417">
        <v>0</v>
      </c>
      <c r="AG69" s="417">
        <v>0</v>
      </c>
      <c r="AH69" s="417">
        <v>0</v>
      </c>
      <c r="AI69" s="417">
        <v>0</v>
      </c>
      <c r="AJ69" s="317">
        <f>SUM(OPX_LE3!$AC70:$AI70)</f>
        <v>0</v>
      </c>
      <c r="AK69" s="424">
        <v>0</v>
      </c>
      <c r="AL69" s="276">
        <f>SUM(OPX_LE3!$J70,OPX_LE3!$AB70,OPX_LE3!$S70,OPX_LE3!$AJ70,OPX_LE3!$R70,OPX_LE3!$AK70)</f>
        <v>-392636</v>
      </c>
      <c r="AM69" s="427">
        <v>0</v>
      </c>
    </row>
    <row r="70" spans="1:39" ht="15" hidden="1">
      <c r="A70" s="325" t="s">
        <v>500</v>
      </c>
      <c r="B70" s="322" t="str">
        <f>VLOOKUP(OPX_LE3!$A71,Tableau106[],3,FALSE)</f>
        <v>A191</v>
      </c>
      <c r="C70" s="322" t="str">
        <f>VLOOKUP(OPX_LE3!$A71,Tableau106[],2,FALSE)</f>
        <v>FR40S04E</v>
      </c>
      <c r="D70" s="322" t="str">
        <f>VLOOKUP(OPX_LE3!$A71,Tableau106[],8,FALSE)</f>
        <v>SOLAIRE</v>
      </c>
      <c r="E70" s="324">
        <f>VLOOKUP(OPX_LE3!$A71,Tableau106[],4,FALSE)</f>
        <v>11.9</v>
      </c>
      <c r="F70" s="322" t="str">
        <f>VLOOKUP(OPX_LE3!$A71,Tableau106[],5,FALSE)</f>
        <v>GAB1</v>
      </c>
      <c r="G70" s="322" t="str">
        <f>VLOOKUP(OPX_LE3!$A71,Tableau106[],7,FALSE)</f>
        <v>GROUPE</v>
      </c>
      <c r="H70" s="322" t="str">
        <f>VLOOKUP(OPX_LE3!$A71,Tableau106[],6,FALSE)</f>
        <v>S</v>
      </c>
      <c r="I70" s="322" t="str">
        <f>VLOOKUP(OPX_LE3!$A71,Tableau106[],9,FALSE)</f>
        <v>BaA</v>
      </c>
      <c r="J70" s="254">
        <v>-297387</v>
      </c>
      <c r="K70" s="228"/>
      <c r="L70" s="228"/>
      <c r="M70" s="229">
        <f>+VLOOKUP(Tableau163[[#This Row],[CODE PI]],Tableau15[[CODE PI]:[Prestations diverses  &amp; accompagnements interne (1,6 k€ par jour d''acc)]],8,FALSE)</f>
        <v>-5000</v>
      </c>
      <c r="N70" s="229">
        <f>+VLOOKUP(Tableau163[[#This Row],[CODE PI]],Tableau15[[CODE PI]:[Prestations diverses  &amp; accompagnements interne (1,6 k€ par jour d''acc)]],9,FALSE)</f>
        <v>0</v>
      </c>
      <c r="O70" s="229">
        <f>+VLOOKUP(Tableau163[[#This Row],[CODE PI]],Tableau15[[CODE PI]:[Prestations diverses  &amp; accompagnements interne (1,6 k€ par jour d''acc)]],10,FALSE)</f>
        <v>0</v>
      </c>
      <c r="P70" s="229">
        <f>+VLOOKUP(Tableau163[[#This Row],[CODE PI]],Tableau15[[CODE PI]:[Prestations diverses  &amp; accompagnements interne (1,6 k€ par jour d''acc)]],11,FALSE)</f>
        <v>0</v>
      </c>
      <c r="Q70" s="230">
        <f>-250*OPX_LE3!$E71</f>
        <v>-2975</v>
      </c>
      <c r="R70" s="311">
        <f>SUM(OPX_LE3!$K71:$Q71)</f>
        <v>-9045</v>
      </c>
      <c r="S70" s="337">
        <v>0</v>
      </c>
      <c r="T70" s="361">
        <v>0</v>
      </c>
      <c r="U70" s="362">
        <v>0</v>
      </c>
      <c r="V70" s="361">
        <v>0</v>
      </c>
      <c r="W70" s="361">
        <v>0</v>
      </c>
      <c r="X70" s="361">
        <v>0</v>
      </c>
      <c r="Y70" s="361">
        <v>0</v>
      </c>
      <c r="Z70" s="264">
        <v>-2975</v>
      </c>
      <c r="AA70" s="423"/>
      <c r="AB70" s="273">
        <f>SUM(OPX_LE3!$T71:$AA71)</f>
        <v>-2975</v>
      </c>
      <c r="AC70" s="426">
        <f t="shared" si="0"/>
        <v>-11500</v>
      </c>
      <c r="AD70" s="426"/>
      <c r="AE70" s="417">
        <v>0</v>
      </c>
      <c r="AF70" s="417">
        <v>0</v>
      </c>
      <c r="AG70" s="417">
        <v>0</v>
      </c>
      <c r="AH70" s="417">
        <v>0</v>
      </c>
      <c r="AI70" s="417">
        <v>0</v>
      </c>
      <c r="AJ70" s="317">
        <f>SUM(OPX_LE3!$AC71:$AI71)</f>
        <v>0</v>
      </c>
      <c r="AK70" s="424">
        <v>-10000</v>
      </c>
      <c r="AL70" s="276">
        <f>SUM(OPX_LE3!$J71,OPX_LE3!$AB71,OPX_LE3!$S71,OPX_LE3!$AJ71,OPX_LE3!$R71,OPX_LE3!$AK71)</f>
        <v>-309407</v>
      </c>
      <c r="AM70" s="427">
        <v>0</v>
      </c>
    </row>
    <row r="71" spans="1:39" ht="15" hidden="1">
      <c r="A71" s="244" t="s">
        <v>501</v>
      </c>
      <c r="B71" s="232" t="str">
        <f>VLOOKUP(OPX_LE3!$A72,Tableau106[],3,FALSE)</f>
        <v>A194</v>
      </c>
      <c r="C71" s="232" t="str">
        <f>VLOOKUP(OPX_LE3!$A72,Tableau106[],2,FALSE)</f>
        <v>FR40S07E</v>
      </c>
      <c r="D71" s="232" t="str">
        <f>VLOOKUP(OPX_LE3!$A72,Tableau106[],8,FALSE)</f>
        <v>SOLAIRE</v>
      </c>
      <c r="E71" s="233">
        <f>VLOOKUP(OPX_LE3!$A72,Tableau106[],4,FALSE)</f>
        <v>11.89</v>
      </c>
      <c r="F71" s="232" t="str">
        <f>VLOOKUP(OPX_LE3!$A72,Tableau106[],5,FALSE)</f>
        <v>GAB4</v>
      </c>
      <c r="G71" s="232" t="str">
        <f>VLOOKUP(OPX_LE3!$A72,Tableau106[],7,FALSE)</f>
        <v>GROUPE</v>
      </c>
      <c r="H71" s="232" t="str">
        <f>VLOOKUP(OPX_LE3!$A72,Tableau106[],6,FALSE)</f>
        <v>S</v>
      </c>
      <c r="I71" s="232" t="str">
        <f>VLOOKUP(OPX_LE3!$A72,Tableau106[],9,FALSE)</f>
        <v>BaA</v>
      </c>
      <c r="J71" s="254">
        <v>-292650</v>
      </c>
      <c r="K71" s="228"/>
      <c r="L71" s="228"/>
      <c r="M71" s="229">
        <f>+VLOOKUP(Tableau163[[#This Row],[CODE PI]],Tableau15[[CODE PI]:[Prestations diverses  &amp; accompagnements interne (1,6 k€ par jour d''acc)]],8,FALSE)</f>
        <v>-5000</v>
      </c>
      <c r="N71" s="229">
        <f>+VLOOKUP(Tableau163[[#This Row],[CODE PI]],Tableau15[[CODE PI]:[Prestations diverses  &amp; accompagnements interne (1,6 k€ par jour d''acc)]],9,FALSE)</f>
        <v>0</v>
      </c>
      <c r="O71" s="229">
        <f>+VLOOKUP(Tableau163[[#This Row],[CODE PI]],Tableau15[[CODE PI]:[Prestations diverses  &amp; accompagnements interne (1,6 k€ par jour d''acc)]],10,FALSE)</f>
        <v>0</v>
      </c>
      <c r="P71" s="229">
        <f>+VLOOKUP(Tableau163[[#This Row],[CODE PI]],Tableau15[[CODE PI]:[Prestations diverses  &amp; accompagnements interne (1,6 k€ par jour d''acc)]],11,FALSE)</f>
        <v>0</v>
      </c>
      <c r="Q71" s="230">
        <f>-250*OPX_LE3!$E72</f>
        <v>-2972.5</v>
      </c>
      <c r="R71" s="311">
        <f>SUM(OPX_LE3!$K72:$Q72)</f>
        <v>-9362.5</v>
      </c>
      <c r="S71" s="337">
        <v>0</v>
      </c>
      <c r="T71" s="361">
        <v>0</v>
      </c>
      <c r="U71" s="362">
        <v>0</v>
      </c>
      <c r="V71" s="361">
        <v>0</v>
      </c>
      <c r="W71" s="361">
        <v>0</v>
      </c>
      <c r="X71" s="361">
        <v>0</v>
      </c>
      <c r="Y71" s="361">
        <v>0</v>
      </c>
      <c r="Z71" s="264">
        <v>-2972.5</v>
      </c>
      <c r="AA71" s="423"/>
      <c r="AB71" s="273">
        <f>SUM(OPX_LE3!$T72:$AA72)</f>
        <v>-2972.5</v>
      </c>
      <c r="AC71" s="426">
        <f t="shared" ref="AC71:AC134" si="1">-((46000/8*4)/2)</f>
        <v>-11500</v>
      </c>
      <c r="AD71" s="426"/>
      <c r="AE71" s="417">
        <v>0</v>
      </c>
      <c r="AF71" s="417">
        <v>0</v>
      </c>
      <c r="AG71" s="417">
        <v>0</v>
      </c>
      <c r="AH71" s="417">
        <v>0</v>
      </c>
      <c r="AI71" s="417">
        <v>0</v>
      </c>
      <c r="AJ71" s="317">
        <f>SUM(OPX_LE3!$AC72:$AI72)</f>
        <v>0</v>
      </c>
      <c r="AK71" s="424">
        <v>0</v>
      </c>
      <c r="AL71" s="276">
        <f>SUM(OPX_LE3!$J72,OPX_LE3!$AB72,OPX_LE3!$S72,OPX_LE3!$AJ72,OPX_LE3!$R72,OPX_LE3!$AK72)</f>
        <v>-327955</v>
      </c>
      <c r="AM71" s="427">
        <v>0</v>
      </c>
    </row>
    <row r="72" spans="1:39" ht="15" hidden="1">
      <c r="A72" s="325" t="s">
        <v>502</v>
      </c>
      <c r="B72" s="322" t="str">
        <f>VLOOKUP(OPX_LE3!$A73,Tableau106[],3,FALSE)</f>
        <v>A197</v>
      </c>
      <c r="C72" s="322" t="str">
        <f>VLOOKUP(OPX_LE3!$A73,Tableau106[],2,FALSE)</f>
        <v>FR40S10E</v>
      </c>
      <c r="D72" s="322" t="str">
        <f>VLOOKUP(OPX_LE3!$A73,Tableau106[],8,FALSE)</f>
        <v>SOLAIRE</v>
      </c>
      <c r="E72" s="324">
        <f>VLOOKUP(OPX_LE3!$A73,Tableau106[],4,FALSE)</f>
        <v>2.89</v>
      </c>
      <c r="F72" s="322" t="str">
        <f>VLOOKUP(OPX_LE3!$A73,Tableau106[],5,FALSE)</f>
        <v>GAB7</v>
      </c>
      <c r="G72" s="322" t="str">
        <f>VLOOKUP(OPX_LE3!$A73,Tableau106[],7,FALSE)</f>
        <v>GROUPE</v>
      </c>
      <c r="H72" s="322" t="str">
        <f>VLOOKUP(OPX_LE3!$A73,Tableau106[],6,FALSE)</f>
        <v>S</v>
      </c>
      <c r="I72" s="322" t="str">
        <f>VLOOKUP(OPX_LE3!$A73,Tableau106[],9,FALSE)</f>
        <v>BaA</v>
      </c>
      <c r="J72" s="254">
        <v>-64139</v>
      </c>
      <c r="K72" s="228"/>
      <c r="L72" s="228"/>
      <c r="M72" s="229">
        <f>+VLOOKUP(Tableau163[[#This Row],[CODE PI]],Tableau15[[CODE PI]:[Prestations diverses  &amp; accompagnements interne (1,6 k€ par jour d''acc)]],8,FALSE)</f>
        <v>-5000</v>
      </c>
      <c r="N72" s="229">
        <f>+VLOOKUP(Tableau163[[#This Row],[CODE PI]],Tableau15[[CODE PI]:[Prestations diverses  &amp; accompagnements interne (1,6 k€ par jour d''acc)]],9,FALSE)</f>
        <v>0</v>
      </c>
      <c r="O72" s="229">
        <f>+VLOOKUP(Tableau163[[#This Row],[CODE PI]],Tableau15[[CODE PI]:[Prestations diverses  &amp; accompagnements interne (1,6 k€ par jour d''acc)]],10,FALSE)</f>
        <v>0</v>
      </c>
      <c r="P72" s="229">
        <f>+VLOOKUP(Tableau163[[#This Row],[CODE PI]],Tableau15[[CODE PI]:[Prestations diverses  &amp; accompagnements interne (1,6 k€ par jour d''acc)]],11,FALSE)</f>
        <v>0</v>
      </c>
      <c r="Q72" s="230">
        <f>-250*OPX_LE3!$E73</f>
        <v>-722.5</v>
      </c>
      <c r="R72" s="311">
        <f>SUM(OPX_LE3!$K73:$Q73)</f>
        <v>-4712.5</v>
      </c>
      <c r="S72" s="337">
        <v>0</v>
      </c>
      <c r="T72" s="361">
        <v>0</v>
      </c>
      <c r="U72" s="362">
        <v>0</v>
      </c>
      <c r="V72" s="361">
        <v>0</v>
      </c>
      <c r="W72" s="361">
        <v>0</v>
      </c>
      <c r="X72" s="361">
        <v>0</v>
      </c>
      <c r="Y72" s="361">
        <v>0</v>
      </c>
      <c r="Z72" s="264">
        <v>-722.5</v>
      </c>
      <c r="AA72" s="423"/>
      <c r="AB72" s="273">
        <f>SUM(OPX_LE3!$T73:$AA73)</f>
        <v>-723</v>
      </c>
      <c r="AC72" s="426">
        <f t="shared" si="1"/>
        <v>-11500</v>
      </c>
      <c r="AD72" s="426"/>
      <c r="AE72" s="417">
        <v>0</v>
      </c>
      <c r="AF72" s="417">
        <v>0</v>
      </c>
      <c r="AG72" s="417">
        <v>0</v>
      </c>
      <c r="AH72" s="417">
        <v>-20000</v>
      </c>
      <c r="AI72" s="417">
        <v>0</v>
      </c>
      <c r="AJ72" s="317">
        <f>SUM(OPX_LE3!$AC73:$AI73)</f>
        <v>-26490</v>
      </c>
      <c r="AK72" s="424">
        <v>-5000</v>
      </c>
      <c r="AL72" s="276">
        <f>SUM(OPX_LE3!$J73,OPX_LE3!$AB73,OPX_LE3!$S73,OPX_LE3!$AJ73,OPX_LE3!$R73,OPX_LE3!$AK73)</f>
        <v>-101067.5</v>
      </c>
      <c r="AM72" s="427">
        <v>0</v>
      </c>
    </row>
    <row r="73" spans="1:39" ht="15" hidden="1">
      <c r="A73" s="244" t="s">
        <v>503</v>
      </c>
      <c r="B73" s="232" t="str">
        <f>VLOOKUP(OPX_LE3!$A74,Tableau106[],3,FALSE)</f>
        <v>A139</v>
      </c>
      <c r="C73" s="232" t="str">
        <f>VLOOKUP(OPX_LE3!$A74,Tableau106[],2,FALSE)</f>
        <v>FR40S99E</v>
      </c>
      <c r="D73" s="232" t="str">
        <f>VLOOKUP(OPX_LE3!$A74,Tableau106[],8,FALSE)</f>
        <v>SOLAIRE</v>
      </c>
      <c r="E73" s="233">
        <f>VLOOKUP(OPX_LE3!$A74,Tableau106[],4,FALSE)</f>
        <v>1.998</v>
      </c>
      <c r="F73" s="232" t="str">
        <f>VLOOKUP(OPX_LE3!$A74,Tableau106[],5,FALSE)</f>
        <v>GABT</v>
      </c>
      <c r="G73" s="232" t="str">
        <f>VLOOKUP(OPX_LE3!$A74,Tableau106[],7,FALSE)</f>
        <v>GROUPE</v>
      </c>
      <c r="H73" s="232" t="str">
        <f>VLOOKUP(OPX_LE3!$A74,Tableau106[],6,FALSE)</f>
        <v>S</v>
      </c>
      <c r="I73" s="232" t="str">
        <f>VLOOKUP(OPX_LE3!$A74,Tableau106[],9,FALSE)</f>
        <v>BaA</v>
      </c>
      <c r="J73" s="254">
        <v>-56903</v>
      </c>
      <c r="K73" s="228"/>
      <c r="L73" s="228"/>
      <c r="M73" s="229">
        <f>+VLOOKUP(Tableau163[[#This Row],[CODE PI]],Tableau15[[CODE PI]:[Prestations diverses  &amp; accompagnements interne (1,6 k€ par jour d''acc)]],8,FALSE)</f>
        <v>-3000</v>
      </c>
      <c r="N73" s="229">
        <f>+VLOOKUP(Tableau163[[#This Row],[CODE PI]],Tableau15[[CODE PI]:[Prestations diverses  &amp; accompagnements interne (1,6 k€ par jour d''acc)]],9,FALSE)</f>
        <v>0</v>
      </c>
      <c r="O73" s="229">
        <f>+VLOOKUP(Tableau163[[#This Row],[CODE PI]],Tableau15[[CODE PI]:[Prestations diverses  &amp; accompagnements interne (1,6 k€ par jour d''acc)]],10,FALSE)</f>
        <v>0</v>
      </c>
      <c r="P73" s="229">
        <f>+VLOOKUP(Tableau163[[#This Row],[CODE PI]],Tableau15[[CODE PI]:[Prestations diverses  &amp; accompagnements interne (1,6 k€ par jour d''acc)]],11,FALSE)</f>
        <v>0</v>
      </c>
      <c r="Q73" s="230">
        <f>-250*OPX_LE3!$E74</f>
        <v>-499.5</v>
      </c>
      <c r="R73" s="311">
        <f>SUM(OPX_LE3!$K74:$Q74)</f>
        <v>-72059.5</v>
      </c>
      <c r="S73" s="337">
        <v>0</v>
      </c>
      <c r="T73" s="361">
        <v>0</v>
      </c>
      <c r="U73" s="362">
        <v>0</v>
      </c>
      <c r="V73" s="361">
        <v>0</v>
      </c>
      <c r="W73" s="361">
        <v>0</v>
      </c>
      <c r="X73" s="361">
        <v>0</v>
      </c>
      <c r="Y73" s="361">
        <v>0</v>
      </c>
      <c r="Z73" s="264">
        <v>-499.5</v>
      </c>
      <c r="AA73" s="423"/>
      <c r="AB73" s="273">
        <f>SUM(OPX_LE3!$T74:$AA74)</f>
        <v>-499.5</v>
      </c>
      <c r="AC73" s="426">
        <f t="shared" si="1"/>
        <v>-11500</v>
      </c>
      <c r="AD73" s="426"/>
      <c r="AE73" s="417">
        <v>0</v>
      </c>
      <c r="AF73" s="417">
        <v>0</v>
      </c>
      <c r="AG73" s="417">
        <v>0</v>
      </c>
      <c r="AH73" s="417">
        <v>0</v>
      </c>
      <c r="AI73" s="417">
        <v>0</v>
      </c>
      <c r="AJ73" s="317">
        <f>SUM(OPX_LE3!$AC74:$AI74)</f>
        <v>0</v>
      </c>
      <c r="AK73" s="424">
        <v>-5000</v>
      </c>
      <c r="AL73" s="276">
        <f>SUM(OPX_LE3!$J74,OPX_LE3!$AB74,OPX_LE3!$S74,OPX_LE3!$AJ74,OPX_LE3!$R74,OPX_LE3!$AK74)</f>
        <v>-129462</v>
      </c>
      <c r="AM73" s="427">
        <v>0</v>
      </c>
    </row>
    <row r="74" spans="1:39" ht="15" hidden="1">
      <c r="A74" s="325" t="s">
        <v>155</v>
      </c>
      <c r="B74" s="322" t="str">
        <f>VLOOKUP(OPX_LE3!$A75,Tableau106[],3,FALSE)</f>
        <v>F239</v>
      </c>
      <c r="C74" s="322" t="str">
        <f>VLOOKUP(OPX_LE3!$A75,Tableau106[],2,FALSE)</f>
        <v>FR28E91E</v>
      </c>
      <c r="D74" s="322" t="str">
        <f>VLOOKUP(OPX_LE3!$A75,Tableau106[],8,FALSE)</f>
        <v>EOLIEN</v>
      </c>
      <c r="E74" s="324">
        <f>VLOOKUP(OPX_LE3!$A75,Tableau106[],4,FALSE)</f>
        <v>18.399999999999999</v>
      </c>
      <c r="F74" s="322" t="str">
        <f>VLOOKUP(OPX_LE3!$A75,Tableau106[],5,FALSE)</f>
        <v>GAR1, GAR2</v>
      </c>
      <c r="G74" s="322" t="str">
        <f>VLOOKUP(OPX_LE3!$A75,Tableau106[],7,FALSE)</f>
        <v>FUTUREN</v>
      </c>
      <c r="H74" s="322" t="str">
        <f>VLOOKUP(OPX_LE3!$A75,Tableau106[],6,FALSE)</f>
        <v>N</v>
      </c>
      <c r="I74" s="322" t="str">
        <f>VLOOKUP(OPX_LE3!$A75,Tableau106[],9,FALSE)</f>
        <v>NoS</v>
      </c>
      <c r="J74" s="254">
        <v>-16811</v>
      </c>
      <c r="K74" s="228"/>
      <c r="L74" s="228"/>
      <c r="M74" s="229">
        <f>+VLOOKUP(Tableau163[[#This Row],[CODE PI]],Tableau15[[CODE PI]:[Prestations diverses  &amp; accompagnements interne (1,6 k€ par jour d''acc)]],8,FALSE)</f>
        <v>0</v>
      </c>
      <c r="N74" s="229">
        <f>+VLOOKUP(Tableau163[[#This Row],[CODE PI]],Tableau15[[CODE PI]:[Prestations diverses  &amp; accompagnements interne (1,6 k€ par jour d''acc)]],9,FALSE)</f>
        <v>0</v>
      </c>
      <c r="O74" s="229">
        <f>+VLOOKUP(Tableau163[[#This Row],[CODE PI]],Tableau15[[CODE PI]:[Prestations diverses  &amp; accompagnements interne (1,6 k€ par jour d''acc)]],10,FALSE)</f>
        <v>0</v>
      </c>
      <c r="P74" s="229">
        <f>+VLOOKUP(Tableau163[[#This Row],[CODE PI]],Tableau15[[CODE PI]:[Prestations diverses  &amp; accompagnements interne (1,6 k€ par jour d''acc)]],11,FALSE)</f>
        <v>0</v>
      </c>
      <c r="Q74" s="230">
        <f>-250*OPX_LE3!$E75</f>
        <v>-4600</v>
      </c>
      <c r="R74" s="311">
        <f>SUM(OPX_LE3!$K75:$Q75)</f>
        <v>-24600</v>
      </c>
      <c r="S74" s="337">
        <v>-547083</v>
      </c>
      <c r="T74" s="361">
        <v>-2500</v>
      </c>
      <c r="U74" s="362">
        <v>0</v>
      </c>
      <c r="V74" s="361">
        <v>-17000</v>
      </c>
      <c r="W74" s="361">
        <v>-9600</v>
      </c>
      <c r="X74" s="361">
        <v>0</v>
      </c>
      <c r="Y74" s="361">
        <v>0</v>
      </c>
      <c r="Z74" s="264">
        <v>-4600</v>
      </c>
      <c r="AA74" s="423"/>
      <c r="AB74" s="273">
        <f>SUM(OPX_LE3!$T75:$AA75)</f>
        <v>-33700</v>
      </c>
      <c r="AC74" s="426">
        <f t="shared" si="1"/>
        <v>-11500</v>
      </c>
      <c r="AD74" s="426"/>
      <c r="AE74" s="417">
        <v>0</v>
      </c>
      <c r="AF74" s="417">
        <v>0</v>
      </c>
      <c r="AG74" s="417">
        <v>0</v>
      </c>
      <c r="AH74" s="417">
        <v>0</v>
      </c>
      <c r="AI74" s="417">
        <v>0</v>
      </c>
      <c r="AJ74" s="317">
        <f>SUM(OPX_LE3!$AC75:$AI75)</f>
        <v>0</v>
      </c>
      <c r="AK74" s="424">
        <v>0</v>
      </c>
      <c r="AL74" s="276">
        <f>SUM(OPX_LE3!$J75,OPX_LE3!$AB75,OPX_LE3!$S75,OPX_LE3!$AJ75,OPX_LE3!$R75,OPX_LE3!$AK75)</f>
        <v>-622194</v>
      </c>
      <c r="AM74" s="427">
        <v>0</v>
      </c>
    </row>
    <row r="75" spans="1:39" ht="15" hidden="1">
      <c r="A75" s="244" t="s">
        <v>505</v>
      </c>
      <c r="B75" s="232" t="str">
        <f>VLOOKUP(OPX_LE3!$A76,Tableau106[],3,FALSE)</f>
        <v>A237</v>
      </c>
      <c r="C75" s="232" t="str">
        <f>VLOOKUP(OPX_LE3!$A76,Tableau106[],2,FALSE)</f>
        <v>FR23S01E</v>
      </c>
      <c r="D75" s="232" t="str">
        <f>VLOOKUP(OPX_LE3!$A76,Tableau106[],8,FALSE)</f>
        <v>SOLAIRE</v>
      </c>
      <c r="E75" s="233">
        <f>VLOOKUP(OPX_LE3!$A76,Tableau106[],4,FALSE)</f>
        <v>14.7</v>
      </c>
      <c r="F75" s="232" t="str">
        <f>VLOOKUP(OPX_LE3!$A76,Tableau106[],5,FALSE)</f>
        <v>GDGT</v>
      </c>
      <c r="G75" s="232" t="str">
        <f>VLOOKUP(OPX_LE3!$A76,Tableau106[],7,FALSE)</f>
        <v>GROUPE</v>
      </c>
      <c r="H75" s="232" t="str">
        <f>VLOOKUP(OPX_LE3!$A76,Tableau106[],6,FALSE)</f>
        <v>S</v>
      </c>
      <c r="I75" s="232" t="str">
        <f>VLOOKUP(OPX_LE3!$A76,Tableau106[],9,FALSE)</f>
        <v>ArB</v>
      </c>
      <c r="J75" s="254">
        <v>0</v>
      </c>
      <c r="K75" s="228"/>
      <c r="L75" s="228"/>
      <c r="M75" s="229">
        <f>+VLOOKUP(Tableau163[[#This Row],[CODE PI]],Tableau15[[CODE PI]:[Prestations diverses  &amp; accompagnements interne (1,6 k€ par jour d''acc)]],8,FALSE)</f>
        <v>0</v>
      </c>
      <c r="N75" s="229">
        <f>+VLOOKUP(Tableau163[[#This Row],[CODE PI]],Tableau15[[CODE PI]:[Prestations diverses  &amp; accompagnements interne (1,6 k€ par jour d''acc)]],9,FALSE)</f>
        <v>0</v>
      </c>
      <c r="O75" s="229">
        <f>+VLOOKUP(Tableau163[[#This Row],[CODE PI]],Tableau15[[CODE PI]:[Prestations diverses  &amp; accompagnements interne (1,6 k€ par jour d''acc)]],10,FALSE)</f>
        <v>0</v>
      </c>
      <c r="P75" s="229">
        <v>-8200</v>
      </c>
      <c r="Q75" s="230">
        <f>-250*OPX_LE3!$E76</f>
        <v>-3675</v>
      </c>
      <c r="R75" s="311">
        <f>SUM(OPX_LE3!$K76:$Q76)</f>
        <v>-11875</v>
      </c>
      <c r="S75" s="337">
        <v>-35956</v>
      </c>
      <c r="T75" s="361">
        <v>-5000</v>
      </c>
      <c r="U75" s="362">
        <v>0</v>
      </c>
      <c r="V75" s="361">
        <v>-22000</v>
      </c>
      <c r="W75" s="361">
        <v>0</v>
      </c>
      <c r="X75" s="361">
        <v>0</v>
      </c>
      <c r="Y75" s="361">
        <v>-7500</v>
      </c>
      <c r="Z75" s="264">
        <v>-3675</v>
      </c>
      <c r="AA75" s="423">
        <v>-1800</v>
      </c>
      <c r="AB75" s="273">
        <f>SUM(OPX_LE3!$T76:$AA76)</f>
        <v>-33975</v>
      </c>
      <c r="AC75" s="426">
        <f t="shared" si="1"/>
        <v>-11500</v>
      </c>
      <c r="AD75" s="426"/>
      <c r="AE75" s="417">
        <v>0</v>
      </c>
      <c r="AF75" s="417">
        <v>0</v>
      </c>
      <c r="AG75" s="417">
        <v>0</v>
      </c>
      <c r="AH75" s="417">
        <v>-3250</v>
      </c>
      <c r="AI75" s="417">
        <v>0</v>
      </c>
      <c r="AJ75" s="317">
        <f>SUM(OPX_LE3!$AC76:$AI76)</f>
        <v>-3250</v>
      </c>
      <c r="AK75" s="424">
        <v>0</v>
      </c>
      <c r="AL75" s="276">
        <f>SUM(OPX_LE3!$J76,OPX_LE3!$AB76,OPX_LE3!$S76,OPX_LE3!$AJ76,OPX_LE3!$R76,OPX_LE3!$AK76)</f>
        <v>-85056</v>
      </c>
      <c r="AM75" s="427">
        <v>0</v>
      </c>
    </row>
    <row r="76" spans="1:39" ht="15" hidden="1">
      <c r="A76" s="325" t="s">
        <v>565</v>
      </c>
      <c r="B76" s="322" t="str">
        <f>VLOOKUP(OPX_LE3!$A77,Tableau106[],3,FALSE)</f>
        <v>A540</v>
      </c>
      <c r="C76" s="322" t="str">
        <f>VLOOKUP(OPX_LE3!$A77,Tableau106[],2,FALSE)</f>
        <v>FR56E02E</v>
      </c>
      <c r="D76" s="322" t="str">
        <f>VLOOKUP(OPX_LE3!$A77,Tableau106[],8,FALSE)</f>
        <v>EOLIEN</v>
      </c>
      <c r="E76" s="324">
        <f>VLOOKUP(OPX_LE3!$A77,Tableau106[],4,FALSE)</f>
        <v>12</v>
      </c>
      <c r="F76" s="322" t="str">
        <f>VLOOKUP(OPX_LE3!$A77,Tableau106[],5,FALSE)</f>
        <v>GRPL</v>
      </c>
      <c r="G76" s="322" t="str">
        <f>VLOOKUP(OPX_LE3!$A77,Tableau106[],7,FALSE)</f>
        <v>EGM</v>
      </c>
      <c r="H76" s="322" t="str">
        <f>VLOOKUP(OPX_LE3!$A77,Tableau106[],6,FALSE)</f>
        <v>N</v>
      </c>
      <c r="I76" s="322" t="str">
        <f>VLOOKUP(OPX_LE3!$A77,Tableau106[],9,FALSE)</f>
        <v>MaA</v>
      </c>
      <c r="J76" s="254">
        <v>-309748</v>
      </c>
      <c r="K76" s="228"/>
      <c r="L76" s="228"/>
      <c r="M76" s="229">
        <f>+VLOOKUP(Tableau163[[#This Row],[CODE PI]],Tableau15[[CODE PI]:[Prestations diverses  &amp; accompagnements interne (1,6 k€ par jour d''acc)]],8,FALSE)</f>
        <v>0</v>
      </c>
      <c r="N76" s="229">
        <f>+VLOOKUP(Tableau163[[#This Row],[CODE PI]],Tableau15[[CODE PI]:[Prestations diverses  &amp; accompagnements interne (1,6 k€ par jour d''acc)]],9,FALSE)</f>
        <v>0</v>
      </c>
      <c r="O76" s="229">
        <f>+VLOOKUP(Tableau163[[#This Row],[CODE PI]],Tableau15[[CODE PI]:[Prestations diverses  &amp; accompagnements interne (1,6 k€ par jour d''acc)]],10,FALSE)</f>
        <v>-3000</v>
      </c>
      <c r="P76" s="229">
        <f>+VLOOKUP(Tableau163[[#This Row],[CODE PI]],Tableau15[[CODE PI]:[Prestations diverses  &amp; accompagnements interne (1,6 k€ par jour d''acc)]],11,FALSE)</f>
        <v>-4200</v>
      </c>
      <c r="Q76" s="230">
        <f>-250*OPX_LE3!$E77</f>
        <v>-3000</v>
      </c>
      <c r="R76" s="311">
        <f>SUM(OPX_LE3!$K77:$Q77)</f>
        <v>-393110</v>
      </c>
      <c r="S76" s="337">
        <v>0</v>
      </c>
      <c r="T76" s="361">
        <v>0</v>
      </c>
      <c r="U76" s="362">
        <v>0</v>
      </c>
      <c r="V76" s="361">
        <v>-2000</v>
      </c>
      <c r="W76" s="361">
        <v>0</v>
      </c>
      <c r="X76" s="361">
        <v>-4000</v>
      </c>
      <c r="Y76" s="361">
        <v>0</v>
      </c>
      <c r="Z76" s="264">
        <v>-3000</v>
      </c>
      <c r="AA76" s="423"/>
      <c r="AB76" s="273">
        <f>SUM(OPX_LE3!$T77:$AA77)</f>
        <v>-40637</v>
      </c>
      <c r="AC76" s="426">
        <f t="shared" si="1"/>
        <v>-11500</v>
      </c>
      <c r="AD76" s="426"/>
      <c r="AE76" s="417">
        <v>0</v>
      </c>
      <c r="AF76" s="417">
        <v>0</v>
      </c>
      <c r="AG76" s="417">
        <v>0</v>
      </c>
      <c r="AH76" s="417">
        <v>0</v>
      </c>
      <c r="AI76" s="417">
        <v>0</v>
      </c>
      <c r="AJ76" s="317">
        <f>SUM(OPX_LE3!$AC77:$AI77)</f>
        <v>0</v>
      </c>
      <c r="AK76" s="424">
        <v>0</v>
      </c>
      <c r="AL76" s="276">
        <f>SUM(OPX_LE3!$J77,OPX_LE3!$AB77,OPX_LE3!$S77,OPX_LE3!$AJ77,OPX_LE3!$R77,OPX_LE3!$AK77)</f>
        <v>-743495</v>
      </c>
      <c r="AM76" s="427">
        <v>0</v>
      </c>
    </row>
    <row r="77" spans="1:39" ht="15">
      <c r="A77" s="244" t="s">
        <v>467</v>
      </c>
      <c r="B77" s="232" t="str">
        <f>VLOOKUP(OPX_LE3!$A78,Tableau106[],3,FALSE)</f>
        <v>A420</v>
      </c>
      <c r="C77" s="232" t="str">
        <f>VLOOKUP(OPX_LE3!$A78,Tableau106[],2,FALSE)</f>
        <v>FR28E02E</v>
      </c>
      <c r="D77" s="232" t="str">
        <f>VLOOKUP(OPX_LE3!$A78,Tableau106[],8,FALSE)</f>
        <v>EOLIEN</v>
      </c>
      <c r="E77" s="233">
        <f>VLOOKUP(OPX_LE3!$A78,Tableau106[],4,FALSE)</f>
        <v>17.7</v>
      </c>
      <c r="F77" s="232" t="str">
        <f>VLOOKUP(OPX_LE3!$A78,Tableau106[],5,FALSE)</f>
        <v>GUIL</v>
      </c>
      <c r="G77" s="232" t="str">
        <f>VLOOKUP(OPX_LE3!$A78,Tableau106[],7,FALSE)</f>
        <v>GROUPE</v>
      </c>
      <c r="H77" s="232" t="str">
        <f>VLOOKUP(OPX_LE3!$A78,Tableau106[],6,FALSE)</f>
        <v>N</v>
      </c>
      <c r="I77" s="232" t="str">
        <f>VLOOKUP(OPX_LE3!$A78,Tableau106[],9,FALSE)</f>
        <v>AlY</v>
      </c>
      <c r="J77" s="254">
        <v>-23174</v>
      </c>
      <c r="K77" s="228"/>
      <c r="L77" s="228"/>
      <c r="M77" s="229">
        <v>-600</v>
      </c>
      <c r="N77" s="229">
        <v>-3600</v>
      </c>
      <c r="O77" s="229">
        <f>+VLOOKUP(Tableau163[[#This Row],[CODE PI]],Tableau15[[CODE PI]:[Prestations diverses  &amp; accompagnements interne (1,6 k€ par jour d''acc)]],10,FALSE)</f>
        <v>0</v>
      </c>
      <c r="P77" s="229">
        <f>+VLOOKUP(Tableau163[[#This Row],[CODE PI]],Tableau15[[CODE PI]:[Prestations diverses  &amp; accompagnements interne (1,6 k€ par jour d''acc)]],11,FALSE)</f>
        <v>-6195</v>
      </c>
      <c r="Q77" s="230">
        <f>-250*OPX_LE3!$E78</f>
        <v>-4425</v>
      </c>
      <c r="R77" s="311">
        <f>SUM(OPX_LE3!$K78:$Q78)</f>
        <v>-17403</v>
      </c>
      <c r="S77" s="337">
        <v>-266064</v>
      </c>
      <c r="T77" s="361">
        <v>0</v>
      </c>
      <c r="U77" s="362">
        <v>0</v>
      </c>
      <c r="V77" s="361">
        <v>0</v>
      </c>
      <c r="W77" s="361">
        <v>-1000</v>
      </c>
      <c r="X77" s="361">
        <v>0</v>
      </c>
      <c r="Y77" s="361">
        <v>0</v>
      </c>
      <c r="Z77" s="264">
        <v>-4425</v>
      </c>
      <c r="AA77" s="423"/>
      <c r="AB77" s="273">
        <f>SUM(OPX_LE3!$T78:$AA78)</f>
        <v>-8625</v>
      </c>
      <c r="AC77" s="426">
        <f t="shared" si="1"/>
        <v>-11500</v>
      </c>
      <c r="AD77" s="426"/>
      <c r="AE77" s="417">
        <v>0</v>
      </c>
      <c r="AF77" s="417">
        <v>0</v>
      </c>
      <c r="AG77" s="417">
        <v>0</v>
      </c>
      <c r="AH77" s="417">
        <v>0</v>
      </c>
      <c r="AI77" s="417">
        <v>-12200</v>
      </c>
      <c r="AJ77" s="317">
        <f>SUM(OPX_LE3!$AC78:$AI78)</f>
        <v>-12200</v>
      </c>
      <c r="AK77" s="424">
        <v>0</v>
      </c>
      <c r="AL77" s="276">
        <f>SUM(OPX_LE3!$J78,OPX_LE3!$AB78,OPX_LE3!$S78,OPX_LE3!$AJ78,OPX_LE3!$R78,OPX_LE3!$AK78)</f>
        <v>-336701</v>
      </c>
      <c r="AM77" s="427">
        <v>0</v>
      </c>
    </row>
    <row r="78" spans="1:39" ht="15" hidden="1">
      <c r="A78" s="325" t="s">
        <v>547</v>
      </c>
      <c r="B78" s="322" t="str">
        <f>VLOOKUP(OPX_LE3!$A79,Tableau106[],3,FALSE)</f>
        <v>F168</v>
      </c>
      <c r="C78" s="322" t="str">
        <f>VLOOKUP(OPX_LE3!$A79,Tableau106[],2,FALSE)</f>
        <v>FR80E91E</v>
      </c>
      <c r="D78" s="322" t="str">
        <f>VLOOKUP(OPX_LE3!$A79,Tableau106[],8,FALSE)</f>
        <v>EOLIEN</v>
      </c>
      <c r="E78" s="324">
        <f>VLOOKUP(OPX_LE3!$A79,Tableau106[],4,FALSE)</f>
        <v>21</v>
      </c>
      <c r="F78" s="322" t="str">
        <f>VLOOKUP(OPX_LE3!$A79,Tableau106[],5,FALSE)</f>
        <v>HAB1, HAB2</v>
      </c>
      <c r="G78" s="322" t="str">
        <f>VLOOKUP(OPX_LE3!$A79,Tableau106[],7,FALSE)</f>
        <v>FUTUREN</v>
      </c>
      <c r="H78" s="322" t="str">
        <f>VLOOKUP(OPX_LE3!$A79,Tableau106[],6,FALSE)</f>
        <v>N</v>
      </c>
      <c r="I78" s="322" t="str">
        <f>VLOOKUP(OPX_LE3!$A79,Tableau106[],9,FALSE)</f>
        <v>NiD</v>
      </c>
      <c r="J78" s="254">
        <v>-15210</v>
      </c>
      <c r="K78" s="228"/>
      <c r="L78" s="228"/>
      <c r="M78" s="229">
        <f>+VLOOKUP(Tableau163[[#This Row],[CODE PI]],Tableau15[[CODE PI]:[Prestations diverses  &amp; accompagnements interne (1,6 k€ par jour d''acc)]],8,FALSE)</f>
        <v>0</v>
      </c>
      <c r="N78" s="229">
        <f>+VLOOKUP(Tableau163[[#This Row],[CODE PI]],Tableau15[[CODE PI]:[Prestations diverses  &amp; accompagnements interne (1,6 k€ par jour d''acc)]],9,FALSE)</f>
        <v>0</v>
      </c>
      <c r="O78" s="229">
        <f>+VLOOKUP(Tableau163[[#This Row],[CODE PI]],Tableau15[[CODE PI]:[Prestations diverses  &amp; accompagnements interne (1,6 k€ par jour d''acc)]],10,FALSE)</f>
        <v>0</v>
      </c>
      <c r="P78" s="229">
        <f>+VLOOKUP(Tableau163[[#This Row],[CODE PI]],Tableau15[[CODE PI]:[Prestations diverses  &amp; accompagnements interne (1,6 k€ par jour d''acc)]],11,FALSE)</f>
        <v>0</v>
      </c>
      <c r="Q78" s="230">
        <f>-250*OPX_LE3!$E79</f>
        <v>-5250</v>
      </c>
      <c r="R78" s="311">
        <f>SUM(OPX_LE3!$K79:$Q79)</f>
        <v>-8550</v>
      </c>
      <c r="S78" s="337">
        <v>-526334</v>
      </c>
      <c r="T78" s="361">
        <v>-6719</v>
      </c>
      <c r="U78" s="362">
        <v>0</v>
      </c>
      <c r="V78" s="361">
        <v>-2000</v>
      </c>
      <c r="W78" s="361">
        <v>-3500</v>
      </c>
      <c r="X78" s="361">
        <v>0</v>
      </c>
      <c r="Y78" s="361">
        <v>0</v>
      </c>
      <c r="Z78" s="264">
        <v>-5250</v>
      </c>
      <c r="AA78" s="423"/>
      <c r="AB78" s="273">
        <f>SUM(OPX_LE3!$T79:$AA79)</f>
        <v>-17469</v>
      </c>
      <c r="AC78" s="426"/>
      <c r="AD78" s="426"/>
      <c r="AE78" s="417">
        <v>0</v>
      </c>
      <c r="AF78" s="417">
        <v>0</v>
      </c>
      <c r="AG78" s="417">
        <v>0</v>
      </c>
      <c r="AH78" s="417">
        <v>0</v>
      </c>
      <c r="AI78" s="417">
        <v>0</v>
      </c>
      <c r="AJ78" s="317">
        <f>SUM(OPX_LE3!$AC79:$AI79)</f>
        <v>0</v>
      </c>
      <c r="AK78" s="424">
        <v>0</v>
      </c>
      <c r="AL78" s="276">
        <f>SUM(OPX_LE3!$J79,OPX_LE3!$AB79,OPX_LE3!$S79,OPX_LE3!$AJ79,OPX_LE3!$R79,OPX_LE3!$AK79)</f>
        <v>-568276</v>
      </c>
      <c r="AM78" s="427">
        <v>0</v>
      </c>
    </row>
    <row r="79" spans="1:39" ht="15" hidden="1">
      <c r="A79" s="244" t="s">
        <v>477</v>
      </c>
      <c r="B79" s="232" t="str">
        <f>VLOOKUP(OPX_LE3!$A80,Tableau106[],3,FALSE)</f>
        <v>A531</v>
      </c>
      <c r="C79" s="232" t="str">
        <f>VLOOKUP(OPX_LE3!$A80,Tableau106[],2,FALSE)</f>
        <v>FR62E01E</v>
      </c>
      <c r="D79" s="232" t="str">
        <f>VLOOKUP(OPX_LE3!$A80,Tableau106[],8,FALSE)</f>
        <v>EOLIEN</v>
      </c>
      <c r="E79" s="233">
        <f>VLOOKUP(OPX_LE3!$A80,Tableau106[],4,FALSE)</f>
        <v>6</v>
      </c>
      <c r="F79" s="232" t="str">
        <f>VLOOKUP(OPX_LE3!$A80,Tableau106[],5,FALSE)</f>
        <v>HENI</v>
      </c>
      <c r="G79" s="232" t="str">
        <f>VLOOKUP(OPX_LE3!$A80,Tableau106[],7,FALSE)</f>
        <v>GROUPE</v>
      </c>
      <c r="H79" s="232" t="str">
        <f>VLOOKUP(OPX_LE3!$A80,Tableau106[],6,FALSE)</f>
        <v>N</v>
      </c>
      <c r="I79" s="232" t="str">
        <f>VLOOKUP(OPX_LE3!$A80,Tableau106[],9,FALSE)</f>
        <v>NiL</v>
      </c>
      <c r="J79" s="254">
        <v>-9220</v>
      </c>
      <c r="K79" s="228"/>
      <c r="L79" s="228"/>
      <c r="M79" s="229">
        <f>+VLOOKUP(Tableau163[[#This Row],[CODE PI]],Tableau15[[CODE PI]:[Prestations diverses  &amp; accompagnements interne (1,6 k€ par jour d''acc)]],8,FALSE)</f>
        <v>0</v>
      </c>
      <c r="N79" s="229">
        <f>+VLOOKUP(Tableau163[[#This Row],[CODE PI]],Tableau15[[CODE PI]:[Prestations diverses  &amp; accompagnements interne (1,6 k€ par jour d''acc)]],9,FALSE)</f>
        <v>0</v>
      </c>
      <c r="O79" s="229">
        <f>+VLOOKUP(Tableau163[[#This Row],[CODE PI]],Tableau15[[CODE PI]:[Prestations diverses  &amp; accompagnements interne (1,6 k€ par jour d''acc)]],10,FALSE)</f>
        <v>0</v>
      </c>
      <c r="P79" s="229">
        <f>+VLOOKUP(Tableau163[[#This Row],[CODE PI]],Tableau15[[CODE PI]:[Prestations diverses  &amp; accompagnements interne (1,6 k€ par jour d''acc)]],11,FALSE)</f>
        <v>-2100</v>
      </c>
      <c r="Q79" s="230">
        <f>-250*OPX_LE3!$E80</f>
        <v>-1500</v>
      </c>
      <c r="R79" s="311">
        <f>SUM(OPX_LE3!$K80:$Q80)</f>
        <v>-17190</v>
      </c>
      <c r="S79" s="337">
        <v>-197309</v>
      </c>
      <c r="T79" s="361">
        <v>0</v>
      </c>
      <c r="U79" s="362">
        <v>0</v>
      </c>
      <c r="V79" s="361">
        <v>-600</v>
      </c>
      <c r="W79" s="361">
        <v>0</v>
      </c>
      <c r="X79" s="361">
        <v>0</v>
      </c>
      <c r="Y79" s="361">
        <v>0</v>
      </c>
      <c r="Z79" s="264">
        <f>-1500-1600-1600</f>
        <v>-4700</v>
      </c>
      <c r="AA79" s="423"/>
      <c r="AB79" s="273">
        <f>SUM(OPX_LE3!$T80:$AA80)</f>
        <v>-9380</v>
      </c>
      <c r="AC79" s="426">
        <f t="shared" si="1"/>
        <v>-11500</v>
      </c>
      <c r="AD79" s="426"/>
      <c r="AE79" s="417">
        <v>0</v>
      </c>
      <c r="AF79" s="417">
        <v>-8411</v>
      </c>
      <c r="AG79" s="417">
        <v>-32435</v>
      </c>
      <c r="AH79" s="417">
        <v>0</v>
      </c>
      <c r="AI79" s="417">
        <v>0</v>
      </c>
      <c r="AJ79" s="317">
        <f>SUM(OPX_LE3!$AC80:$AI80)</f>
        <v>-40846</v>
      </c>
      <c r="AK79" s="424">
        <v>0</v>
      </c>
      <c r="AL79" s="276">
        <f>SUM(OPX_LE3!$J80,OPX_LE3!$AB80,OPX_LE3!$S80,OPX_LE3!$AJ80,OPX_LE3!$R80,OPX_LE3!$AK80)</f>
        <v>-273945</v>
      </c>
      <c r="AM79" s="427">
        <v>0</v>
      </c>
    </row>
    <row r="80" spans="1:39" ht="15" hidden="1">
      <c r="A80" s="325" t="s">
        <v>458</v>
      </c>
      <c r="B80" s="322" t="str">
        <f>VLOOKUP(OPX_LE3!$A81,Tableau106[],3,FALSE)</f>
        <v>A540</v>
      </c>
      <c r="C80" s="322" t="str">
        <f>VLOOKUP(OPX_LE3!$A81,Tableau106[],2,FALSE)</f>
        <v>FR14E03E</v>
      </c>
      <c r="D80" s="322" t="str">
        <f>VLOOKUP(OPX_LE3!$A81,Tableau106[],8,FALSE)</f>
        <v>EOLIEN</v>
      </c>
      <c r="E80" s="324">
        <f>VLOOKUP(OPX_LE3!$A81,Tableau106[],4,FALSE)</f>
        <v>8</v>
      </c>
      <c r="F80" s="322" t="str">
        <f>VLOOKUP(OPX_LE3!$A81,Tableau106[],5,FALSE)</f>
        <v>HERO</v>
      </c>
      <c r="G80" s="322" t="str">
        <f>VLOOKUP(OPX_LE3!$A81,Tableau106[],7,FALSE)</f>
        <v>EGM</v>
      </c>
      <c r="H80" s="322" t="str">
        <f>VLOOKUP(OPX_LE3!$A81,Tableau106[],6,FALSE)</f>
        <v>N</v>
      </c>
      <c r="I80" s="322" t="str">
        <f>VLOOKUP(OPX_LE3!$A81,Tableau106[],9,FALSE)</f>
        <v>DeN</v>
      </c>
      <c r="J80" s="254">
        <v>-206499</v>
      </c>
      <c r="K80" s="228"/>
      <c r="L80" s="228"/>
      <c r="M80" s="229">
        <f>+VLOOKUP(Tableau163[[#This Row],[CODE PI]],Tableau15[[CODE PI]:[Prestations diverses  &amp; accompagnements interne (1,6 k€ par jour d''acc)]],8,FALSE)</f>
        <v>0</v>
      </c>
      <c r="N80" s="229">
        <f>+VLOOKUP(Tableau163[[#This Row],[CODE PI]],Tableau15[[CODE PI]:[Prestations diverses  &amp; accompagnements interne (1,6 k€ par jour d''acc)]],9,FALSE)</f>
        <v>0</v>
      </c>
      <c r="O80" s="229">
        <f>+VLOOKUP(Tableau163[[#This Row],[CODE PI]],Tableau15[[CODE PI]:[Prestations diverses  &amp; accompagnements interne (1,6 k€ par jour d''acc)]],10,FALSE)</f>
        <v>0</v>
      </c>
      <c r="P80" s="229">
        <f>+VLOOKUP(Tableau163[[#This Row],[CODE PI]],Tableau15[[CODE PI]:[Prestations diverses  &amp; accompagnements interne (1,6 k€ par jour d''acc)]],11,FALSE)</f>
        <v>-2800</v>
      </c>
      <c r="Q80" s="230">
        <f>-250*OPX_LE3!$E81</f>
        <v>-2000</v>
      </c>
      <c r="R80" s="311">
        <f>SUM(OPX_LE3!$K81:$Q81)</f>
        <v>-124800</v>
      </c>
      <c r="S80" s="337">
        <v>0</v>
      </c>
      <c r="T80" s="361">
        <v>0</v>
      </c>
      <c r="U80" s="362">
        <v>0</v>
      </c>
      <c r="V80" s="361">
        <v>-1000</v>
      </c>
      <c r="W80" s="361">
        <v>0</v>
      </c>
      <c r="X80" s="361">
        <v>0</v>
      </c>
      <c r="Y80" s="361">
        <v>0</v>
      </c>
      <c r="Z80" s="264">
        <v>-2000</v>
      </c>
      <c r="AA80" s="423"/>
      <c r="AB80" s="273">
        <f>SUM(OPX_LE3!$T81:$AA81)</f>
        <v>-32434.400000000001</v>
      </c>
      <c r="AC80" s="426">
        <f t="shared" si="1"/>
        <v>-11500</v>
      </c>
      <c r="AD80" s="426"/>
      <c r="AE80" s="417">
        <v>0</v>
      </c>
      <c r="AF80" s="417">
        <v>0</v>
      </c>
      <c r="AG80" s="417">
        <v>0</v>
      </c>
      <c r="AH80" s="417">
        <v>0</v>
      </c>
      <c r="AI80" s="417">
        <v>0</v>
      </c>
      <c r="AJ80" s="317">
        <f>SUM(OPX_LE3!$AC81:$AI81)</f>
        <v>-5000</v>
      </c>
      <c r="AK80" s="424">
        <v>0</v>
      </c>
      <c r="AL80" s="276">
        <f>SUM(OPX_LE3!$J81,OPX_LE3!$AB81,OPX_LE3!$S81,OPX_LE3!$AJ81,OPX_LE3!$R81,OPX_LE3!$AK81)</f>
        <v>-368733.4</v>
      </c>
      <c r="AM80" s="427">
        <v>0</v>
      </c>
    </row>
    <row r="81" spans="1:39" ht="15" hidden="1">
      <c r="A81" s="244" t="s">
        <v>464</v>
      </c>
      <c r="B81" s="232" t="str">
        <f>VLOOKUP(OPX_LE3!$A82,Tableau106[],3,FALSE)</f>
        <v>A281</v>
      </c>
      <c r="C81" s="232" t="str">
        <f>VLOOKUP(OPX_LE3!$A82,Tableau106[],2,FALSE)</f>
        <v>FR86E05E</v>
      </c>
      <c r="D81" s="232" t="str">
        <f>VLOOKUP(OPX_LE3!$A82,Tableau106[],8,FALSE)</f>
        <v>EOLIEN</v>
      </c>
      <c r="E81" s="233">
        <f>VLOOKUP(OPX_LE3!$A82,Tableau106[],4,FALSE)</f>
        <v>15</v>
      </c>
      <c r="F81" s="232" t="str">
        <f>VLOOKUP(OPX_LE3!$A82,Tableau106[],5,FALSE)</f>
        <v>JAVI</v>
      </c>
      <c r="G81" s="232" t="str">
        <f>VLOOKUP(OPX_LE3!$A82,Tableau106[],7,FALSE)</f>
        <v>PARTNER</v>
      </c>
      <c r="H81" s="232" t="str">
        <f>VLOOKUP(OPX_LE3!$A82,Tableau106[],6,FALSE)</f>
        <v>S</v>
      </c>
      <c r="I81" s="232" t="str">
        <f>VLOOKUP(OPX_LE3!$A82,Tableau106[],9,FALSE)</f>
        <v>PiM</v>
      </c>
      <c r="J81" s="254">
        <v>0</v>
      </c>
      <c r="K81" s="228"/>
      <c r="L81" s="228"/>
      <c r="M81" s="229">
        <f>+VLOOKUP(Tableau163[[#This Row],[CODE PI]],Tableau15[[CODE PI]:[Prestations diverses  &amp; accompagnements interne (1,6 k€ par jour d''acc)]],8,FALSE)</f>
        <v>0</v>
      </c>
      <c r="N81" s="229">
        <f>+VLOOKUP(Tableau163[[#This Row],[CODE PI]],Tableau15[[CODE PI]:[Prestations diverses  &amp; accompagnements interne (1,6 k€ par jour d''acc)]],9,FALSE)</f>
        <v>0</v>
      </c>
      <c r="O81" s="229">
        <f>+VLOOKUP(Tableau163[[#This Row],[CODE PI]],Tableau15[[CODE PI]:[Prestations diverses  &amp; accompagnements interne (1,6 k€ par jour d''acc)]],10,FALSE)</f>
        <v>0</v>
      </c>
      <c r="P81" s="229">
        <f>+VLOOKUP(Tableau163[[#This Row],[CODE PI]],Tableau15[[CODE PI]:[Prestations diverses  &amp; accompagnements interne (1,6 k€ par jour d''acc)]],11,FALSE)</f>
        <v>-5250</v>
      </c>
      <c r="Q81" s="230">
        <f>-250*OPX_LE3!$E82</f>
        <v>-3750</v>
      </c>
      <c r="R81" s="311">
        <f>SUM(OPX_LE3!$K82:$Q82)</f>
        <v>-29359.41</v>
      </c>
      <c r="S81" s="337">
        <v>-275627</v>
      </c>
      <c r="T81" s="361">
        <v>-2000</v>
      </c>
      <c r="U81" s="362">
        <v>0</v>
      </c>
      <c r="V81" s="361">
        <v>-3000</v>
      </c>
      <c r="W81" s="361">
        <v>-2250</v>
      </c>
      <c r="X81" s="361">
        <v>0</v>
      </c>
      <c r="Y81" s="361">
        <v>0</v>
      </c>
      <c r="Z81" s="264">
        <v>-3750</v>
      </c>
      <c r="AA81" s="423"/>
      <c r="AB81" s="273">
        <f>SUM(OPX_LE3!$T82:$AA82)</f>
        <v>-50400</v>
      </c>
      <c r="AC81" s="426">
        <f t="shared" si="1"/>
        <v>-11500</v>
      </c>
      <c r="AD81" s="426"/>
      <c r="AE81" s="417">
        <v>-18850.8</v>
      </c>
      <c r="AF81" s="417">
        <v>-10283.969999999999</v>
      </c>
      <c r="AG81" s="417">
        <v>-45647.83</v>
      </c>
      <c r="AH81" s="417">
        <v>0</v>
      </c>
      <c r="AI81" s="417">
        <v>0</v>
      </c>
      <c r="AJ81" s="317">
        <f>SUM(OPX_LE3!$AC82:$AI82)</f>
        <v>-87282.6</v>
      </c>
      <c r="AK81" s="424">
        <v>0</v>
      </c>
      <c r="AL81" s="276">
        <f>SUM(OPX_LE3!$J82,OPX_LE3!$AB82,OPX_LE3!$S82,OPX_LE3!$AJ82,OPX_LE3!$R82,OPX_LE3!$AK82)</f>
        <v>-447769.00999999995</v>
      </c>
      <c r="AM81" s="427">
        <v>0</v>
      </c>
    </row>
    <row r="82" spans="1:39" ht="15" hidden="1">
      <c r="A82" s="325" t="s">
        <v>549</v>
      </c>
      <c r="B82" s="322" t="str">
        <f>VLOOKUP(OPX_LE3!$A83,Tableau106[],3,FALSE)</f>
        <v>F156</v>
      </c>
      <c r="C82" s="322" t="str">
        <f>VLOOKUP(OPX_LE3!$A83,Tableau106[],2,FALSE)</f>
        <v>FR34E10E</v>
      </c>
      <c r="D82" s="322" t="str">
        <f>VLOOKUP(OPX_LE3!$A83,Tableau106[],8,FALSE)</f>
        <v>EOLIEN</v>
      </c>
      <c r="E82" s="324">
        <f>VLOOKUP(OPX_LE3!$A83,Tableau106[],4,FALSE)</f>
        <v>6.3</v>
      </c>
      <c r="F82" s="322" t="str">
        <f>VLOOKUP(OPX_LE3!$A83,Tableau106[],5,FALSE)</f>
        <v>JON2</v>
      </c>
      <c r="G82" s="322" t="str">
        <f>VLOOKUP(OPX_LE3!$A83,Tableau106[],7,FALSE)</f>
        <v>FUTUREN</v>
      </c>
      <c r="H82" s="322" t="str">
        <f>VLOOKUP(OPX_LE3!$A83,Tableau106[],6,FALSE)</f>
        <v>S</v>
      </c>
      <c r="I82" s="322" t="str">
        <f>VLOOKUP(OPX_LE3!$A83,Tableau106[],9,FALSE)</f>
        <v>KéC</v>
      </c>
      <c r="J82" s="254">
        <v>-10147</v>
      </c>
      <c r="K82" s="228"/>
      <c r="L82" s="228"/>
      <c r="M82" s="229">
        <f>+VLOOKUP(Tableau163[[#This Row],[CODE PI]],Tableau15[[CODE PI]:[Prestations diverses  &amp; accompagnements interne (1,6 k€ par jour d''acc)]],8,FALSE)</f>
        <v>0</v>
      </c>
      <c r="N82" s="229">
        <f>+VLOOKUP(Tableau163[[#This Row],[CODE PI]],Tableau15[[CODE PI]:[Prestations diverses  &amp; accompagnements interne (1,6 k€ par jour d''acc)]],9,FALSE)</f>
        <v>0</v>
      </c>
      <c r="O82" s="229">
        <f>+VLOOKUP(Tableau163[[#This Row],[CODE PI]],Tableau15[[CODE PI]:[Prestations diverses  &amp; accompagnements interne (1,6 k€ par jour d''acc)]],10,FALSE)</f>
        <v>0</v>
      </c>
      <c r="P82" s="229">
        <f>+VLOOKUP(Tableau163[[#This Row],[CODE PI]],Tableau15[[CODE PI]:[Prestations diverses  &amp; accompagnements interne (1,6 k€ par jour d''acc)]],11,FALSE)</f>
        <v>0</v>
      </c>
      <c r="Q82" s="230">
        <f>-250*OPX_LE3!$E83</f>
        <v>-1575</v>
      </c>
      <c r="R82" s="311">
        <f>SUM(OPX_LE3!$K83:$Q83)</f>
        <v>-22011</v>
      </c>
      <c r="S82" s="337">
        <v>-79416</v>
      </c>
      <c r="T82" s="361">
        <v>0</v>
      </c>
      <c r="U82" s="362">
        <v>0</v>
      </c>
      <c r="V82" s="361">
        <v>0</v>
      </c>
      <c r="W82" s="361">
        <v>0</v>
      </c>
      <c r="X82" s="361">
        <v>0</v>
      </c>
      <c r="Y82" s="361">
        <v>0</v>
      </c>
      <c r="Z82" s="264">
        <v>-1575</v>
      </c>
      <c r="AA82" s="423"/>
      <c r="AB82" s="273">
        <f>SUM(OPX_LE3!$T83:$AA83)</f>
        <v>-19997.975629849207</v>
      </c>
      <c r="AC82" s="426">
        <f t="shared" si="1"/>
        <v>-11500</v>
      </c>
      <c r="AD82" s="426"/>
      <c r="AE82" s="417">
        <v>-10000</v>
      </c>
      <c r="AF82" s="417">
        <v>0</v>
      </c>
      <c r="AG82" s="417">
        <v>0</v>
      </c>
      <c r="AH82" s="417">
        <v>0</v>
      </c>
      <c r="AI82" s="417">
        <v>-50000</v>
      </c>
      <c r="AJ82" s="317">
        <f>SUM(OPX_LE3!$AC83:$AI83)</f>
        <v>-58202.879999999997</v>
      </c>
      <c r="AK82" s="424">
        <v>0</v>
      </c>
      <c r="AL82" s="276">
        <f>SUM(OPX_LE3!$J83,OPX_LE3!$AB83,OPX_LE3!$S83,OPX_LE3!$AJ83,OPX_LE3!$R83,OPX_LE3!$AK83)</f>
        <v>-198157.3356298492</v>
      </c>
      <c r="AM82" s="427">
        <v>0</v>
      </c>
    </row>
    <row r="83" spans="1:39" ht="15" hidden="1">
      <c r="A83" s="244" t="s">
        <v>568</v>
      </c>
      <c r="B83" s="232" t="str">
        <f>VLOOKUP(OPX_LE3!$A84,Tableau106[],3,FALSE)</f>
        <v>A100</v>
      </c>
      <c r="C83" s="232" t="str">
        <f>VLOOKUP(OPX_LE3!$A84,Tableau106[],2,FALSE)</f>
        <v>FR34E05E</v>
      </c>
      <c r="D83" s="232" t="str">
        <f>VLOOKUP(OPX_LE3!$A84,Tableau106[],8,FALSE)</f>
        <v>EOLIEN</v>
      </c>
      <c r="E83" s="233">
        <f>VLOOKUP(OPX_LE3!$A84,Tableau106[],4,FALSE)</f>
        <v>14.5</v>
      </c>
      <c r="F83" s="232" t="str">
        <f>VLOOKUP(OPX_LE3!$A84,Tableau106[],5,FALSE)</f>
        <v>JONC</v>
      </c>
      <c r="G83" s="232" t="str">
        <f>VLOOKUP(OPX_LE3!$A84,Tableau106[],7,FALSE)</f>
        <v>GROUPE</v>
      </c>
      <c r="H83" s="232" t="str">
        <f>VLOOKUP(OPX_LE3!$A84,Tableau106[],6,FALSE)</f>
        <v>S</v>
      </c>
      <c r="I83" s="232" t="str">
        <f>VLOOKUP(OPX_LE3!$A84,Tableau106[],9,FALSE)</f>
        <v>KéC</v>
      </c>
      <c r="J83" s="254">
        <v>-11154</v>
      </c>
      <c r="K83" s="228"/>
      <c r="L83" s="228"/>
      <c r="M83" s="229">
        <f>+VLOOKUP(Tableau163[[#This Row],[CODE PI]],Tableau15[[CODE PI]:[Prestations diverses  &amp; accompagnements interne (1,6 k€ par jour d''acc)]],8,FALSE)</f>
        <v>0</v>
      </c>
      <c r="N83" s="229">
        <f>+VLOOKUP(Tableau163[[#This Row],[CODE PI]],Tableau15[[CODE PI]:[Prestations diverses  &amp; accompagnements interne (1,6 k€ par jour d''acc)]],9,FALSE)</f>
        <v>0</v>
      </c>
      <c r="O83" s="229">
        <f>+VLOOKUP(Tableau163[[#This Row],[CODE PI]],Tableau15[[CODE PI]:[Prestations diverses  &amp; accompagnements interne (1,6 k€ par jour d''acc)]],10,FALSE)</f>
        <v>0</v>
      </c>
      <c r="P83" s="229">
        <f>+VLOOKUP(Tableau163[[#This Row],[CODE PI]],Tableau15[[CODE PI]:[Prestations diverses  &amp; accompagnements interne (1,6 k€ par jour d''acc)]],11,FALSE)</f>
        <v>-5075</v>
      </c>
      <c r="Q83" s="230">
        <f>-250*OPX_LE3!$E84</f>
        <v>-3625</v>
      </c>
      <c r="R83" s="311">
        <f>SUM(OPX_LE3!$K84:$Q84)</f>
        <v>-19121</v>
      </c>
      <c r="S83" s="337">
        <v>-515448</v>
      </c>
      <c r="T83" s="361">
        <v>0</v>
      </c>
      <c r="U83" s="362">
        <v>0</v>
      </c>
      <c r="V83" s="361">
        <v>-20000</v>
      </c>
      <c r="W83" s="361">
        <v>0</v>
      </c>
      <c r="X83" s="361">
        <v>0</v>
      </c>
      <c r="Y83" s="361">
        <v>0</v>
      </c>
      <c r="Z83" s="264">
        <v>-3625</v>
      </c>
      <c r="AA83" s="423"/>
      <c r="AB83" s="273">
        <f>SUM(OPX_LE3!$T84:$AA84)</f>
        <v>-27312.496487707504</v>
      </c>
      <c r="AC83" s="426">
        <f t="shared" si="1"/>
        <v>-11500</v>
      </c>
      <c r="AD83" s="426"/>
      <c r="AE83" s="417">
        <v>-30000</v>
      </c>
      <c r="AF83" s="417">
        <v>-12000</v>
      </c>
      <c r="AG83" s="417">
        <v>-52000</v>
      </c>
      <c r="AH83" s="417">
        <v>-70000</v>
      </c>
      <c r="AI83" s="417">
        <v>-100000</v>
      </c>
      <c r="AJ83" s="317">
        <f>SUM(OPX_LE3!$AC84:$AI84)</f>
        <v>-206427.93</v>
      </c>
      <c r="AK83" s="424">
        <v>-5000</v>
      </c>
      <c r="AL83" s="276">
        <f>SUM(OPX_LE3!$J84,OPX_LE3!$AB84,OPX_LE3!$S84,OPX_LE3!$AJ84,OPX_LE3!$R84,OPX_LE3!$AK84)</f>
        <v>-726946.42648770753</v>
      </c>
      <c r="AM83" s="427">
        <v>0</v>
      </c>
    </row>
    <row r="84" spans="1:39" ht="15" hidden="1">
      <c r="A84" s="325" t="s">
        <v>601</v>
      </c>
      <c r="B84" s="322" t="str">
        <f>VLOOKUP(OPX_LE3!$A85,Tableau106[],3,FALSE)</f>
        <v>A936</v>
      </c>
      <c r="C84" s="322" t="str">
        <f>VLOOKUP(OPX_LE3!$A85,Tableau106[],2,FALSE)</f>
        <v>FR34E83E</v>
      </c>
      <c r="D84" s="322" t="str">
        <f>VLOOKUP(OPX_LE3!$A85,Tableau106[],8,FALSE)</f>
        <v>EOLIEN</v>
      </c>
      <c r="E84" s="324">
        <f>VLOOKUP(OPX_LE3!$A85,Tableau106[],4,FALSE)</f>
        <v>8</v>
      </c>
      <c r="F84" s="322" t="str">
        <f>VLOOKUP(OPX_LE3!$A85,Tableau106[],5,FALSE)</f>
        <v>LAPI</v>
      </c>
      <c r="G84" s="322" t="str">
        <f>VLOOKUP(OPX_LE3!$A85,Tableau106[],7,FALSE)</f>
        <v>FUTUREN</v>
      </c>
      <c r="H84" s="322" t="str">
        <f>VLOOKUP(OPX_LE3!$A85,Tableau106[],6,FALSE)</f>
        <v>S</v>
      </c>
      <c r="I84" s="322" t="str">
        <f>VLOOKUP(OPX_LE3!$A85,Tableau106[],9,FALSE)</f>
        <v>KéD</v>
      </c>
      <c r="J84" s="254">
        <v>-249008</v>
      </c>
      <c r="K84" s="228"/>
      <c r="L84" s="228"/>
      <c r="M84" s="229">
        <f>+VLOOKUP(Tableau163[[#This Row],[CODE PI]],Tableau15[[CODE PI]:[Prestations diverses  &amp; accompagnements interne (1,6 k€ par jour d''acc)]],8,FALSE)</f>
        <v>0</v>
      </c>
      <c r="N84" s="229">
        <f>+VLOOKUP(Tableau163[[#This Row],[CODE PI]],Tableau15[[CODE PI]:[Prestations diverses  &amp; accompagnements interne (1,6 k€ par jour d''acc)]],9,FALSE)</f>
        <v>0</v>
      </c>
      <c r="O84" s="229">
        <f>+VLOOKUP(Tableau163[[#This Row],[CODE PI]],Tableau15[[CODE PI]:[Prestations diverses  &amp; accompagnements interne (1,6 k€ par jour d''acc)]],10,FALSE)</f>
        <v>0</v>
      </c>
      <c r="P84" s="229">
        <f>+VLOOKUP(Tableau163[[#This Row],[CODE PI]],Tableau15[[CODE PI]:[Prestations diverses  &amp; accompagnements interne (1,6 k€ par jour d''acc)]],11,FALSE)</f>
        <v>-2800</v>
      </c>
      <c r="Q84" s="230">
        <f>-250*OPX_LE3!$E85</f>
        <v>-2000</v>
      </c>
      <c r="R84" s="311">
        <f>SUM(OPX_LE3!$K85:$Q85)</f>
        <v>-49810</v>
      </c>
      <c r="S84" s="337">
        <v>0</v>
      </c>
      <c r="T84" s="361">
        <v>0</v>
      </c>
      <c r="U84" s="362">
        <v>0</v>
      </c>
      <c r="V84" s="361">
        <f>-(4650+5000)</f>
        <v>-9650</v>
      </c>
      <c r="W84" s="361">
        <v>0</v>
      </c>
      <c r="X84" s="361">
        <v>0</v>
      </c>
      <c r="Y84" s="361">
        <v>0</v>
      </c>
      <c r="Z84" s="264">
        <v>-2000</v>
      </c>
      <c r="AA84" s="423"/>
      <c r="AB84" s="273">
        <f>SUM(OPX_LE3!$T85:$AA85)</f>
        <v>-11650</v>
      </c>
      <c r="AC84" s="231">
        <f>-((6184*4)+1500)</f>
        <v>-26236</v>
      </c>
      <c r="AD84" s="426"/>
      <c r="AE84" s="417">
        <v>-2920</v>
      </c>
      <c r="AF84" s="417">
        <v>0</v>
      </c>
      <c r="AG84" s="417">
        <v>-20214</v>
      </c>
      <c r="AH84" s="417"/>
      <c r="AI84" s="417">
        <v>-37282</v>
      </c>
      <c r="AJ84" s="317">
        <f>SUM(OPX_LE3!$AC85:$AI85)</f>
        <v>-86652</v>
      </c>
      <c r="AK84" s="424">
        <v>0</v>
      </c>
      <c r="AL84" s="276">
        <f>SUM(OPX_LE3!$J85,OPX_LE3!$AB85,OPX_LE3!$S85,OPX_LE3!$AJ85,OPX_LE3!$R85,OPX_LE3!$AK85)</f>
        <v>-397120</v>
      </c>
      <c r="AM84" s="427">
        <v>0</v>
      </c>
    </row>
    <row r="85" spans="1:39" ht="15" hidden="1">
      <c r="A85" s="244" t="s">
        <v>519</v>
      </c>
      <c r="B85" s="232" t="str">
        <f>VLOOKUP(OPX_LE3!$A86,Tableau106[],3,FALSE)</f>
        <v>A071</v>
      </c>
      <c r="C85" s="232" t="str">
        <f>VLOOKUP(OPX_LE3!$A86,Tableau106[],2,FALSE)</f>
        <v>FR97S87E</v>
      </c>
      <c r="D85" s="232" t="str">
        <f>VLOOKUP(OPX_LE3!$A86,Tableau106[],8,FALSE)</f>
        <v>SOLAIRE DOM</v>
      </c>
      <c r="E85" s="233">
        <f>VLOOKUP(OPX_LE3!$A86,Tableau106[],4,FALSE)</f>
        <v>10.452</v>
      </c>
      <c r="F85" s="232" t="str">
        <f>VLOOKUP(OPX_LE3!$A86,Tableau106[],5,FALSE)</f>
        <v>ROSE</v>
      </c>
      <c r="G85" s="232" t="str">
        <f>VLOOKUP(OPX_LE3!$A86,Tableau106[],7,FALSE)</f>
        <v>GROUPE</v>
      </c>
      <c r="H85" s="232" t="str">
        <f>VLOOKUP(OPX_LE3!$A86,Tableau106[],6,FALSE)</f>
        <v>DOM</v>
      </c>
      <c r="I85" s="232" t="str">
        <f>VLOOKUP(OPX_LE3!$A86,Tableau106[],9,FALSE)</f>
        <v>BéK</v>
      </c>
      <c r="J85" s="254">
        <v>0</v>
      </c>
      <c r="K85" s="228"/>
      <c r="L85" s="228"/>
      <c r="M85" s="229">
        <f>+VLOOKUP(Tableau163[[#This Row],[CODE PI]],Tableau15[[CODE PI]:[Prestations diverses  &amp; accompagnements interne (1,6 k€ par jour d''acc)]],8,FALSE)</f>
        <v>0</v>
      </c>
      <c r="N85" s="229">
        <f>+VLOOKUP(Tableau163[[#This Row],[CODE PI]],Tableau15[[CODE PI]:[Prestations diverses  &amp; accompagnements interne (1,6 k€ par jour d''acc)]],9,FALSE)</f>
        <v>0</v>
      </c>
      <c r="O85" s="229">
        <f>+VLOOKUP(Tableau163[[#This Row],[CODE PI]],Tableau15[[CODE PI]:[Prestations diverses  &amp; accompagnements interne (1,6 k€ par jour d''acc)]],10,FALSE)</f>
        <v>0</v>
      </c>
      <c r="P85" s="229">
        <f>+VLOOKUP(Tableau163[[#This Row],[CODE PI]],Tableau15[[CODE PI]:[Prestations diverses  &amp; accompagnements interne (1,6 k€ par jour d''acc)]],11,FALSE)</f>
        <v>0</v>
      </c>
      <c r="Q85" s="230">
        <f>-250*OPX_LE3!$E86</f>
        <v>-2613</v>
      </c>
      <c r="R85" s="311">
        <f>SUM(OPX_LE3!$K86:$Q86)</f>
        <v>-2613</v>
      </c>
      <c r="S85" s="337">
        <v>-496936</v>
      </c>
      <c r="T85" s="361">
        <v>0</v>
      </c>
      <c r="U85" s="362">
        <v>0</v>
      </c>
      <c r="V85" s="361">
        <v>-4000</v>
      </c>
      <c r="W85" s="361">
        <v>-1100</v>
      </c>
      <c r="X85" s="361">
        <v>0</v>
      </c>
      <c r="Y85" s="361">
        <v>0</v>
      </c>
      <c r="Z85" s="264">
        <v>-2613</v>
      </c>
      <c r="AA85" s="423"/>
      <c r="AB85" s="273">
        <f>SUM(OPX_LE3!$T86:$AA86)</f>
        <v>-81000</v>
      </c>
      <c r="AC85" s="426">
        <f t="shared" si="1"/>
        <v>-11500</v>
      </c>
      <c r="AD85" s="426"/>
      <c r="AE85" s="417">
        <v>0</v>
      </c>
      <c r="AF85" s="417">
        <v>0</v>
      </c>
      <c r="AG85" s="417">
        <v>0</v>
      </c>
      <c r="AH85" s="417">
        <v>0</v>
      </c>
      <c r="AI85" s="417">
        <v>0</v>
      </c>
      <c r="AJ85" s="317">
        <f>SUM(OPX_LE3!$AC86:$AI86)</f>
        <v>0</v>
      </c>
      <c r="AK85" s="424">
        <v>0</v>
      </c>
      <c r="AL85" s="276">
        <f>SUM(OPX_LE3!$J86,OPX_LE3!$AB86,OPX_LE3!$S86,OPX_LE3!$AJ86,OPX_LE3!$R86,OPX_LE3!$AK86)</f>
        <v>-580549</v>
      </c>
      <c r="AM85" s="427">
        <v>0</v>
      </c>
    </row>
    <row r="86" spans="1:39" ht="15" hidden="1">
      <c r="A86" s="325" t="s">
        <v>520</v>
      </c>
      <c r="B86" s="322" t="str">
        <f>VLOOKUP(OPX_LE3!$A87,Tableau106[],3,FALSE)</f>
        <v>A257</v>
      </c>
      <c r="C86" s="322" t="str">
        <f>VLOOKUP(OPX_LE3!$A87,Tableau106[],2,FALSE)</f>
        <v>FR01S06E</v>
      </c>
      <c r="D86" s="322" t="str">
        <f>VLOOKUP(OPX_LE3!$A87,Tableau106[],8,FALSE)</f>
        <v>SOLAIRE</v>
      </c>
      <c r="E86" s="324">
        <f>VLOOKUP(OPX_LE3!$A87,Tableau106[],4,FALSE)</f>
        <v>2.9</v>
      </c>
      <c r="F86" s="322" t="str">
        <f>VLOOKUP(OPX_LE3!$A87,Tableau106[],5,FALSE)</f>
        <v>LAGN</v>
      </c>
      <c r="G86" s="322" t="str">
        <f>VLOOKUP(OPX_LE3!$A87,Tableau106[],7,FALSE)</f>
        <v>GROUPE</v>
      </c>
      <c r="H86" s="322" t="str">
        <f>VLOOKUP(OPX_LE3!$A87,Tableau106[],6,FALSE)</f>
        <v>S</v>
      </c>
      <c r="I86" s="322" t="str">
        <f>VLOOKUP(OPX_LE3!$A87,Tableau106[],9,FALSE)</f>
        <v>ArB</v>
      </c>
      <c r="J86" s="254">
        <v>0</v>
      </c>
      <c r="K86" s="228"/>
      <c r="L86" s="228"/>
      <c r="M86" s="229">
        <f>+VLOOKUP(Tableau163[[#This Row],[CODE PI]],Tableau15[[CODE PI]:[Prestations diverses  &amp; accompagnements interne (1,6 k€ par jour d''acc)]],8,FALSE)</f>
        <v>0</v>
      </c>
      <c r="N86" s="229">
        <f>+VLOOKUP(Tableau163[[#This Row],[CODE PI]],Tableau15[[CODE PI]:[Prestations diverses  &amp; accompagnements interne (1,6 k€ par jour d''acc)]],9,FALSE)</f>
        <v>0</v>
      </c>
      <c r="O86" s="229">
        <f>+VLOOKUP(Tableau163[[#This Row],[CODE PI]],Tableau15[[CODE PI]:[Prestations diverses  &amp; accompagnements interne (1,6 k€ par jour d''acc)]],10,FALSE)</f>
        <v>0</v>
      </c>
      <c r="P86" s="229">
        <f>+VLOOKUP(Tableau163[[#This Row],[CODE PI]],Tableau15[[CODE PI]:[Prestations diverses  &amp; accompagnements interne (1,6 k€ par jour d''acc)]],11,FALSE)</f>
        <v>0</v>
      </c>
      <c r="Q86" s="230">
        <f>-250*OPX_LE3!$E87</f>
        <v>-725</v>
      </c>
      <c r="R86" s="311">
        <f>SUM(OPX_LE3!$K87:$Q87)</f>
        <v>-725</v>
      </c>
      <c r="S86" s="337">
        <v>-19280</v>
      </c>
      <c r="T86" s="361">
        <v>-1500</v>
      </c>
      <c r="U86" s="362">
        <v>0</v>
      </c>
      <c r="V86" s="361">
        <v>-2405</v>
      </c>
      <c r="W86" s="361">
        <v>0</v>
      </c>
      <c r="X86" s="361">
        <v>0</v>
      </c>
      <c r="Y86" s="361">
        <v>0</v>
      </c>
      <c r="Z86" s="264">
        <v>-725</v>
      </c>
      <c r="AA86" s="423">
        <v>-400</v>
      </c>
      <c r="AB86" s="273">
        <f>SUM(OPX_LE3!$T87:$AA87)</f>
        <v>-5030</v>
      </c>
      <c r="AC86" s="426">
        <f t="shared" si="1"/>
        <v>-11500</v>
      </c>
      <c r="AD86" s="426"/>
      <c r="AE86" s="417">
        <v>0</v>
      </c>
      <c r="AF86" s="417">
        <v>0</v>
      </c>
      <c r="AG86" s="417">
        <v>0</v>
      </c>
      <c r="AH86" s="417">
        <v>-7000</v>
      </c>
      <c r="AI86" s="417">
        <v>0</v>
      </c>
      <c r="AJ86" s="317">
        <f>SUM(OPX_LE3!$AC87:$AI87)</f>
        <v>-6987.5</v>
      </c>
      <c r="AK86" s="424">
        <v>0</v>
      </c>
      <c r="AL86" s="276">
        <f>SUM(OPX_LE3!$J87,OPX_LE3!$AB87,OPX_LE3!$S87,OPX_LE3!$AJ87,OPX_LE3!$R87,OPX_LE3!$AK87)</f>
        <v>-32022.5</v>
      </c>
      <c r="AM86" s="427">
        <v>0</v>
      </c>
    </row>
    <row r="87" spans="1:39" ht="15" hidden="1">
      <c r="A87" s="244" t="s">
        <v>499</v>
      </c>
      <c r="B87" s="232" t="str">
        <f>VLOOKUP(OPX_LE3!$A88,Tableau106[],3,FALSE)</f>
        <v>A540</v>
      </c>
      <c r="C87" s="232" t="str">
        <f>VLOOKUP(OPX_LE3!$A88,Tableau106[],2,FALSE)</f>
        <v>FR22E03E</v>
      </c>
      <c r="D87" s="232" t="str">
        <f>VLOOKUP(OPX_LE3!$A88,Tableau106[],8,FALSE)</f>
        <v>EOLIEN</v>
      </c>
      <c r="E87" s="233">
        <f>VLOOKUP(OPX_LE3!$A88,Tableau106[],4,FALSE)</f>
        <v>10</v>
      </c>
      <c r="F87" s="232" t="str">
        <f>VLOOKUP(OPX_LE3!$A88,Tableau106[],5,FALSE)</f>
        <v>LDTE</v>
      </c>
      <c r="G87" s="232" t="str">
        <f>VLOOKUP(OPX_LE3!$A88,Tableau106[],7,FALSE)</f>
        <v>EGM</v>
      </c>
      <c r="H87" s="232" t="str">
        <f>VLOOKUP(OPX_LE3!$A88,Tableau106[],6,FALSE)</f>
        <v>N</v>
      </c>
      <c r="I87" s="232" t="str">
        <f>VLOOKUP(OPX_LE3!$A88,Tableau106[],9,FALSE)</f>
        <v>BoK</v>
      </c>
      <c r="J87" s="254">
        <v>-258123</v>
      </c>
      <c r="K87" s="228"/>
      <c r="L87" s="228"/>
      <c r="M87" s="229">
        <f>+VLOOKUP(Tableau163[[#This Row],[CODE PI]],Tableau15[[CODE PI]:[Prestations diverses  &amp; accompagnements interne (1,6 k€ par jour d''acc)]],8,FALSE)</f>
        <v>0</v>
      </c>
      <c r="N87" s="229">
        <f>+VLOOKUP(Tableau163[[#This Row],[CODE PI]],Tableau15[[CODE PI]:[Prestations diverses  &amp; accompagnements interne (1,6 k€ par jour d''acc)]],9,FALSE)</f>
        <v>0</v>
      </c>
      <c r="O87" s="229">
        <f>+VLOOKUP(Tableau163[[#This Row],[CODE PI]],Tableau15[[CODE PI]:[Prestations diverses  &amp; accompagnements interne (1,6 k€ par jour d''acc)]],10,FALSE)</f>
        <v>-3000</v>
      </c>
      <c r="P87" s="229">
        <f>+VLOOKUP(Tableau163[[#This Row],[CODE PI]],Tableau15[[CODE PI]:[Prestations diverses  &amp; accompagnements interne (1,6 k€ par jour d''acc)]],11,FALSE)</f>
        <v>-3500</v>
      </c>
      <c r="Q87" s="230">
        <f>-250*OPX_LE3!$E88</f>
        <v>-2500</v>
      </c>
      <c r="R87" s="311">
        <f>SUM(OPX_LE3!$K88:$Q88)</f>
        <v>-260188.7</v>
      </c>
      <c r="S87" s="337">
        <v>0</v>
      </c>
      <c r="T87" s="361">
        <v>0</v>
      </c>
      <c r="U87" s="362">
        <v>0</v>
      </c>
      <c r="V87" s="361">
        <v>-2000</v>
      </c>
      <c r="W87" s="361">
        <v>0</v>
      </c>
      <c r="X87" s="361">
        <v>-4000</v>
      </c>
      <c r="Y87" s="361">
        <v>0</v>
      </c>
      <c r="Z87" s="264">
        <v>-2500</v>
      </c>
      <c r="AA87" s="423"/>
      <c r="AB87" s="273">
        <f>SUM(OPX_LE3!$T88:$AA88)</f>
        <v>-12250</v>
      </c>
      <c r="AC87" s="426">
        <f t="shared" si="1"/>
        <v>-11500</v>
      </c>
      <c r="AD87" s="426"/>
      <c r="AE87" s="417">
        <v>0</v>
      </c>
      <c r="AF87" s="417">
        <v>0</v>
      </c>
      <c r="AG87" s="417">
        <v>0</v>
      </c>
      <c r="AH87" s="417">
        <v>0</v>
      </c>
      <c r="AI87" s="417">
        <v>0</v>
      </c>
      <c r="AJ87" s="317">
        <f>SUM(OPX_LE3!$AC88:$AI88)</f>
        <v>0</v>
      </c>
      <c r="AK87" s="424">
        <v>0</v>
      </c>
      <c r="AL87" s="276">
        <f>SUM(OPX_LE3!$J88,OPX_LE3!$AB88,OPX_LE3!$S88,OPX_LE3!$AJ88,OPX_LE3!$R88,OPX_LE3!$AK88)</f>
        <v>-530561.69999999995</v>
      </c>
      <c r="AM87" s="427">
        <v>0</v>
      </c>
    </row>
    <row r="88" spans="1:39" ht="15" hidden="1">
      <c r="A88" s="325" t="s">
        <v>546</v>
      </c>
      <c r="B88" s="322" t="str">
        <f>VLOOKUP(OPX_LE3!$A89,Tableau106[],3,FALSE)</f>
        <v>A541</v>
      </c>
      <c r="C88" s="322" t="str">
        <f>VLOOKUP(OPX_LE3!$A89,Tableau106[],2,FALSE)</f>
        <v>FR55E04E</v>
      </c>
      <c r="D88" s="322" t="str">
        <f>VLOOKUP(OPX_LE3!$A89,Tableau106[],8,FALSE)</f>
        <v>EOLIEN</v>
      </c>
      <c r="E88" s="324">
        <f>VLOOKUP(OPX_LE3!$A89,Tableau106[],4,FALSE)</f>
        <v>11.5</v>
      </c>
      <c r="F88" s="322" t="str">
        <f>VLOOKUP(OPX_LE3!$A89,Tableau106[],5,FALSE)</f>
        <v>LANE</v>
      </c>
      <c r="G88" s="322" t="str">
        <f>VLOOKUP(OPX_LE3!$A89,Tableau106[],7,FALSE)</f>
        <v>EGM</v>
      </c>
      <c r="H88" s="322" t="str">
        <f>VLOOKUP(OPX_LE3!$A89,Tableau106[],6,FALSE)</f>
        <v>N</v>
      </c>
      <c r="I88" s="322" t="str">
        <f>VLOOKUP(OPX_LE3!$A89,Tableau106[],9,FALSE)</f>
        <v>MaA</v>
      </c>
      <c r="J88" s="254">
        <v>-258123</v>
      </c>
      <c r="K88" s="228"/>
      <c r="L88" s="228"/>
      <c r="M88" s="229">
        <f>+VLOOKUP(Tableau163[[#This Row],[CODE PI]],Tableau15[[CODE PI]:[Prestations diverses  &amp; accompagnements interne (1,6 k€ par jour d''acc)]],8,FALSE)</f>
        <v>0</v>
      </c>
      <c r="N88" s="229">
        <f>+VLOOKUP(Tableau163[[#This Row],[CODE PI]],Tableau15[[CODE PI]:[Prestations diverses  &amp; accompagnements interne (1,6 k€ par jour d''acc)]],9,FALSE)</f>
        <v>0</v>
      </c>
      <c r="O88" s="229">
        <f>+VLOOKUP(Tableau163[[#This Row],[CODE PI]],Tableau15[[CODE PI]:[Prestations diverses  &amp; accompagnements interne (1,6 k€ par jour d''acc)]],10,FALSE)</f>
        <v>-3000</v>
      </c>
      <c r="P88" s="229">
        <f>+VLOOKUP(Tableau163[[#This Row],[CODE PI]],Tableau15[[CODE PI]:[Prestations diverses  &amp; accompagnements interne (1,6 k€ par jour d''acc)]],11,FALSE)</f>
        <v>-4025</v>
      </c>
      <c r="Q88" s="230">
        <f>-250*OPX_LE3!$E89</f>
        <v>-2875</v>
      </c>
      <c r="R88" s="311">
        <f>SUM(OPX_LE3!$K89:$Q89)</f>
        <v>-525284</v>
      </c>
      <c r="S88" s="337">
        <v>0</v>
      </c>
      <c r="T88" s="361">
        <v>0</v>
      </c>
      <c r="U88" s="362">
        <v>0</v>
      </c>
      <c r="V88" s="361">
        <v>-2000</v>
      </c>
      <c r="W88" s="361">
        <v>0</v>
      </c>
      <c r="X88" s="361">
        <v>-4000</v>
      </c>
      <c r="Y88" s="361">
        <v>0</v>
      </c>
      <c r="Z88" s="264">
        <v>-2875</v>
      </c>
      <c r="AA88" s="423"/>
      <c r="AB88" s="273">
        <f>SUM(OPX_LE3!$T89:$AA89)</f>
        <v>-34025</v>
      </c>
      <c r="AC88" s="426">
        <f t="shared" si="1"/>
        <v>-11500</v>
      </c>
      <c r="AD88" s="426"/>
      <c r="AE88" s="417">
        <v>0</v>
      </c>
      <c r="AF88" s="417">
        <v>0</v>
      </c>
      <c r="AG88" s="417">
        <v>0</v>
      </c>
      <c r="AH88" s="417">
        <v>0</v>
      </c>
      <c r="AI88" s="417">
        <v>0</v>
      </c>
      <c r="AJ88" s="317">
        <f>SUM(OPX_LE3!$AC89:$AI89)</f>
        <v>0</v>
      </c>
      <c r="AK88" s="424">
        <v>0</v>
      </c>
      <c r="AL88" s="276">
        <f>SUM(OPX_LE3!$J89,OPX_LE3!$AB89,OPX_LE3!$S89,OPX_LE3!$AJ89,OPX_LE3!$R89,OPX_LE3!$AK89)</f>
        <v>-848555</v>
      </c>
      <c r="AM88" s="427">
        <v>0</v>
      </c>
    </row>
    <row r="89" spans="1:39" ht="15" hidden="1">
      <c r="A89" s="244" t="s">
        <v>522</v>
      </c>
      <c r="B89" s="232" t="str">
        <f>VLOOKUP(OPX_LE3!$A90,Tableau106[],3,FALSE)</f>
        <v>A258</v>
      </c>
      <c r="C89" s="232" t="str">
        <f>VLOOKUP(OPX_LE3!$A90,Tableau106[],2,FALSE)</f>
        <v>FR05S02E</v>
      </c>
      <c r="D89" s="232" t="str">
        <f>VLOOKUP(OPX_LE3!$A90,Tableau106[],8,FALSE)</f>
        <v>SOLAIRE</v>
      </c>
      <c r="E89" s="233">
        <f>VLOOKUP(OPX_LE3!$A90,Tableau106[],4,FALSE)</f>
        <v>19.8</v>
      </c>
      <c r="F89" s="232" t="str">
        <f>VLOOKUP(OPX_LE3!$A90,Tableau106[],5,FALSE)</f>
        <v>LAZE</v>
      </c>
      <c r="G89" s="232" t="str">
        <f>VLOOKUP(OPX_LE3!$A90,Tableau106[],7,FALSE)</f>
        <v>GROUPE</v>
      </c>
      <c r="H89" s="232" t="str">
        <f>VLOOKUP(OPX_LE3!$A90,Tableau106[],6,FALSE)</f>
        <v>S</v>
      </c>
      <c r="I89" s="232" t="str">
        <f>VLOOKUP(OPX_LE3!$A90,Tableau106[],9,FALSE)</f>
        <v>ArB</v>
      </c>
      <c r="J89" s="254"/>
      <c r="K89" s="228"/>
      <c r="L89" s="228"/>
      <c r="M89" s="229">
        <f>+VLOOKUP(Tableau163[[#This Row],[CODE PI]],Tableau15[[CODE PI]:[Prestations diverses  &amp; accompagnements interne (1,6 k€ par jour d''acc)]],8,FALSE)</f>
        <v>0</v>
      </c>
      <c r="N89" s="229">
        <f>+VLOOKUP(Tableau163[[#This Row],[CODE PI]],Tableau15[[CODE PI]:[Prestations diverses  &amp; accompagnements interne (1,6 k€ par jour d''acc)]],9,FALSE)</f>
        <v>0</v>
      </c>
      <c r="O89" s="229">
        <f>+VLOOKUP(Tableau163[[#This Row],[CODE PI]],Tableau15[[CODE PI]:[Prestations diverses  &amp; accompagnements interne (1,6 k€ par jour d''acc)]],10,FALSE)</f>
        <v>0</v>
      </c>
      <c r="P89" s="229">
        <f>+VLOOKUP(Tableau163[[#This Row],[CODE PI]],Tableau15[[CODE PI]:[Prestations diverses  &amp; accompagnements interne (1,6 k€ par jour d''acc)]],11,FALSE)</f>
        <v>0</v>
      </c>
      <c r="Q89" s="230">
        <f>-250*OPX_LE3!$E90</f>
        <v>-4950</v>
      </c>
      <c r="R89" s="311">
        <f>SUM(OPX_LE3!$K90:$Q90)</f>
        <v>-4950</v>
      </c>
      <c r="S89" s="337"/>
      <c r="T89" s="361">
        <v>0</v>
      </c>
      <c r="U89" s="362">
        <v>0</v>
      </c>
      <c r="V89" s="361">
        <v>0</v>
      </c>
      <c r="W89" s="361">
        <v>0</v>
      </c>
      <c r="X89" s="361">
        <v>0</v>
      </c>
      <c r="Y89" s="361">
        <v>0</v>
      </c>
      <c r="Z89" s="264">
        <v>-4950</v>
      </c>
      <c r="AA89" s="423">
        <v>-8000</v>
      </c>
      <c r="AB89" s="273">
        <f>SUM(OPX_LE3!$T90:$AA90)</f>
        <v>-12950</v>
      </c>
      <c r="AC89" s="426">
        <f t="shared" si="1"/>
        <v>-11500</v>
      </c>
      <c r="AD89" s="426"/>
      <c r="AE89" s="417">
        <v>0</v>
      </c>
      <c r="AF89" s="417">
        <v>0</v>
      </c>
      <c r="AG89" s="417">
        <v>0</v>
      </c>
      <c r="AH89" s="417">
        <v>-5300</v>
      </c>
      <c r="AI89" s="417">
        <v>0</v>
      </c>
      <c r="AJ89" s="317">
        <f>SUM(OPX_LE3!$AC90:$AI90)</f>
        <v>0</v>
      </c>
      <c r="AK89" s="424">
        <v>0</v>
      </c>
      <c r="AL89" s="276">
        <f>SUM(OPX_LE3!$J90,OPX_LE3!$AB90,OPX_LE3!$S90,OPX_LE3!$AJ90,OPX_LE3!$R90,OPX_LE3!$AK90)</f>
        <v>-97900</v>
      </c>
      <c r="AM89" s="427">
        <v>0</v>
      </c>
    </row>
    <row r="90" spans="1:39" ht="15" hidden="1">
      <c r="A90" s="325" t="s">
        <v>523</v>
      </c>
      <c r="B90" s="322" t="str">
        <f>VLOOKUP(OPX_LE3!$A91,Tableau106[],3,FALSE)</f>
        <v>A272</v>
      </c>
      <c r="C90" s="322" t="str">
        <f>VLOOKUP(OPX_LE3!$A91,Tableau106[],2,FALSE)</f>
        <v>FR07S04E</v>
      </c>
      <c r="D90" s="322" t="str">
        <f>VLOOKUP(OPX_LE3!$A91,Tableau106[],8,FALSE)</f>
        <v>SOLAIRE</v>
      </c>
      <c r="E90" s="324">
        <f>VLOOKUP(OPX_LE3!$A91,Tableau106[],4,FALSE)</f>
        <v>8.1999999999999993</v>
      </c>
      <c r="F90" s="322" t="str">
        <f>VLOOKUP(OPX_LE3!$A91,Tableau106[],5,FALSE)</f>
        <v>PZIN</v>
      </c>
      <c r="G90" s="322" t="str">
        <f>VLOOKUP(OPX_LE3!$A91,Tableau106[],7,FALSE)</f>
        <v>GROUPE</v>
      </c>
      <c r="H90" s="322" t="str">
        <f>VLOOKUP(OPX_LE3!$A91,Tableau106[],6,FALSE)</f>
        <v>S</v>
      </c>
      <c r="I90" s="322" t="str">
        <f>VLOOKUP(OPX_LE3!$A91,Tableau106[],9,FALSE)</f>
        <v>ArB</v>
      </c>
      <c r="J90" s="359">
        <v>-37806</v>
      </c>
      <c r="K90" s="228"/>
      <c r="L90" s="228"/>
      <c r="M90" s="229">
        <f>+VLOOKUP(Tableau163[[#This Row],[CODE PI]],Tableau15[[CODE PI]:[Prestations diverses  &amp; accompagnements interne (1,6 k€ par jour d''acc)]],8,FALSE)</f>
        <v>0</v>
      </c>
      <c r="N90" s="229">
        <f>+VLOOKUP(Tableau163[[#This Row],[CODE PI]],Tableau15[[CODE PI]:[Prestations diverses  &amp; accompagnements interne (1,6 k€ par jour d''acc)]],9,FALSE)</f>
        <v>0</v>
      </c>
      <c r="O90" s="229">
        <f>+VLOOKUP(Tableau163[[#This Row],[CODE PI]],Tableau15[[CODE PI]:[Prestations diverses  &amp; accompagnements interne (1,6 k€ par jour d''acc)]],10,FALSE)</f>
        <v>0</v>
      </c>
      <c r="P90" s="229">
        <f>+VLOOKUP(Tableau163[[#This Row],[CODE PI]],Tableau15[[CODE PI]:[Prestations diverses  &amp; accompagnements interne (1,6 k€ par jour d''acc)]],11,FALSE)</f>
        <v>0</v>
      </c>
      <c r="Q90" s="230">
        <f>-250*OPX_LE3!$E91</f>
        <v>-2050</v>
      </c>
      <c r="R90" s="311">
        <f>SUM(OPX_LE3!$K91:$Q91)</f>
        <v>-30090</v>
      </c>
      <c r="S90" s="337">
        <v>0</v>
      </c>
      <c r="T90" s="361">
        <v>0</v>
      </c>
      <c r="U90" s="362">
        <v>0</v>
      </c>
      <c r="V90" s="361">
        <v>0</v>
      </c>
      <c r="W90" s="361">
        <v>0</v>
      </c>
      <c r="X90" s="361">
        <v>0</v>
      </c>
      <c r="Y90" s="361">
        <v>0</v>
      </c>
      <c r="Z90" s="264">
        <v>-2050</v>
      </c>
      <c r="AA90" s="423">
        <v>-3400</v>
      </c>
      <c r="AB90" s="273">
        <f>SUM(OPX_LE3!$T91:$AA91)</f>
        <v>-5450</v>
      </c>
      <c r="AC90" s="426">
        <f t="shared" si="1"/>
        <v>-11500</v>
      </c>
      <c r="AD90" s="426"/>
      <c r="AE90" s="417">
        <v>0</v>
      </c>
      <c r="AF90" s="417">
        <v>0</v>
      </c>
      <c r="AG90" s="417">
        <v>0</v>
      </c>
      <c r="AH90" s="417">
        <v>-10300</v>
      </c>
      <c r="AI90" s="417">
        <v>0</v>
      </c>
      <c r="AJ90" s="317">
        <f>SUM(OPX_LE3!$AC91:$AI91)</f>
        <v>-4950</v>
      </c>
      <c r="AK90" s="424">
        <v>0</v>
      </c>
      <c r="AL90" s="276">
        <f>SUM(OPX_LE3!$J91,OPX_LE3!$AB91,OPX_LE3!$S91,OPX_LE3!$AJ91,OPX_LE3!$R91,OPX_LE3!$AK91)</f>
        <v>-78296</v>
      </c>
      <c r="AM90" s="427">
        <v>0</v>
      </c>
    </row>
    <row r="91" spans="1:39" ht="15" hidden="1">
      <c r="A91" s="244" t="s">
        <v>606</v>
      </c>
      <c r="B91" s="232" t="str">
        <f>VLOOKUP(OPX_LE3!$A92,Tableau106[],3,FALSE)</f>
        <v>A540</v>
      </c>
      <c r="C91" s="232" t="str">
        <f>VLOOKUP(OPX_LE3!$A92,Tableau106[],2,FALSE)</f>
        <v>FR56E03E</v>
      </c>
      <c r="D91" s="232" t="str">
        <f>VLOOKUP(OPX_LE3!$A92,Tableau106[],8,FALSE)</f>
        <v>EOLIEN</v>
      </c>
      <c r="E91" s="233">
        <f>VLOOKUP(OPX_LE3!$A92,Tableau106[],4,FALSE)</f>
        <v>4.8499999999999996</v>
      </c>
      <c r="F91" s="232" t="str">
        <f>VLOOKUP(OPX_LE3!$A92,Tableau106[],5,FALSE)</f>
        <v>LERO</v>
      </c>
      <c r="G91" s="232" t="str">
        <f>VLOOKUP(OPX_LE3!$A92,Tableau106[],7,FALSE)</f>
        <v>EGM</v>
      </c>
      <c r="H91" s="232" t="str">
        <f>VLOOKUP(OPX_LE3!$A92,Tableau106[],6,FALSE)</f>
        <v>N</v>
      </c>
      <c r="I91" s="232" t="str">
        <f>VLOOKUP(OPX_LE3!$A92,Tableau106[],9,FALSE)</f>
        <v>DeN</v>
      </c>
      <c r="J91" s="254">
        <v>-135355</v>
      </c>
      <c r="K91" s="228"/>
      <c r="L91" s="228"/>
      <c r="M91" s="229">
        <f>+VLOOKUP(Tableau163[[#This Row],[CODE PI]],Tableau15[[CODE PI]:[Prestations diverses  &amp; accompagnements interne (1,6 k€ par jour d''acc)]],8,FALSE)</f>
        <v>0</v>
      </c>
      <c r="N91" s="229">
        <f>+VLOOKUP(Tableau163[[#This Row],[CODE PI]],Tableau15[[CODE PI]:[Prestations diverses  &amp; accompagnements interne (1,6 k€ par jour d''acc)]],9,FALSE)</f>
        <v>0</v>
      </c>
      <c r="O91" s="229">
        <f>+VLOOKUP(Tableau163[[#This Row],[CODE PI]],Tableau15[[CODE PI]:[Prestations diverses  &amp; accompagnements interne (1,6 k€ par jour d''acc)]],10,FALSE)</f>
        <v>0</v>
      </c>
      <c r="P91" s="229">
        <f>+VLOOKUP(Tableau163[[#This Row],[CODE PI]],Tableau15[[CODE PI]:[Prestations diverses  &amp; accompagnements interne (1,6 k€ par jour d''acc)]],11,FALSE)</f>
        <v>-1697.5</v>
      </c>
      <c r="Q91" s="230">
        <f>-250*OPX_LE3!$E92</f>
        <v>-1212.5</v>
      </c>
      <c r="R91" s="311">
        <f>SUM(OPX_LE3!$K92:$Q92)</f>
        <v>-30060.000000000004</v>
      </c>
      <c r="S91" s="337">
        <v>0</v>
      </c>
      <c r="T91" s="361">
        <v>0</v>
      </c>
      <c r="U91" s="362">
        <v>0</v>
      </c>
      <c r="V91" s="361">
        <v>-1000</v>
      </c>
      <c r="W91" s="361">
        <v>0</v>
      </c>
      <c r="X91" s="361">
        <v>0</v>
      </c>
      <c r="Y91" s="361">
        <v>0</v>
      </c>
      <c r="Z91" s="264">
        <v>-1212.5</v>
      </c>
      <c r="AA91" s="423"/>
      <c r="AB91" s="273">
        <f>SUM(OPX_LE3!$T92:$AA92)</f>
        <v>-2212.5</v>
      </c>
      <c r="AC91" s="426">
        <f t="shared" si="1"/>
        <v>-11500</v>
      </c>
      <c r="AD91" s="426"/>
      <c r="AE91" s="417">
        <v>0</v>
      </c>
      <c r="AF91" s="417">
        <v>0</v>
      </c>
      <c r="AG91" s="417">
        <v>0</v>
      </c>
      <c r="AH91" s="417">
        <v>0</v>
      </c>
      <c r="AI91" s="417">
        <v>0</v>
      </c>
      <c r="AJ91" s="317">
        <f>SUM(OPX_LE3!$AC92:$AI92)</f>
        <v>0</v>
      </c>
      <c r="AK91" s="424">
        <v>0</v>
      </c>
      <c r="AL91" s="276">
        <f>SUM(OPX_LE3!$J92,OPX_LE3!$AB92,OPX_LE3!$S92,OPX_LE3!$AJ92,OPX_LE3!$R92,OPX_LE3!$AK92)</f>
        <v>-167627.5</v>
      </c>
      <c r="AM91" s="427">
        <v>0</v>
      </c>
    </row>
    <row r="92" spans="1:39" ht="15" hidden="1">
      <c r="A92" s="325" t="s">
        <v>192</v>
      </c>
      <c r="B92" s="322" t="str">
        <f>VLOOKUP(OPX_LE3!$A93,Tableau106[],3,FALSE)</f>
        <v>F247</v>
      </c>
      <c r="C92" s="322" t="str">
        <f>VLOOKUP(OPX_LE3!$A93,Tableau106[],2,FALSE)</f>
        <v>FR10E02E</v>
      </c>
      <c r="D92" s="322" t="str">
        <f>VLOOKUP(OPX_LE3!$A93,Tableau106[],8,FALSE)</f>
        <v>EOLIEN</v>
      </c>
      <c r="E92" s="324">
        <f>VLOOKUP(OPX_LE3!$A93,Tableau106[],4,FALSE)</f>
        <v>37.950000000000003</v>
      </c>
      <c r="F92" s="322" t="str">
        <f>VLOOKUP(OPX_LE3!$A93,Tableau106[],5,FALSE)</f>
        <v>COT1, COT2, COT3, COT4</v>
      </c>
      <c r="G92" s="322" t="str">
        <f>VLOOKUP(OPX_LE3!$A93,Tableau106[],7,FALSE)</f>
        <v>FUTUREN</v>
      </c>
      <c r="H92" s="322" t="str">
        <f>VLOOKUP(OPX_LE3!$A93,Tableau106[],6,FALSE)</f>
        <v>N</v>
      </c>
      <c r="I92" s="322" t="str">
        <f>VLOOKUP(OPX_LE3!$A93,Tableau106[],9,FALSE)</f>
        <v>MéS</v>
      </c>
      <c r="J92" s="254">
        <v>-628318</v>
      </c>
      <c r="K92" s="228"/>
      <c r="L92" s="228"/>
      <c r="M92" s="229">
        <f>+VLOOKUP(Tableau163[[#This Row],[CODE PI]],Tableau15[[CODE PI]:[Prestations diverses  &amp; accompagnements interne (1,6 k€ par jour d''acc)]],8,FALSE)</f>
        <v>0</v>
      </c>
      <c r="N92" s="229">
        <f>+VLOOKUP(Tableau163[[#This Row],[CODE PI]],Tableau15[[CODE PI]:[Prestations diverses  &amp; accompagnements interne (1,6 k€ par jour d''acc)]],9,FALSE)</f>
        <v>0</v>
      </c>
      <c r="O92" s="229">
        <f>+VLOOKUP(Tableau163[[#This Row],[CODE PI]],Tableau15[[CODE PI]:[Prestations diverses  &amp; accompagnements interne (1,6 k€ par jour d''acc)]],10,FALSE)</f>
        <v>0</v>
      </c>
      <c r="P92" s="229">
        <f>+VLOOKUP(Tableau163[[#This Row],[CODE PI]],Tableau15[[CODE PI]:[Prestations diverses  &amp; accompagnements interne (1,6 k€ par jour d''acc)]],11,FALSE)</f>
        <v>0</v>
      </c>
      <c r="Q92" s="230">
        <f>-250*OPX_LE3!$E93</f>
        <v>-9487.5</v>
      </c>
      <c r="R92" s="311">
        <f>SUM(OPX_LE3!$K93:$Q93)</f>
        <v>-49165.5</v>
      </c>
      <c r="S92" s="337">
        <v>0</v>
      </c>
      <c r="T92" s="361">
        <v>-1600</v>
      </c>
      <c r="U92" s="362">
        <v>0</v>
      </c>
      <c r="V92" s="361">
        <v>-5800</v>
      </c>
      <c r="W92" s="361">
        <v>0</v>
      </c>
      <c r="X92" s="361">
        <v>0</v>
      </c>
      <c r="Y92" s="361">
        <v>0</v>
      </c>
      <c r="Z92" s="264">
        <v>-9487.5</v>
      </c>
      <c r="AA92" s="423"/>
      <c r="AB92" s="273">
        <f>SUM(OPX_LE3!$T93:$AA93)</f>
        <v>-19875.5</v>
      </c>
      <c r="AC92" s="426">
        <f t="shared" si="1"/>
        <v>-11500</v>
      </c>
      <c r="AD92" s="426"/>
      <c r="AE92" s="417">
        <v>-5000</v>
      </c>
      <c r="AF92" s="417">
        <v>0</v>
      </c>
      <c r="AG92" s="417">
        <v>0</v>
      </c>
      <c r="AH92" s="417">
        <v>0</v>
      </c>
      <c r="AI92" s="417">
        <v>-8539</v>
      </c>
      <c r="AJ92" s="317">
        <f>SUM(OPX_LE3!$AC93:$AI93)</f>
        <v>-14855</v>
      </c>
      <c r="AK92" s="424">
        <v>0</v>
      </c>
      <c r="AL92" s="276">
        <f>SUM(OPX_LE3!$J93,OPX_LE3!$AB93,OPX_LE3!$S93,OPX_LE3!$AJ93,OPX_LE3!$R93,OPX_LE3!$AK93)</f>
        <v>-728152</v>
      </c>
      <c r="AM92" s="427">
        <v>0</v>
      </c>
    </row>
    <row r="93" spans="1:39" ht="15" hidden="1">
      <c r="A93" s="244" t="s">
        <v>194</v>
      </c>
      <c r="B93" s="232" t="str">
        <f>VLOOKUP(OPX_LE3!$A94,Tableau106[],3,FALSE)</f>
        <v>F046</v>
      </c>
      <c r="C93" s="232" t="str">
        <f>VLOOKUP(OPX_LE3!$A94,Tableau106[],2,FALSE)</f>
        <v>FR10E03E</v>
      </c>
      <c r="D93" s="232" t="str">
        <f>VLOOKUP(OPX_LE3!$A94,Tableau106[],8,FALSE)</f>
        <v>EOLIEN</v>
      </c>
      <c r="E93" s="233">
        <f>VLOOKUP(OPX_LE3!$A94,Tableau106[],4,FALSE)</f>
        <v>13.2</v>
      </c>
      <c r="F93" s="232" t="str">
        <f>VLOOKUP(OPX_LE3!$A94,Tableau106[],5,FALSE)</f>
        <v>LEMO</v>
      </c>
      <c r="G93" s="232" t="str">
        <f>VLOOKUP(OPX_LE3!$A94,Tableau106[],7,FALSE)</f>
        <v>FUTUREN</v>
      </c>
      <c r="H93" s="232" t="str">
        <f>VLOOKUP(OPX_LE3!$A94,Tableau106[],6,FALSE)</f>
        <v>N</v>
      </c>
      <c r="I93" s="232" t="str">
        <f>VLOOKUP(OPX_LE3!$A94,Tableau106[],9,FALSE)</f>
        <v>MéS</v>
      </c>
      <c r="J93" s="254">
        <v>-13037</v>
      </c>
      <c r="K93" s="228"/>
      <c r="L93" s="228"/>
      <c r="M93" s="229">
        <f>+VLOOKUP(Tableau163[[#This Row],[CODE PI]],Tableau15[[CODE PI]:[Prestations diverses  &amp; accompagnements interne (1,6 k€ par jour d''acc)]],8,FALSE)</f>
        <v>0</v>
      </c>
      <c r="N93" s="229">
        <f>+VLOOKUP(Tableau163[[#This Row],[CODE PI]],Tableau15[[CODE PI]:[Prestations diverses  &amp; accompagnements interne (1,6 k€ par jour d''acc)]],9,FALSE)</f>
        <v>0</v>
      </c>
      <c r="O93" s="229">
        <f>+VLOOKUP(Tableau163[[#This Row],[CODE PI]],Tableau15[[CODE PI]:[Prestations diverses  &amp; accompagnements interne (1,6 k€ par jour d''acc)]],10,FALSE)</f>
        <v>0</v>
      </c>
      <c r="P93" s="229">
        <f>+VLOOKUP(Tableau163[[#This Row],[CODE PI]],Tableau15[[CODE PI]:[Prestations diverses  &amp; accompagnements interne (1,6 k€ par jour d''acc)]],11,FALSE)</f>
        <v>0</v>
      </c>
      <c r="Q93" s="230">
        <f>-250*OPX_LE3!$E94</f>
        <v>-3300</v>
      </c>
      <c r="R93" s="311">
        <f>SUM(OPX_LE3!$K94:$Q94)</f>
        <v>-8514</v>
      </c>
      <c r="S93" s="337">
        <v>-252488</v>
      </c>
      <c r="T93" s="361">
        <v>-2200</v>
      </c>
      <c r="U93" s="362">
        <v>0</v>
      </c>
      <c r="V93" s="361">
        <v>-4600</v>
      </c>
      <c r="W93" s="361">
        <v>0</v>
      </c>
      <c r="X93" s="361">
        <v>0</v>
      </c>
      <c r="Y93" s="361">
        <v>0</v>
      </c>
      <c r="Z93" s="264">
        <v>-3300</v>
      </c>
      <c r="AA93" s="423"/>
      <c r="AB93" s="273">
        <f>SUM(OPX_LE3!$T94:$AA94)</f>
        <v>-12484</v>
      </c>
      <c r="AC93" s="426">
        <f t="shared" si="1"/>
        <v>-11500</v>
      </c>
      <c r="AD93" s="426"/>
      <c r="AE93" s="417">
        <v>0</v>
      </c>
      <c r="AF93" s="417">
        <v>0</v>
      </c>
      <c r="AG93" s="417">
        <v>0</v>
      </c>
      <c r="AH93" s="417">
        <v>0</v>
      </c>
      <c r="AI93" s="417">
        <v>-2207</v>
      </c>
      <c r="AJ93" s="317">
        <f>SUM(OPX_LE3!$AC94:$AI94)</f>
        <v>-8357.42</v>
      </c>
      <c r="AK93" s="424">
        <v>0</v>
      </c>
      <c r="AL93" s="276">
        <f>SUM(OPX_LE3!$J94,OPX_LE3!$AB94,OPX_LE3!$S94,OPX_LE3!$AJ94,OPX_LE3!$R94,OPX_LE3!$AK94)</f>
        <v>-294880.42</v>
      </c>
      <c r="AM93" s="427">
        <v>0</v>
      </c>
    </row>
    <row r="94" spans="1:39" ht="15" hidden="1">
      <c r="A94" s="325" t="s">
        <v>495</v>
      </c>
      <c r="B94" s="322" t="str">
        <f>VLOOKUP(OPX_LE3!$A95,Tableau106[],3,FALSE)</f>
        <v>A366</v>
      </c>
      <c r="C94" s="322" t="str">
        <f>VLOOKUP(OPX_LE3!$A95,Tableau106[],2,FALSE)</f>
        <v>FR48E96E</v>
      </c>
      <c r="D94" s="322" t="str">
        <f>VLOOKUP(OPX_LE3!$A95,Tableau106[],8,FALSE)</f>
        <v>EOLIEN</v>
      </c>
      <c r="E94" s="324">
        <f>VLOOKUP(OPX_LE3!$A95,Tableau106[],4,FALSE)</f>
        <v>27.18</v>
      </c>
      <c r="F94" s="322" t="str">
        <f>VLOOKUP(OPX_LE3!$A95,Tableau106[],5,FALSE)</f>
        <v>TAIL</v>
      </c>
      <c r="G94" s="322" t="str">
        <f>VLOOKUP(OPX_LE3!$A95,Tableau106[],7,FALSE)</f>
        <v>GROUPE</v>
      </c>
      <c r="H94" s="322" t="str">
        <f>VLOOKUP(OPX_LE3!$A95,Tableau106[],6,FALSE)</f>
        <v>S</v>
      </c>
      <c r="I94" s="322" t="str">
        <f>VLOOKUP(OPX_LE3!$A95,Tableau106[],9,FALSE)</f>
        <v>StE</v>
      </c>
      <c r="J94" s="254">
        <v>0</v>
      </c>
      <c r="K94" s="228"/>
      <c r="L94" s="228"/>
      <c r="M94" s="229">
        <f>+VLOOKUP(Tableau163[[#This Row],[CODE PI]],Tableau15[[CODE PI]:[Prestations diverses  &amp; accompagnements interne (1,6 k€ par jour d''acc)]],8,FALSE)</f>
        <v>0</v>
      </c>
      <c r="N94" s="229">
        <f>+VLOOKUP(Tableau163[[#This Row],[CODE PI]],Tableau15[[CODE PI]:[Prestations diverses  &amp; accompagnements interne (1,6 k€ par jour d''acc)]],9,FALSE)</f>
        <v>0</v>
      </c>
      <c r="O94" s="229">
        <f>+VLOOKUP(Tableau163[[#This Row],[CODE PI]],Tableau15[[CODE PI]:[Prestations diverses  &amp; accompagnements interne (1,6 k€ par jour d''acc)]],10,FALSE)</f>
        <v>-3000</v>
      </c>
      <c r="P94" s="229">
        <f>+VLOOKUP(Tableau163[[#This Row],[CODE PI]],Tableau15[[CODE PI]:[Prestations diverses  &amp; accompagnements interne (1,6 k€ par jour d''acc)]],11,FALSE)</f>
        <v>-9513</v>
      </c>
      <c r="Q94" s="230">
        <f>-250*OPX_LE3!$E95</f>
        <v>-6795</v>
      </c>
      <c r="R94" s="311">
        <f>SUM(OPX_LE3!$K95:$Q95)</f>
        <v>-21963</v>
      </c>
      <c r="S94" s="337">
        <v>-279087</v>
      </c>
      <c r="T94" s="361">
        <v>0</v>
      </c>
      <c r="U94" s="362">
        <v>0</v>
      </c>
      <c r="V94" s="361">
        <v>-9000</v>
      </c>
      <c r="W94" s="361">
        <v>-60000</v>
      </c>
      <c r="X94" s="361">
        <v>-4000</v>
      </c>
      <c r="Y94" s="361">
        <v>0</v>
      </c>
      <c r="Z94" s="264">
        <v>-6795</v>
      </c>
      <c r="AA94" s="423"/>
      <c r="AB94" s="273">
        <f>SUM(OPX_LE3!$T95:$AA95)</f>
        <v>-88000</v>
      </c>
      <c r="AC94" s="426">
        <f t="shared" si="1"/>
        <v>-11500</v>
      </c>
      <c r="AD94" s="426"/>
      <c r="AE94" s="417">
        <v>0</v>
      </c>
      <c r="AF94" s="417">
        <v>0</v>
      </c>
      <c r="AG94" s="417">
        <v>0</v>
      </c>
      <c r="AH94" s="417">
        <v>0</v>
      </c>
      <c r="AI94" s="417">
        <v>-46000</v>
      </c>
      <c r="AJ94" s="317">
        <f>SUM(OPX_LE3!$AC95:$AI95)</f>
        <v>-133062.72</v>
      </c>
      <c r="AK94" s="424">
        <v>0</v>
      </c>
      <c r="AL94" s="276">
        <f>SUM(OPX_LE3!$J95,OPX_LE3!$AB95,OPX_LE3!$S95,OPX_LE3!$AJ95,OPX_LE3!$R95,OPX_LE3!$AK95)</f>
        <v>-522112.72</v>
      </c>
      <c r="AM94" s="427">
        <v>0</v>
      </c>
    </row>
    <row r="95" spans="1:39" ht="15" hidden="1">
      <c r="A95" s="244" t="s">
        <v>579</v>
      </c>
      <c r="B95" s="232" t="str">
        <f>VLOOKUP(OPX_LE3!$A96,Tableau106[],3,FALSE)</f>
        <v>A899</v>
      </c>
      <c r="C95" s="232" t="str">
        <f>VLOOKUP(OPX_LE3!$A96,Tableau106[],2,FALSE)</f>
        <v>FR25E01E</v>
      </c>
      <c r="D95" s="232" t="str">
        <f>VLOOKUP(OPX_LE3!$A96,Tableau106[],8,FALSE)</f>
        <v>EOLIEN</v>
      </c>
      <c r="E95" s="233">
        <f>VLOOKUP(OPX_LE3!$A96,Tableau106[],4,FALSE)</f>
        <v>20</v>
      </c>
      <c r="F95" s="232" t="str">
        <f>VLOOKUP(OPX_LE3!$A96,Tableau106[],5,FALSE)</f>
        <v>LOMO</v>
      </c>
      <c r="G95" s="232" t="str">
        <f>VLOOKUP(OPX_LE3!$A96,Tableau106[],7,FALSE)</f>
        <v>GROUPE</v>
      </c>
      <c r="H95" s="232" t="str">
        <f>VLOOKUP(OPX_LE3!$A96,Tableau106[],6,FALSE)</f>
        <v>N</v>
      </c>
      <c r="I95" s="232" t="str">
        <f>VLOOKUP(OPX_LE3!$A96,Tableau106[],9,FALSE)</f>
        <v>LoH</v>
      </c>
      <c r="J95" s="254">
        <v>0</v>
      </c>
      <c r="K95" s="228"/>
      <c r="L95" s="228"/>
      <c r="M95" s="229">
        <f>+VLOOKUP(Tableau163[[#This Row],[CODE PI]],Tableau15[[CODE PI]:[Prestations diverses  &amp; accompagnements interne (1,6 k€ par jour d''acc)]],8,FALSE)</f>
        <v>0</v>
      </c>
      <c r="N95" s="229">
        <f>+VLOOKUP(Tableau163[[#This Row],[CODE PI]],Tableau15[[CODE PI]:[Prestations diverses  &amp; accompagnements interne (1,6 k€ par jour d''acc)]],9,FALSE)</f>
        <v>0</v>
      </c>
      <c r="O95" s="229">
        <f>+VLOOKUP(Tableau163[[#This Row],[CODE PI]],Tableau15[[CODE PI]:[Prestations diverses  &amp; accompagnements interne (1,6 k€ par jour d''acc)]],10,FALSE)</f>
        <v>0</v>
      </c>
      <c r="P95" s="229">
        <f>+VLOOKUP(Tableau163[[#This Row],[CODE PI]],Tableau15[[CODE PI]:[Prestations diverses  &amp; accompagnements interne (1,6 k€ par jour d''acc)]],11,FALSE)</f>
        <v>-7000</v>
      </c>
      <c r="Q95" s="230">
        <f>-250*OPX_LE3!$E96</f>
        <v>-5000</v>
      </c>
      <c r="R95" s="311">
        <f>SUM(OPX_LE3!$K96:$Q96)</f>
        <v>-13800</v>
      </c>
      <c r="S95" s="337">
        <v>-462431</v>
      </c>
      <c r="T95" s="361">
        <v>-5000</v>
      </c>
      <c r="U95" s="362">
        <v>0</v>
      </c>
      <c r="V95" s="361">
        <v>-10000</v>
      </c>
      <c r="W95" s="361">
        <v>-4500</v>
      </c>
      <c r="X95" s="361">
        <v>0</v>
      </c>
      <c r="Y95" s="361">
        <v>0</v>
      </c>
      <c r="Z95" s="264">
        <v>-5000</v>
      </c>
      <c r="AA95" s="423"/>
      <c r="AB95" s="273">
        <f>SUM(OPX_LE3!$T96:$AA96)</f>
        <v>-113100</v>
      </c>
      <c r="AC95" s="426">
        <f t="shared" si="1"/>
        <v>-11500</v>
      </c>
      <c r="AD95" s="426"/>
      <c r="AE95" s="417">
        <v>0</v>
      </c>
      <c r="AF95" s="417">
        <v>0</v>
      </c>
      <c r="AG95" s="417">
        <v>0</v>
      </c>
      <c r="AH95" s="417">
        <v>0</v>
      </c>
      <c r="AI95" s="417">
        <v>0</v>
      </c>
      <c r="AJ95" s="317">
        <f>SUM(OPX_LE3!$AC96:$AI96)</f>
        <v>-57380</v>
      </c>
      <c r="AK95" s="424">
        <v>0</v>
      </c>
      <c r="AL95" s="276">
        <f>SUM(OPX_LE3!$J96,OPX_LE3!$AB96,OPX_LE3!$S96,OPX_LE3!$AJ96,OPX_LE3!$R96,OPX_LE3!$AK96)</f>
        <v>-685771</v>
      </c>
      <c r="AM95" s="427">
        <v>0</v>
      </c>
    </row>
    <row r="96" spans="1:39" ht="15" hidden="1">
      <c r="A96" s="325" t="s">
        <v>497</v>
      </c>
      <c r="B96" s="322" t="str">
        <f>VLOOKUP(OPX_LE3!$A97,Tableau106[],3,FALSE)</f>
        <v>A895</v>
      </c>
      <c r="C96" s="322" t="str">
        <f>VLOOKUP(OPX_LE3!$A97,Tableau106[],2,FALSE)</f>
        <v>FR80E97E</v>
      </c>
      <c r="D96" s="322" t="str">
        <f>VLOOKUP(OPX_LE3!$A97,Tableau106[],8,FALSE)</f>
        <v>EOLIEN</v>
      </c>
      <c r="E96" s="324">
        <f>VLOOKUP(OPX_LE3!$A97,Tableau106[],4,FALSE)</f>
        <v>10</v>
      </c>
      <c r="F96" s="322" t="str">
        <f>VLOOKUP(OPX_LE3!$A97,Tableau106[],5,FALSE)</f>
        <v>LEPI</v>
      </c>
      <c r="G96" s="322" t="str">
        <f>VLOOKUP(OPX_LE3!$A97,Tableau106[],7,FALSE)</f>
        <v>GROUPE</v>
      </c>
      <c r="H96" s="322" t="str">
        <f>VLOOKUP(OPX_LE3!$A97,Tableau106[],6,FALSE)</f>
        <v>N</v>
      </c>
      <c r="I96" s="322" t="str">
        <f>VLOOKUP(OPX_LE3!$A97,Tableau106[],9,FALSE)</f>
        <v>NiD</v>
      </c>
      <c r="J96" s="254">
        <v>-169493</v>
      </c>
      <c r="K96" s="228"/>
      <c r="L96" s="228"/>
      <c r="M96" s="229">
        <f>+VLOOKUP(Tableau163[[#This Row],[CODE PI]],Tableau15[[CODE PI]:[Prestations diverses  &amp; accompagnements interne (1,6 k€ par jour d''acc)]],8,FALSE)</f>
        <v>0</v>
      </c>
      <c r="N96" s="229">
        <f>+VLOOKUP(Tableau163[[#This Row],[CODE PI]],Tableau15[[CODE PI]:[Prestations diverses  &amp; accompagnements interne (1,6 k€ par jour d''acc)]],9,FALSE)</f>
        <v>0</v>
      </c>
      <c r="O96" s="229">
        <f>+VLOOKUP(Tableau163[[#This Row],[CODE PI]],Tableau15[[CODE PI]:[Prestations diverses  &amp; accompagnements interne (1,6 k€ par jour d''acc)]],10,FALSE)</f>
        <v>0</v>
      </c>
      <c r="P96" s="229">
        <f>+VLOOKUP(Tableau163[[#This Row],[CODE PI]],Tableau15[[CODE PI]:[Prestations diverses  &amp; accompagnements interne (1,6 k€ par jour d''acc)]],11,FALSE)</f>
        <v>-3500</v>
      </c>
      <c r="Q96" s="230">
        <f>-250*OPX_LE3!$E97</f>
        <v>-2500</v>
      </c>
      <c r="R96" s="311">
        <f>SUM(OPX_LE3!$K97:$Q97)</f>
        <v>-186000</v>
      </c>
      <c r="S96" s="337">
        <v>0</v>
      </c>
      <c r="T96" s="361">
        <v>0</v>
      </c>
      <c r="U96" s="362">
        <v>0</v>
      </c>
      <c r="V96" s="361">
        <v>-5000</v>
      </c>
      <c r="W96" s="361">
        <v>0</v>
      </c>
      <c r="X96" s="361">
        <v>0</v>
      </c>
      <c r="Y96" s="361">
        <v>0</v>
      </c>
      <c r="Z96" s="264">
        <v>-2500</v>
      </c>
      <c r="AA96" s="423"/>
      <c r="AB96" s="273">
        <f>SUM(OPX_LE3!$T97:$AA97)</f>
        <v>-17750</v>
      </c>
      <c r="AC96" s="426"/>
      <c r="AD96" s="426"/>
      <c r="AE96" s="417">
        <v>0</v>
      </c>
      <c r="AF96" s="417">
        <v>0</v>
      </c>
      <c r="AG96" s="417">
        <v>0</v>
      </c>
      <c r="AH96" s="417">
        <v>0</v>
      </c>
      <c r="AI96" s="417">
        <v>0</v>
      </c>
      <c r="AJ96" s="317">
        <f>SUM(OPX_LE3!$AC97:$AI97)</f>
        <v>0</v>
      </c>
      <c r="AK96" s="424">
        <v>0</v>
      </c>
      <c r="AL96" s="276">
        <f>SUM(OPX_LE3!$J97,OPX_LE3!$AB97,OPX_LE3!$S97,OPX_LE3!$AJ97,OPX_LE3!$R97,OPX_LE3!$AK97)</f>
        <v>-373243</v>
      </c>
      <c r="AM96" s="427">
        <v>0</v>
      </c>
    </row>
    <row r="97" spans="1:39" ht="15" hidden="1">
      <c r="A97" s="244" t="s">
        <v>450</v>
      </c>
      <c r="B97" s="232" t="str">
        <f>VLOOKUP(OPX_LE3!$A98,Tableau106[],3,FALSE)</f>
        <v>A279</v>
      </c>
      <c r="C97" s="232" t="str">
        <f>VLOOKUP(OPX_LE3!$A98,Tableau106[],2,FALSE)</f>
        <v>FR51E07E</v>
      </c>
      <c r="D97" s="232" t="str">
        <f>VLOOKUP(OPX_LE3!$A98,Tableau106[],8,FALSE)</f>
        <v>EOLIEN</v>
      </c>
      <c r="E97" s="233">
        <f>VLOOKUP(OPX_LE3!$A98,Tableau106[],4,FALSE)</f>
        <v>43.2</v>
      </c>
      <c r="F97" s="232" t="str">
        <f>VLOOKUP(OPX_LE3!$A98,Tableau106[],5,FALSE)</f>
        <v>LORO</v>
      </c>
      <c r="G97" s="232" t="str">
        <f>VLOOKUP(OPX_LE3!$A98,Tableau106[],7,FALSE)</f>
        <v>GROUPE</v>
      </c>
      <c r="H97" s="232" t="str">
        <f>VLOOKUP(OPX_LE3!$A98,Tableau106[],6,FALSE)</f>
        <v>N</v>
      </c>
      <c r="I97" s="232" t="str">
        <f>VLOOKUP(OPX_LE3!$A98,Tableau106[],9,FALSE)</f>
        <v>BaB</v>
      </c>
      <c r="J97" s="254">
        <v>-43472</v>
      </c>
      <c r="K97" s="228"/>
      <c r="L97" s="228"/>
      <c r="M97" s="229">
        <f>+VLOOKUP(Tableau163[[#This Row],[CODE PI]],Tableau15[[CODE PI]:[Prestations diverses  &amp; accompagnements interne (1,6 k€ par jour d''acc)]],8,FALSE)</f>
        <v>0</v>
      </c>
      <c r="N97" s="229">
        <f>+VLOOKUP(Tableau163[[#This Row],[CODE PI]],Tableau15[[CODE PI]:[Prestations diverses  &amp; accompagnements interne (1,6 k€ par jour d''acc)]],9,FALSE)</f>
        <v>0</v>
      </c>
      <c r="O97" s="229">
        <f>+VLOOKUP(Tableau163[[#This Row],[CODE PI]],Tableau15[[CODE PI]:[Prestations diverses  &amp; accompagnements interne (1,6 k€ par jour d''acc)]],10,FALSE)</f>
        <v>0</v>
      </c>
      <c r="P97" s="229">
        <f>+VLOOKUP(Tableau163[[#This Row],[CODE PI]],Tableau15[[CODE PI]:[Prestations diverses  &amp; accompagnements interne (1,6 k€ par jour d''acc)]],11,FALSE)</f>
        <v>-16695</v>
      </c>
      <c r="Q97" s="230">
        <f>-250*OPX_LE3!$E98</f>
        <v>-10800</v>
      </c>
      <c r="R97" s="311">
        <f>SUM(OPX_LE3!$K98:$Q98)</f>
        <v>-69055</v>
      </c>
      <c r="S97" s="337">
        <v>-574671</v>
      </c>
      <c r="T97" s="361">
        <v>0</v>
      </c>
      <c r="U97" s="362">
        <v>0</v>
      </c>
      <c r="V97" s="361">
        <v>0</v>
      </c>
      <c r="W97" s="361">
        <v>0</v>
      </c>
      <c r="X97" s="361">
        <v>0</v>
      </c>
      <c r="Y97" s="361">
        <v>0</v>
      </c>
      <c r="Z97" s="264">
        <v>-10800</v>
      </c>
      <c r="AA97" s="423"/>
      <c r="AB97" s="273">
        <f>SUM(OPX_LE3!$T98:$AA98)</f>
        <v>-18047</v>
      </c>
      <c r="AC97" s="426">
        <f t="shared" si="1"/>
        <v>-11500</v>
      </c>
      <c r="AD97" s="426"/>
      <c r="AE97" s="417">
        <v>-11925</v>
      </c>
      <c r="AF97" s="417">
        <v>-9250</v>
      </c>
      <c r="AG97" s="417">
        <v>-25050</v>
      </c>
      <c r="AH97" s="417">
        <v>0</v>
      </c>
      <c r="AI97" s="417">
        <v>0</v>
      </c>
      <c r="AJ97" s="317">
        <f>SUM(OPX_LE3!$AC98:$AI98)</f>
        <v>-68072.2</v>
      </c>
      <c r="AK97" s="424">
        <v>0</v>
      </c>
      <c r="AL97" s="276">
        <f>SUM(OPX_LE3!$J98,OPX_LE3!$AB98,OPX_LE3!$S98,OPX_LE3!$AJ98,OPX_LE3!$R98,OPX_LE3!$AK98)</f>
        <v>-773317.2</v>
      </c>
      <c r="AM97" s="427">
        <v>0</v>
      </c>
    </row>
    <row r="98" spans="1:39" ht="15" hidden="1">
      <c r="A98" s="325" t="s">
        <v>452</v>
      </c>
      <c r="B98" s="322" t="str">
        <f>VLOOKUP(OPX_LE3!$A99,Tableau106[],3,FALSE)</f>
        <v>A896</v>
      </c>
      <c r="C98" s="322" t="str">
        <f>VLOOKUP(OPX_LE3!$A99,Tableau106[],2,FALSE)</f>
        <v>FR48E99E</v>
      </c>
      <c r="D98" s="322" t="str">
        <f>VLOOKUP(OPX_LE3!$A99,Tableau106[],8,FALSE)</f>
        <v>EOLIEN</v>
      </c>
      <c r="E98" s="324">
        <f>VLOOKUP(OPX_LE3!$A99,Tableau106[],4,FALSE)</f>
        <v>14</v>
      </c>
      <c r="F98" s="322" t="str">
        <f>VLOOKUP(OPX_LE3!$A99,Tableau106[],5,FALSE)</f>
        <v>LOPV</v>
      </c>
      <c r="G98" s="322" t="str">
        <f>VLOOKUP(OPX_LE3!$A99,Tableau106[],7,FALSE)</f>
        <v>GROUPE</v>
      </c>
      <c r="H98" s="322" t="str">
        <f>VLOOKUP(OPX_LE3!$A99,Tableau106[],6,FALSE)</f>
        <v>S</v>
      </c>
      <c r="I98" s="322" t="str">
        <f>VLOOKUP(OPX_LE3!$A99,Tableau106[],9,FALSE)</f>
        <v>ThC</v>
      </c>
      <c r="J98" s="254">
        <v>-15124</v>
      </c>
      <c r="K98" s="228"/>
      <c r="L98" s="228"/>
      <c r="M98" s="229">
        <f>+VLOOKUP(Tableau163[[#This Row],[CODE PI]],Tableau15[[CODE PI]:[Prestations diverses  &amp; accompagnements interne (1,6 k€ par jour d''acc)]],8,FALSE)</f>
        <v>0</v>
      </c>
      <c r="N98" s="229">
        <f>+VLOOKUP(Tableau163[[#This Row],[CODE PI]],Tableau15[[CODE PI]:[Prestations diverses  &amp; accompagnements interne (1,6 k€ par jour d''acc)]],9,FALSE)</f>
        <v>0</v>
      </c>
      <c r="O98" s="229">
        <f>+VLOOKUP(Tableau163[[#This Row],[CODE PI]],Tableau15[[CODE PI]:[Prestations diverses  &amp; accompagnements interne (1,6 k€ par jour d''acc)]],10,FALSE)</f>
        <v>-1500</v>
      </c>
      <c r="P98" s="229">
        <f>+VLOOKUP(Tableau163[[#This Row],[CODE PI]],Tableau15[[CODE PI]:[Prestations diverses  &amp; accompagnements interne (1,6 k€ par jour d''acc)]],11,FALSE)</f>
        <v>-4900</v>
      </c>
      <c r="Q98" s="230">
        <f>-250*OPX_LE3!$E99</f>
        <v>-3500</v>
      </c>
      <c r="R98" s="311">
        <f>SUM(OPX_LE3!$K99:$Q99)</f>
        <v>-21610</v>
      </c>
      <c r="S98" s="337">
        <v>-400000</v>
      </c>
      <c r="T98" s="361">
        <v>-50000</v>
      </c>
      <c r="U98" s="362">
        <v>0</v>
      </c>
      <c r="V98" s="361">
        <v>-8000</v>
      </c>
      <c r="W98" s="361">
        <v>-14000</v>
      </c>
      <c r="X98" s="361">
        <v>0</v>
      </c>
      <c r="Y98" s="361">
        <v>0</v>
      </c>
      <c r="Z98" s="264">
        <v>-3500</v>
      </c>
      <c r="AA98" s="423"/>
      <c r="AB98" s="273">
        <f>SUM(OPX_LE3!$U99:$AA99)</f>
        <v>-96750</v>
      </c>
      <c r="AC98" s="426">
        <f t="shared" si="1"/>
        <v>-11500</v>
      </c>
      <c r="AD98" s="426"/>
      <c r="AE98" s="417">
        <v>0</v>
      </c>
      <c r="AF98" s="417">
        <v>0</v>
      </c>
      <c r="AG98" s="417">
        <v>0</v>
      </c>
      <c r="AH98" s="417">
        <v>0</v>
      </c>
      <c r="AI98" s="417">
        <v>0</v>
      </c>
      <c r="AJ98" s="317">
        <f>SUM(OPX_LE3!$AC99:$AI99)</f>
        <v>-64200</v>
      </c>
      <c r="AK98" s="424">
        <v>0</v>
      </c>
      <c r="AL98" s="276">
        <f>SUM(OPX_LE3!$J99,OPX_LE3!$AB99,OPX_LE3!$S99,OPX_LE3!$AJ99,OPX_LE3!$R99,OPX_LE3!$AK99)</f>
        <v>-484928</v>
      </c>
      <c r="AM98" s="427">
        <v>0</v>
      </c>
    </row>
    <row r="99" spans="1:39" ht="15" hidden="1">
      <c r="A99" s="325" t="s">
        <v>533</v>
      </c>
      <c r="B99" s="322" t="str">
        <f>VLOOKUP(OPX_LE3!$A100,Tableau106[],3,FALSE)</f>
        <v>A257</v>
      </c>
      <c r="C99" s="322" t="str">
        <f>VLOOKUP(OPX_LE3!$A100,Tableau106[],2,FALSE)</f>
        <v>FR01S02E</v>
      </c>
      <c r="D99" s="322" t="str">
        <f>VLOOKUP(OPX_LE3!$A100,Tableau106[],8,FALSE)</f>
        <v>SOLAIRE</v>
      </c>
      <c r="E99" s="324">
        <f>VLOOKUP(OPX_LE3!$A100,Tableau106[],4,FALSE)</f>
        <v>4.8</v>
      </c>
      <c r="F99" s="322" t="str">
        <f>VLOOKUP(OPX_LE3!$A100,Tableau106[],5,FALSE)</f>
        <v>LOYE</v>
      </c>
      <c r="G99" s="322" t="str">
        <f>VLOOKUP(OPX_LE3!$A100,Tableau106[],7,FALSE)</f>
        <v>GROUPE</v>
      </c>
      <c r="H99" s="322" t="str">
        <f>VLOOKUP(OPX_LE3!$A100,Tableau106[],6,FALSE)</f>
        <v>S</v>
      </c>
      <c r="I99" s="322" t="str">
        <f>VLOOKUP(OPX_LE3!$A100,Tableau106[],9,FALSE)</f>
        <v>LoG</v>
      </c>
      <c r="J99" s="254">
        <f>-34577-3046</f>
        <v>-37623</v>
      </c>
      <c r="K99" s="228"/>
      <c r="L99" s="228"/>
      <c r="M99" s="229">
        <f>+VLOOKUP(Tableau163[[#This Row],[CODE PI]],Tableau15[[CODE PI]:[Prestations diverses  &amp; accompagnements interne (1,6 k€ par jour d''acc)]],8,FALSE)</f>
        <v>0</v>
      </c>
      <c r="N99" s="229">
        <f>+VLOOKUP(Tableau163[[#This Row],[CODE PI]],Tableau15[[CODE PI]:[Prestations diverses  &amp; accompagnements interne (1,6 k€ par jour d''acc)]],9,FALSE)</f>
        <v>0</v>
      </c>
      <c r="O99" s="229">
        <f>+VLOOKUP(Tableau163[[#This Row],[CODE PI]],Tableau15[[CODE PI]:[Prestations diverses  &amp; accompagnements interne (1,6 k€ par jour d''acc)]],10,FALSE)</f>
        <v>0</v>
      </c>
      <c r="P99" s="229">
        <f>+VLOOKUP(Tableau163[[#This Row],[CODE PI]],Tableau15[[CODE PI]:[Prestations diverses  &amp; accompagnements interne (1,6 k€ par jour d''acc)]],11,FALSE)</f>
        <v>0</v>
      </c>
      <c r="Q99" s="230">
        <f>-250*OPX_LE3!$E100</f>
        <v>-1200</v>
      </c>
      <c r="R99" s="311">
        <f>SUM(OPX_LE3!$K100:$Q100)</f>
        <v>-25220.000000000004</v>
      </c>
      <c r="S99" s="337">
        <v>0</v>
      </c>
      <c r="T99" s="361">
        <v>0</v>
      </c>
      <c r="U99" s="362">
        <v>0</v>
      </c>
      <c r="V99" s="361">
        <v>-6000</v>
      </c>
      <c r="W99" s="361">
        <v>0</v>
      </c>
      <c r="X99" s="361">
        <v>0</v>
      </c>
      <c r="Y99" s="361">
        <v>0</v>
      </c>
      <c r="Z99" s="264">
        <v>-1200</v>
      </c>
      <c r="AA99" s="423"/>
      <c r="AB99" s="273">
        <f>SUM(OPX_LE3!$T100:$AA100)</f>
        <v>-13170</v>
      </c>
      <c r="AC99" s="426">
        <f t="shared" si="1"/>
        <v>-11500</v>
      </c>
      <c r="AD99" s="426"/>
      <c r="AE99" s="417">
        <v>0</v>
      </c>
      <c r="AF99" s="417">
        <v>0</v>
      </c>
      <c r="AG99" s="417">
        <v>0</v>
      </c>
      <c r="AH99" s="417">
        <v>-3300</v>
      </c>
      <c r="AI99" s="417">
        <v>0</v>
      </c>
      <c r="AJ99" s="317">
        <f>SUM(OPX_LE3!$AC100:$AI100)</f>
        <v>-2937.5</v>
      </c>
      <c r="AK99" s="424">
        <v>0</v>
      </c>
      <c r="AL99" s="276">
        <f>SUM(OPX_LE3!$J100,OPX_LE3!$AB100,OPX_LE3!$S100,OPX_LE3!$AJ100,OPX_LE3!$R100,OPX_LE3!$AK100)</f>
        <v>-69119.5</v>
      </c>
      <c r="AM99" s="427">
        <v>0</v>
      </c>
    </row>
    <row r="100" spans="1:39" ht="15" hidden="1">
      <c r="A100" s="244" t="s">
        <v>469</v>
      </c>
      <c r="B100" s="232" t="str">
        <f>VLOOKUP(OPX_LE3!$A101,Tableau106[],3,FALSE)</f>
        <v>A039</v>
      </c>
      <c r="C100" s="232" t="str">
        <f>VLOOKUP(OPX_LE3!$A101,Tableau106[],2,FALSE)</f>
        <v>FR11E99E</v>
      </c>
      <c r="D100" s="232" t="str">
        <f>VLOOKUP(OPX_LE3!$A101,Tableau106[],8,FALSE)</f>
        <v>EOLIEN</v>
      </c>
      <c r="E100" s="233">
        <f>VLOOKUP(OPX_LE3!$A101,Tableau106[],4,FALSE)</f>
        <v>12</v>
      </c>
      <c r="F100" s="232" t="str">
        <f>VLOOKUP(OPX_LE3!$A101,Tableau106[],5,FALSE)</f>
        <v>LUCO</v>
      </c>
      <c r="G100" s="232" t="str">
        <f>VLOOKUP(OPX_LE3!$A101,Tableau106[],7,FALSE)</f>
        <v>GROUPE</v>
      </c>
      <c r="H100" s="232" t="str">
        <f>VLOOKUP(OPX_LE3!$A101,Tableau106[],6,FALSE)</f>
        <v>S</v>
      </c>
      <c r="I100" s="232" t="str">
        <f>VLOOKUP(OPX_LE3!$A101,Tableau106[],9,FALSE)</f>
        <v>SaH</v>
      </c>
      <c r="J100" s="254">
        <v>-490118</v>
      </c>
      <c r="K100" s="228"/>
      <c r="L100" s="228"/>
      <c r="M100" s="229">
        <f>+VLOOKUP(Tableau163[[#This Row],[CODE PI]],Tableau15[[CODE PI]:[Prestations diverses  &amp; accompagnements interne (1,6 k€ par jour d''acc)]],8,FALSE)</f>
        <v>0</v>
      </c>
      <c r="N100" s="229">
        <f>+VLOOKUP(Tableau163[[#This Row],[CODE PI]],Tableau15[[CODE PI]:[Prestations diverses  &amp; accompagnements interne (1,6 k€ par jour d''acc)]],9,FALSE)</f>
        <v>0</v>
      </c>
      <c r="O100" s="229">
        <f>+VLOOKUP(Tableau163[[#This Row],[CODE PI]],Tableau15[[CODE PI]:[Prestations diverses  &amp; accompagnements interne (1,6 k€ par jour d''acc)]],10,FALSE)</f>
        <v>0</v>
      </c>
      <c r="P100" s="229">
        <f>+VLOOKUP(Tableau163[[#This Row],[CODE PI]],Tableau15[[CODE PI]:[Prestations diverses  &amp; accompagnements interne (1,6 k€ par jour d''acc)]],11,FALSE)</f>
        <v>-4200</v>
      </c>
      <c r="Q100" s="230">
        <f>-250*OPX_LE3!$E101</f>
        <v>-3000</v>
      </c>
      <c r="R100" s="311">
        <f>SUM(OPX_LE3!$K101:$Q101)</f>
        <v>-38590</v>
      </c>
      <c r="S100" s="337">
        <v>0</v>
      </c>
      <c r="T100" s="361">
        <v>0</v>
      </c>
      <c r="U100" s="362">
        <v>0</v>
      </c>
      <c r="V100" s="361">
        <v>-8000</v>
      </c>
      <c r="W100" s="361">
        <v>0</v>
      </c>
      <c r="X100" s="361">
        <v>0</v>
      </c>
      <c r="Y100" s="361">
        <v>0</v>
      </c>
      <c r="Z100" s="264">
        <v>-3000</v>
      </c>
      <c r="AA100" s="423"/>
      <c r="AB100" s="273">
        <f>SUM(OPX_LE3!$T101:$AA101)</f>
        <v>-33660</v>
      </c>
      <c r="AC100" s="426">
        <f t="shared" si="1"/>
        <v>-11500</v>
      </c>
      <c r="AD100" s="426"/>
      <c r="AE100" s="417">
        <v>0</v>
      </c>
      <c r="AF100" s="417">
        <v>0</v>
      </c>
      <c r="AG100" s="417">
        <v>0</v>
      </c>
      <c r="AH100" s="417">
        <v>0</v>
      </c>
      <c r="AI100" s="417">
        <v>0</v>
      </c>
      <c r="AJ100" s="317">
        <f>SUM(OPX_LE3!$AC101:$AI101)</f>
        <v>0</v>
      </c>
      <c r="AK100" s="424">
        <v>0</v>
      </c>
      <c r="AL100" s="276">
        <f>SUM(OPX_LE3!$J101,OPX_LE3!$AB101,OPX_LE3!$S101,OPX_LE3!$AJ101,OPX_LE3!$R101,OPX_LE3!$AK101)</f>
        <v>-562368</v>
      </c>
      <c r="AM100" s="427">
        <v>0</v>
      </c>
    </row>
    <row r="101" spans="1:39" ht="15" hidden="1">
      <c r="A101" s="325" t="s">
        <v>400</v>
      </c>
      <c r="B101" s="322" t="str">
        <f>VLOOKUP(OPX_LE3!$A102,Tableau106[],3,FALSE)</f>
        <v>A272</v>
      </c>
      <c r="C101" s="322" t="str">
        <f>VLOOKUP(OPX_LE3!$A102,Tableau106[],2,FALSE)</f>
        <v>FR21S02E</v>
      </c>
      <c r="D101" s="322" t="str">
        <f>VLOOKUP(OPX_LE3!$A102,Tableau106[],8,FALSE)</f>
        <v>SOLAIRE</v>
      </c>
      <c r="E101" s="324">
        <f>VLOOKUP(OPX_LE3!$A102,Tableau106[],4,FALSE)</f>
        <v>8.4</v>
      </c>
      <c r="F101" s="322" t="str">
        <f>VLOOKUP(OPX_LE3!$A102,Tableau106[],5,FALSE)</f>
        <v>LUX1</v>
      </c>
      <c r="G101" s="322" t="str">
        <f>VLOOKUP(OPX_LE3!$A102,Tableau106[],7,FALSE)</f>
        <v>GROUPE</v>
      </c>
      <c r="H101" s="322" t="str">
        <f>VLOOKUP(OPX_LE3!$A102,Tableau106[],6,FALSE)</f>
        <v>N</v>
      </c>
      <c r="I101" s="322" t="str">
        <f>VLOOKUP(OPX_LE3!$A102,Tableau106[],9,FALSE)</f>
        <v>ZaA</v>
      </c>
      <c r="J101" s="254">
        <v>-40004</v>
      </c>
      <c r="K101" s="228"/>
      <c r="L101" s="228"/>
      <c r="M101" s="229">
        <f>+VLOOKUP(Tableau163[[#This Row],[CODE PI]],Tableau15[[CODE PI]:[Prestations diverses  &amp; accompagnements interne (1,6 k€ par jour d''acc)]],8,FALSE)</f>
        <v>0</v>
      </c>
      <c r="N101" s="229">
        <f>+VLOOKUP(Tableau163[[#This Row],[CODE PI]],Tableau15[[CODE PI]:[Prestations diverses  &amp; accompagnements interne (1,6 k€ par jour d''acc)]],9,FALSE)</f>
        <v>0</v>
      </c>
      <c r="O101" s="229">
        <f>+VLOOKUP(Tableau163[[#This Row],[CODE PI]],Tableau15[[CODE PI]:[Prestations diverses  &amp; accompagnements interne (1,6 k€ par jour d''acc)]],10,FALSE)</f>
        <v>0</v>
      </c>
      <c r="P101" s="229">
        <f>+VLOOKUP(Tableau163[[#This Row],[CODE PI]],Tableau15[[CODE PI]:[Prestations diverses  &amp; accompagnements interne (1,6 k€ par jour d''acc)]],11,FALSE)</f>
        <v>0</v>
      </c>
      <c r="Q101" s="230">
        <f>-250*OPX_LE3!$E102</f>
        <v>-2100</v>
      </c>
      <c r="R101" s="311">
        <f>SUM(OPX_LE3!$K102:$Q102)</f>
        <v>-26150.000000000004</v>
      </c>
      <c r="S101" s="337">
        <v>0</v>
      </c>
      <c r="T101" s="361">
        <v>0</v>
      </c>
      <c r="U101" s="362">
        <v>0</v>
      </c>
      <c r="V101" s="361">
        <v>0</v>
      </c>
      <c r="W101" s="361">
        <v>0</v>
      </c>
      <c r="X101" s="361">
        <v>0</v>
      </c>
      <c r="Y101" s="361">
        <v>0</v>
      </c>
      <c r="Z101" s="264">
        <v>-2100</v>
      </c>
      <c r="AA101" s="423"/>
      <c r="AB101" s="273">
        <f>SUM(OPX_LE3!$T102:$AA102)</f>
        <v>-17520</v>
      </c>
      <c r="AC101" s="426">
        <f t="shared" si="1"/>
        <v>-11500</v>
      </c>
      <c r="AD101" s="426"/>
      <c r="AE101" s="417">
        <v>0</v>
      </c>
      <c r="AF101" s="417">
        <v>0</v>
      </c>
      <c r="AG101" s="417">
        <v>0</v>
      </c>
      <c r="AH101" s="417">
        <v>0</v>
      </c>
      <c r="AI101" s="417">
        <v>0</v>
      </c>
      <c r="AJ101" s="317">
        <f>SUM(OPX_LE3!$AC102:$AI102)</f>
        <v>0</v>
      </c>
      <c r="AK101" s="424">
        <v>0</v>
      </c>
      <c r="AL101" s="276">
        <f>SUM(OPX_LE3!$J102,OPX_LE3!$AB102,OPX_LE3!$S102,OPX_LE3!$AJ102,OPX_LE3!$R102,OPX_LE3!$AK102)</f>
        <v>-93573</v>
      </c>
      <c r="AM101" s="427">
        <v>0</v>
      </c>
    </row>
    <row r="102" spans="1:39" ht="15" hidden="1">
      <c r="A102" s="244" t="s">
        <v>599</v>
      </c>
      <c r="B102" s="232" t="str">
        <f>VLOOKUP(OPX_LE3!$A103,Tableau106[],3,FALSE)</f>
        <v>A541</v>
      </c>
      <c r="C102" s="232" t="str">
        <f>VLOOKUP(OPX_LE3!$A103,Tableau106[],2,FALSE)</f>
        <v>FR85E02E</v>
      </c>
      <c r="D102" s="232" t="str">
        <f>VLOOKUP(OPX_LE3!$A103,Tableau106[],8,FALSE)</f>
        <v>EOLIEN</v>
      </c>
      <c r="E102" s="233">
        <f>VLOOKUP(OPX_LE3!$A103,Tableau106[],4,FALSE)</f>
        <v>8</v>
      </c>
      <c r="F102" s="232" t="str">
        <f>VLOOKUP(OPX_LE3!$A103,Tableau106[],5,FALSE)</f>
        <v>MACH</v>
      </c>
      <c r="G102" s="232" t="str">
        <f>VLOOKUP(OPX_LE3!$A103,Tableau106[],7,FALSE)</f>
        <v>EGM</v>
      </c>
      <c r="H102" s="232" t="str">
        <f>VLOOKUP(OPX_LE3!$A103,Tableau106[],6,FALSE)</f>
        <v>N</v>
      </c>
      <c r="I102" s="232" t="str">
        <f>VLOOKUP(OPX_LE3!$A103,Tableau106[],9,FALSE)</f>
        <v>BoK</v>
      </c>
      <c r="J102" s="254">
        <v>-206499</v>
      </c>
      <c r="K102" s="228"/>
      <c r="L102" s="228"/>
      <c r="M102" s="229">
        <f>+VLOOKUP(Tableau163[[#This Row],[CODE PI]],Tableau15[[CODE PI]:[Prestations diverses  &amp; accompagnements interne (1,6 k€ par jour d''acc)]],8,FALSE)</f>
        <v>0</v>
      </c>
      <c r="N102" s="229">
        <f>+VLOOKUP(Tableau163[[#This Row],[CODE PI]],Tableau15[[CODE PI]:[Prestations diverses  &amp; accompagnements interne (1,6 k€ par jour d''acc)]],9,FALSE)</f>
        <v>0</v>
      </c>
      <c r="O102" s="229">
        <f>+VLOOKUP(Tableau163[[#This Row],[CODE PI]],Tableau15[[CODE PI]:[Prestations diverses  &amp; accompagnements interne (1,6 k€ par jour d''acc)]],10,FALSE)</f>
        <v>0</v>
      </c>
      <c r="P102" s="229">
        <f>+VLOOKUP(Tableau163[[#This Row],[CODE PI]],Tableau15[[CODE PI]:[Prestations diverses  &amp; accompagnements interne (1,6 k€ par jour d''acc)]],11,FALSE)</f>
        <v>-2800</v>
      </c>
      <c r="Q102" s="230">
        <f>-250*OPX_LE3!$E103</f>
        <v>-2000</v>
      </c>
      <c r="R102" s="311">
        <f>SUM(OPX_LE3!$K103:$Q103)</f>
        <v>-194800</v>
      </c>
      <c r="S102" s="337">
        <v>0</v>
      </c>
      <c r="T102" s="361">
        <v>0</v>
      </c>
      <c r="U102" s="362">
        <v>0</v>
      </c>
      <c r="V102" s="361">
        <v>-1000</v>
      </c>
      <c r="W102" s="361">
        <v>0</v>
      </c>
      <c r="X102" s="361">
        <v>0</v>
      </c>
      <c r="Y102" s="361">
        <v>0</v>
      </c>
      <c r="Z102" s="264">
        <v>-2000</v>
      </c>
      <c r="AA102" s="423"/>
      <c r="AB102" s="273">
        <f>SUM(OPX_LE3!$T103:$AA103)</f>
        <v>-34000</v>
      </c>
      <c r="AC102" s="426">
        <f t="shared" si="1"/>
        <v>-11500</v>
      </c>
      <c r="AD102" s="426"/>
      <c r="AE102" s="417">
        <v>0</v>
      </c>
      <c r="AF102" s="417">
        <v>0</v>
      </c>
      <c r="AG102" s="417">
        <v>0</v>
      </c>
      <c r="AH102" s="417">
        <v>0</v>
      </c>
      <c r="AI102" s="417">
        <v>0</v>
      </c>
      <c r="AJ102" s="317">
        <f>SUM(OPX_LE3!$AC103:$AI103)</f>
        <v>0</v>
      </c>
      <c r="AK102" s="424">
        <v>0</v>
      </c>
      <c r="AL102" s="276">
        <f>SUM(OPX_LE3!$J103,OPX_LE3!$AB103,OPX_LE3!$S103,OPX_LE3!$AJ103,OPX_LE3!$R103,OPX_LE3!$AK103)</f>
        <v>-435299</v>
      </c>
      <c r="AM102" s="427">
        <v>0</v>
      </c>
    </row>
    <row r="103" spans="1:39" ht="15">
      <c r="A103" s="325" t="s">
        <v>214</v>
      </c>
      <c r="B103" s="322" t="str">
        <f>VLOOKUP(OPX_LE3!$A104,Tableau106[],3,FALSE)</f>
        <v>F240</v>
      </c>
      <c r="C103" s="322" t="str">
        <f>VLOOKUP(OPX_LE3!$A104,Tableau106[],2,FALSE)</f>
        <v>FR80E93E</v>
      </c>
      <c r="D103" s="322" t="str">
        <f>VLOOKUP(OPX_LE3!$A104,Tableau106[],8,FALSE)</f>
        <v>EOLIEN</v>
      </c>
      <c r="E103" s="324">
        <f>VLOOKUP(OPX_LE3!$A104,Tableau106[],4,FALSE)</f>
        <v>15</v>
      </c>
      <c r="F103" s="322" t="str">
        <f>VLOOKUP(OPX_LE3!$A104,Tableau106[],5,FALSE)</f>
        <v>MAG1, MAG3</v>
      </c>
      <c r="G103" s="322" t="str">
        <f>VLOOKUP(OPX_LE3!$A104,Tableau106[],7,FALSE)</f>
        <v>FUTUREN</v>
      </c>
      <c r="H103" s="322" t="str">
        <f>VLOOKUP(OPX_LE3!$A104,Tableau106[],6,FALSE)</f>
        <v>N</v>
      </c>
      <c r="I103" s="322" t="str">
        <f>VLOOKUP(OPX_LE3!$A104,Tableau106[],9,FALSE)</f>
        <v>AlY</v>
      </c>
      <c r="J103" s="254">
        <v>-12033</v>
      </c>
      <c r="K103" s="228"/>
      <c r="L103" s="228"/>
      <c r="M103" s="229">
        <f>+VLOOKUP(Tableau163[[#This Row],[CODE PI]],Tableau15[[CODE PI]:[Prestations diverses  &amp; accompagnements interne (1,6 k€ par jour d''acc)]],8,FALSE)</f>
        <v>0</v>
      </c>
      <c r="N103" s="229">
        <f>+VLOOKUP(Tableau163[[#This Row],[CODE PI]],Tableau15[[CODE PI]:[Prestations diverses  &amp; accompagnements interne (1,6 k€ par jour d''acc)]],9,FALSE)</f>
        <v>0</v>
      </c>
      <c r="O103" s="229">
        <f>+VLOOKUP(Tableau163[[#This Row],[CODE PI]],Tableau15[[CODE PI]:[Prestations diverses  &amp; accompagnements interne (1,6 k€ par jour d''acc)]],10,FALSE)</f>
        <v>0</v>
      </c>
      <c r="P103" s="229">
        <f>+VLOOKUP(Tableau163[[#This Row],[CODE PI]],Tableau15[[CODE PI]:[Prestations diverses  &amp; accompagnements interne (1,6 k€ par jour d''acc)]],11,FALSE)</f>
        <v>0</v>
      </c>
      <c r="Q103" s="230">
        <f>-250*OPX_LE3!$E104</f>
        <v>-3750</v>
      </c>
      <c r="R103" s="311">
        <f>SUM(OPX_LE3!$K104:$Q104)</f>
        <v>-11880</v>
      </c>
      <c r="S103" s="337">
        <v>-218429</v>
      </c>
      <c r="T103" s="361">
        <v>0</v>
      </c>
      <c r="U103" s="362">
        <v>0</v>
      </c>
      <c r="V103" s="361">
        <v>0</v>
      </c>
      <c r="W103" s="361">
        <v>0</v>
      </c>
      <c r="X103" s="361">
        <v>0</v>
      </c>
      <c r="Y103" s="361">
        <v>0</v>
      </c>
      <c r="Z103" s="264">
        <v>-3750</v>
      </c>
      <c r="AA103" s="423"/>
      <c r="AB103" s="273">
        <f>SUM(OPX_LE3!$T104:$AA104)</f>
        <v>-80823</v>
      </c>
      <c r="AC103" s="426">
        <f t="shared" si="1"/>
        <v>-11500</v>
      </c>
      <c r="AD103" s="426"/>
      <c r="AE103" s="417">
        <v>0</v>
      </c>
      <c r="AF103" s="417">
        <v>0</v>
      </c>
      <c r="AG103" s="417">
        <v>0</v>
      </c>
      <c r="AH103" s="417">
        <v>0</v>
      </c>
      <c r="AI103" s="417">
        <v>0</v>
      </c>
      <c r="AJ103" s="317">
        <f>SUM(OPX_LE3!$AC104:$AI104)</f>
        <v>-20000</v>
      </c>
      <c r="AK103" s="424">
        <v>0</v>
      </c>
      <c r="AL103" s="276">
        <f>SUM(OPX_LE3!$J104,OPX_LE3!$AB104,OPX_LE3!$S104,OPX_LE3!$AJ104,OPX_LE3!$R104,OPX_LE3!$AK104)</f>
        <v>-398865</v>
      </c>
      <c r="AM103" s="427">
        <v>0</v>
      </c>
    </row>
    <row r="104" spans="1:39" ht="15" hidden="1">
      <c r="A104" s="244" t="s">
        <v>637</v>
      </c>
      <c r="B104" s="232" t="str">
        <f>VLOOKUP(OPX_LE3!$A105,Tableau106[],3,FALSE)</f>
        <v>A239</v>
      </c>
      <c r="C104" s="232" t="str">
        <f>VLOOKUP(OPX_LE3!$A105,Tableau106[],2,FALSE)</f>
        <v>FR87S01E</v>
      </c>
      <c r="D104" s="232" t="str">
        <f>VLOOKUP(OPX_LE3!$A105,Tableau106[],8,FALSE)</f>
        <v>SOLAIRE</v>
      </c>
      <c r="E104" s="233">
        <f>VLOOKUP(OPX_LE3!$A105,Tableau106[],4,FALSE)</f>
        <v>5</v>
      </c>
      <c r="F104" s="232" t="str">
        <f>VLOOKUP(OPX_LE3!$A105,Tableau106[],5,FALSE)</f>
        <v>MABE</v>
      </c>
      <c r="G104" s="232" t="str">
        <f>VLOOKUP(OPX_LE3!$A105,Tableau106[],7,FALSE)</f>
        <v>GROUPE</v>
      </c>
      <c r="H104" s="232" t="str">
        <f>VLOOKUP(OPX_LE3!$A105,Tableau106[],6,FALSE)</f>
        <v>N</v>
      </c>
      <c r="I104" s="232" t="str">
        <f>VLOOKUP(OPX_LE3!$A105,Tableau106[],9,FALSE)</f>
        <v>ArB</v>
      </c>
      <c r="J104" s="254"/>
      <c r="K104" s="228"/>
      <c r="L104" s="228"/>
      <c r="M104" s="229">
        <f>+VLOOKUP(Tableau163[[#This Row],[CODE PI]],Tableau15[[CODE PI]:[Prestations diverses  &amp; accompagnements interne (1,6 k€ par jour d''acc)]],8,FALSE)</f>
        <v>0</v>
      </c>
      <c r="N104" s="229">
        <f>+VLOOKUP(Tableau163[[#This Row],[CODE PI]],Tableau15[[CODE PI]:[Prestations diverses  &amp; accompagnements interne (1,6 k€ par jour d''acc)]],9,FALSE)</f>
        <v>0</v>
      </c>
      <c r="O104" s="229">
        <f>+VLOOKUP(Tableau163[[#This Row],[CODE PI]],Tableau15[[CODE PI]:[Prestations diverses  &amp; accompagnements interne (1,6 k€ par jour d''acc)]],10,FALSE)</f>
        <v>0</v>
      </c>
      <c r="P104" s="229">
        <f>+VLOOKUP(Tableau163[[#This Row],[CODE PI]],Tableau15[[CODE PI]:[Prestations diverses  &amp; accompagnements interne (1,6 k€ par jour d''acc)]],11,FALSE)</f>
        <v>0</v>
      </c>
      <c r="Q104" s="230">
        <f>-250*OPX_LE3!$E105</f>
        <v>-1250</v>
      </c>
      <c r="R104" s="311">
        <f>SUM(OPX_LE3!$K105:$Q105)</f>
        <v>-5250</v>
      </c>
      <c r="S104" s="337"/>
      <c r="T104" s="361">
        <v>0</v>
      </c>
      <c r="U104" s="362">
        <v>0</v>
      </c>
      <c r="V104" s="361">
        <v>0</v>
      </c>
      <c r="W104" s="361">
        <v>0</v>
      </c>
      <c r="X104" s="361">
        <v>0</v>
      </c>
      <c r="Y104" s="361">
        <v>0</v>
      </c>
      <c r="Z104" s="264">
        <v>-1250</v>
      </c>
      <c r="AA104" s="423"/>
      <c r="AB104" s="273">
        <f>SUM(OPX_LE3!$T105:$AA105)</f>
        <v>-1250</v>
      </c>
      <c r="AC104" s="426">
        <f t="shared" si="1"/>
        <v>-11500</v>
      </c>
      <c r="AD104" s="426"/>
      <c r="AE104" s="417">
        <v>0</v>
      </c>
      <c r="AF104" s="417">
        <v>0</v>
      </c>
      <c r="AG104" s="417">
        <v>0</v>
      </c>
      <c r="AH104" s="417">
        <v>0</v>
      </c>
      <c r="AI104" s="417">
        <v>0</v>
      </c>
      <c r="AJ104" s="317">
        <f>SUM(OPX_LE3!$AC105:$AI105)</f>
        <v>0</v>
      </c>
      <c r="AK104" s="424">
        <v>0</v>
      </c>
      <c r="AL104" s="276">
        <f>SUM(OPX_LE3!$J105,OPX_LE3!$AB105,OPX_LE3!$S105,OPX_LE3!$AJ105,OPX_LE3!$R105,OPX_LE3!$AK105)</f>
        <v>-46500</v>
      </c>
      <c r="AM104" s="427">
        <v>0</v>
      </c>
    </row>
    <row r="105" spans="1:39" ht="15" hidden="1">
      <c r="A105" s="325" t="s">
        <v>536</v>
      </c>
      <c r="B105" s="322" t="str">
        <f>VLOOKUP(OPX_LE3!$A106,Tableau106[],3,FALSE)</f>
        <v>A134</v>
      </c>
      <c r="C105" s="322" t="str">
        <f>VLOOKUP(OPX_LE3!$A106,Tableau106[],2,FALSE)</f>
        <v>FR04S99E</v>
      </c>
      <c r="D105" s="322" t="str">
        <f>VLOOKUP(OPX_LE3!$A106,Tableau106[],8,FALSE)</f>
        <v>SOLAIRE</v>
      </c>
      <c r="E105" s="324">
        <f>VLOOKUP(OPX_LE3!$A106,Tableau106[],4,FALSE)</f>
        <v>4.0999999999999996</v>
      </c>
      <c r="F105" s="322" t="str">
        <f>VLOOKUP(OPX_LE3!$A106,Tableau106[],5,FALSE)</f>
        <v>MANO</v>
      </c>
      <c r="G105" s="322" t="str">
        <f>VLOOKUP(OPX_LE3!$A106,Tableau106[],7,FALSE)</f>
        <v>GROUPE</v>
      </c>
      <c r="H105" s="322" t="str">
        <f>VLOOKUP(OPX_LE3!$A106,Tableau106[],6,FALSE)</f>
        <v>S</v>
      </c>
      <c r="I105" s="322" t="str">
        <f>VLOOKUP(OPX_LE3!$A106,Tableau106[],9,FALSE)</f>
        <v>ArB</v>
      </c>
      <c r="J105" s="254">
        <v>-149990</v>
      </c>
      <c r="K105" s="228"/>
      <c r="L105" s="228"/>
      <c r="M105" s="229">
        <f>+VLOOKUP(Tableau163[[#This Row],[CODE PI]],Tableau15[[CODE PI]:[Prestations diverses  &amp; accompagnements interne (1,6 k€ par jour d''acc)]],8,FALSE)</f>
        <v>0</v>
      </c>
      <c r="N105" s="229">
        <f>+VLOOKUP(Tableau163[[#This Row],[CODE PI]],Tableau15[[CODE PI]:[Prestations diverses  &amp; accompagnements interne (1,6 k€ par jour d''acc)]],9,FALSE)</f>
        <v>0</v>
      </c>
      <c r="O105" s="229">
        <f>+VLOOKUP(Tableau163[[#This Row],[CODE PI]],Tableau15[[CODE PI]:[Prestations diverses  &amp; accompagnements interne (1,6 k€ par jour d''acc)]],10,FALSE)</f>
        <v>0</v>
      </c>
      <c r="P105" s="229">
        <f>+VLOOKUP(Tableau163[[#This Row],[CODE PI]],Tableau15[[CODE PI]:[Prestations diverses  &amp; accompagnements interne (1,6 k€ par jour d''acc)]],11,FALSE)</f>
        <v>0</v>
      </c>
      <c r="Q105" s="230">
        <f>-250*OPX_LE3!$E106</f>
        <v>-1025</v>
      </c>
      <c r="R105" s="311">
        <f>SUM(OPX_LE3!$K106:$Q106)</f>
        <v>-15355</v>
      </c>
      <c r="S105" s="337">
        <v>0</v>
      </c>
      <c r="T105" s="361">
        <v>0</v>
      </c>
      <c r="U105" s="362">
        <v>0</v>
      </c>
      <c r="V105" s="361">
        <v>-15000</v>
      </c>
      <c r="W105" s="361">
        <v>0</v>
      </c>
      <c r="X105" s="361">
        <v>0</v>
      </c>
      <c r="Y105" s="361">
        <v>0</v>
      </c>
      <c r="Z105" s="264">
        <v>-1025</v>
      </c>
      <c r="AA105" s="423">
        <v>-4000</v>
      </c>
      <c r="AB105" s="273">
        <f>SUM(OPX_LE3!$T106:$AA106)</f>
        <v>-20025</v>
      </c>
      <c r="AC105" s="426">
        <f t="shared" si="1"/>
        <v>-11500</v>
      </c>
      <c r="AD105" s="426"/>
      <c r="AE105" s="417">
        <v>0</v>
      </c>
      <c r="AF105" s="417">
        <v>0</v>
      </c>
      <c r="AG105" s="417">
        <v>0</v>
      </c>
      <c r="AH105" s="417">
        <v>0</v>
      </c>
      <c r="AI105" s="417">
        <v>0</v>
      </c>
      <c r="AJ105" s="317">
        <f>SUM(OPX_LE3!$AC106:$AI106)</f>
        <v>0</v>
      </c>
      <c r="AK105" s="424">
        <v>-8215</v>
      </c>
      <c r="AL105" s="276">
        <f>SUM(OPX_LE3!$J106,OPX_LE3!$AB106,OPX_LE3!$S106,OPX_LE3!$AJ106,OPX_LE3!$R106,OPX_LE3!$AK106)</f>
        <v>-194370</v>
      </c>
      <c r="AM105" s="427">
        <v>0</v>
      </c>
    </row>
    <row r="106" spans="1:39" ht="15" hidden="1">
      <c r="A106" s="244" t="s">
        <v>537</v>
      </c>
      <c r="B106" s="232" t="str">
        <f>VLOOKUP(OPX_LE3!$A107,Tableau106[],3,FALSE)</f>
        <v>A389</v>
      </c>
      <c r="C106" s="232" t="str">
        <f>VLOOKUP(OPX_LE3!$A107,Tableau106[],2,FALSE)</f>
        <v>FR89S02E</v>
      </c>
      <c r="D106" s="232" t="str">
        <f>VLOOKUP(OPX_LE3!$A107,Tableau106[],8,FALSE)</f>
        <v>SOLAIRE</v>
      </c>
      <c r="E106" s="233">
        <f>VLOOKUP(OPX_LE3!$A107,Tableau106[],4,FALSE)</f>
        <v>20</v>
      </c>
      <c r="F106" s="232" t="str">
        <f>VLOOKUP(OPX_LE3!$A107,Tableau106[],5,FALSE)</f>
        <v>MA22</v>
      </c>
      <c r="G106" s="232" t="str">
        <f>VLOOKUP(OPX_LE3!$A107,Tableau106[],7,FALSE)</f>
        <v>GROUPE</v>
      </c>
      <c r="H106" s="232" t="str">
        <f>VLOOKUP(OPX_LE3!$A107,Tableau106[],6,FALSE)</f>
        <v>S</v>
      </c>
      <c r="I106" s="232" t="str">
        <f>VLOOKUP(OPX_LE3!$A107,Tableau106[],9,FALSE)</f>
        <v>LoG</v>
      </c>
      <c r="J106" s="254">
        <v>-396377</v>
      </c>
      <c r="K106" s="228"/>
      <c r="L106" s="228"/>
      <c r="M106" s="229">
        <f>+VLOOKUP(Tableau163[[#This Row],[CODE PI]],Tableau15[[CODE PI]:[Prestations diverses  &amp; accompagnements interne (1,6 k€ par jour d''acc)]],8,FALSE)</f>
        <v>-15000</v>
      </c>
      <c r="N106" s="229">
        <f>+VLOOKUP(Tableau163[[#This Row],[CODE PI]],Tableau15[[CODE PI]:[Prestations diverses  &amp; accompagnements interne (1,6 k€ par jour d''acc)]],9,FALSE)</f>
        <v>0</v>
      </c>
      <c r="O106" s="229">
        <f>+VLOOKUP(Tableau163[[#This Row],[CODE PI]],Tableau15[[CODE PI]:[Prestations diverses  &amp; accompagnements interne (1,6 k€ par jour d''acc)]],10,FALSE)</f>
        <v>0</v>
      </c>
      <c r="P106" s="229">
        <f>+VLOOKUP(Tableau163[[#This Row],[CODE PI]],Tableau15[[CODE PI]:[Prestations diverses  &amp; accompagnements interne (1,6 k€ par jour d''acc)]],11,FALSE)</f>
        <v>0</v>
      </c>
      <c r="Q106" s="230">
        <f>-250*OPX_LE3!$E107</f>
        <v>-5000</v>
      </c>
      <c r="R106" s="311">
        <f>SUM(OPX_LE3!$K107:$Q107)</f>
        <v>-170980</v>
      </c>
      <c r="S106" s="337">
        <v>0</v>
      </c>
      <c r="T106" s="361">
        <v>0</v>
      </c>
      <c r="U106" s="362">
        <v>0</v>
      </c>
      <c r="V106" s="361">
        <v>-20000</v>
      </c>
      <c r="W106" s="361">
        <v>0</v>
      </c>
      <c r="X106" s="361">
        <v>0</v>
      </c>
      <c r="Y106" s="361">
        <v>0</v>
      </c>
      <c r="Z106" s="264">
        <v>-5000</v>
      </c>
      <c r="AA106" s="423"/>
      <c r="AB106" s="273">
        <f>SUM(OPX_LE3!$T107:$AA107)</f>
        <v>-185800</v>
      </c>
      <c r="AC106" s="426">
        <f t="shared" si="1"/>
        <v>-11500</v>
      </c>
      <c r="AD106" s="426"/>
      <c r="AE106" s="417">
        <v>0</v>
      </c>
      <c r="AF106" s="417">
        <v>0</v>
      </c>
      <c r="AG106" s="417">
        <v>0</v>
      </c>
      <c r="AH106" s="417">
        <v>0</v>
      </c>
      <c r="AI106" s="417">
        <v>0</v>
      </c>
      <c r="AJ106" s="317">
        <f>SUM(OPX_LE3!$AC107:$AI107)</f>
        <v>0</v>
      </c>
      <c r="AK106" s="424">
        <v>-15000</v>
      </c>
      <c r="AL106" s="276">
        <f>SUM(OPX_LE3!$J107,OPX_LE3!$AB107,OPX_LE3!$S107,OPX_LE3!$AJ107,OPX_LE3!$R107,OPX_LE3!$AK107)</f>
        <v>-768157</v>
      </c>
      <c r="AM106" s="427">
        <v>0</v>
      </c>
    </row>
    <row r="107" spans="1:39" ht="15" hidden="1">
      <c r="A107" s="325" t="s">
        <v>475</v>
      </c>
      <c r="B107" s="322" t="str">
        <f>VLOOKUP(OPX_LE3!$A108,Tableau106[],3,FALSE)</f>
        <v>A540</v>
      </c>
      <c r="C107" s="322" t="str">
        <f>VLOOKUP(OPX_LE3!$A108,Tableau106[],2,FALSE)</f>
        <v>FR56E04E</v>
      </c>
      <c r="D107" s="322" t="str">
        <f>VLOOKUP(OPX_LE3!$A108,Tableau106[],8,FALSE)</f>
        <v>EOLIEN</v>
      </c>
      <c r="E107" s="324">
        <f>VLOOKUP(OPX_LE3!$A108,Tableau106[],4,FALSE)</f>
        <v>10</v>
      </c>
      <c r="F107" s="322" t="str">
        <f>VLOOKUP(OPX_LE3!$A108,Tableau106[],5,FALSE)</f>
        <v>MAUR</v>
      </c>
      <c r="G107" s="322" t="str">
        <f>VLOOKUP(OPX_LE3!$A108,Tableau106[],7,FALSE)</f>
        <v>EGM</v>
      </c>
      <c r="H107" s="322" t="str">
        <f>VLOOKUP(OPX_LE3!$A108,Tableau106[],6,FALSE)</f>
        <v>N</v>
      </c>
      <c r="I107" s="322" t="str">
        <f>VLOOKUP(OPX_LE3!$A108,Tableau106[],9,FALSE)</f>
        <v>DeN</v>
      </c>
      <c r="J107" s="254">
        <v>-258123</v>
      </c>
      <c r="K107" s="228"/>
      <c r="L107" s="228"/>
      <c r="M107" s="229">
        <f>+VLOOKUP(Tableau163[[#This Row],[CODE PI]],Tableau15[[CODE PI]:[Prestations diverses  &amp; accompagnements interne (1,6 k€ par jour d''acc)]],8,FALSE)</f>
        <v>0</v>
      </c>
      <c r="N107" s="229">
        <f>+VLOOKUP(Tableau163[[#This Row],[CODE PI]],Tableau15[[CODE PI]:[Prestations diverses  &amp; accompagnements interne (1,6 k€ par jour d''acc)]],9,FALSE)</f>
        <v>0</v>
      </c>
      <c r="O107" s="229">
        <f>+VLOOKUP(Tableau163[[#This Row],[CODE PI]],Tableau15[[CODE PI]:[Prestations diverses  &amp; accompagnements interne (1,6 k€ par jour d''acc)]],10,FALSE)</f>
        <v>0</v>
      </c>
      <c r="P107" s="229">
        <f>+VLOOKUP(Tableau163[[#This Row],[CODE PI]],Tableau15[[CODE PI]:[Prestations diverses  &amp; accompagnements interne (1,6 k€ par jour d''acc)]],11,FALSE)</f>
        <v>-3500</v>
      </c>
      <c r="Q107" s="230">
        <f>-250*OPX_LE3!$E108</f>
        <v>-2500</v>
      </c>
      <c r="R107" s="311">
        <f>SUM(OPX_LE3!$K108:$Q108)</f>
        <v>-191000</v>
      </c>
      <c r="S107" s="337">
        <v>0</v>
      </c>
      <c r="T107" s="361">
        <v>0</v>
      </c>
      <c r="U107" s="362">
        <v>0</v>
      </c>
      <c r="V107" s="361">
        <v>-2000</v>
      </c>
      <c r="W107" s="361">
        <v>0</v>
      </c>
      <c r="X107" s="361">
        <v>0</v>
      </c>
      <c r="Y107" s="361">
        <v>0</v>
      </c>
      <c r="Z107" s="264">
        <v>-2500</v>
      </c>
      <c r="AA107" s="423"/>
      <c r="AB107" s="273">
        <f>SUM(OPX_LE3!$T108:$AA108)</f>
        <v>-48380.5</v>
      </c>
      <c r="AC107" s="426">
        <f t="shared" si="1"/>
        <v>-11500</v>
      </c>
      <c r="AD107" s="426"/>
      <c r="AE107" s="417">
        <v>0</v>
      </c>
      <c r="AF107" s="417">
        <v>0</v>
      </c>
      <c r="AG107" s="417">
        <v>-12000</v>
      </c>
      <c r="AH107" s="417">
        <v>0</v>
      </c>
      <c r="AI107" s="417">
        <v>0</v>
      </c>
      <c r="AJ107" s="317">
        <f>SUM(OPX_LE3!$AC108:$AI108)</f>
        <v>-30000</v>
      </c>
      <c r="AK107" s="424">
        <v>0</v>
      </c>
      <c r="AL107" s="276">
        <f>SUM(OPX_LE3!$J108,OPX_LE3!$AB108,OPX_LE3!$S108,OPX_LE3!$AJ108,OPX_LE3!$R108,OPX_LE3!$AK108)</f>
        <v>-527503.5</v>
      </c>
      <c r="AM107" s="427">
        <v>0</v>
      </c>
    </row>
    <row r="108" spans="1:39" ht="15" hidden="1">
      <c r="A108" s="244" t="s">
        <v>539</v>
      </c>
      <c r="B108" s="232" t="str">
        <f>VLOOKUP(OPX_LE3!$A109,Tableau106[],3,FALSE)</f>
        <v>A295</v>
      </c>
      <c r="C108" s="232" t="str">
        <f>VLOOKUP(OPX_LE3!$A109,Tableau106[],2,FALSE)</f>
        <v>FR43S04E</v>
      </c>
      <c r="D108" s="232" t="str">
        <f>VLOOKUP(OPX_LE3!$A109,Tableau106[],8,FALSE)</f>
        <v>SOLAIRE</v>
      </c>
      <c r="E108" s="233">
        <f>VLOOKUP(OPX_LE3!$A109,Tableau106[],4,FALSE)</f>
        <v>2.8</v>
      </c>
      <c r="F108" s="232" t="str">
        <f>VLOOKUP(OPX_LE3!$A109,Tableau106[],5,FALSE)</f>
        <v>MSTV</v>
      </c>
      <c r="G108" s="232" t="str">
        <f>VLOOKUP(OPX_LE3!$A109,Tableau106[],7,FALSE)</f>
        <v>GROUPE</v>
      </c>
      <c r="H108" s="232" t="str">
        <f>VLOOKUP(OPX_LE3!$A109,Tableau106[],6,FALSE)</f>
        <v>S</v>
      </c>
      <c r="I108" s="232" t="str">
        <f>VLOOKUP(OPX_LE3!$A109,Tableau106[],9,FALSE)</f>
        <v>ArB</v>
      </c>
      <c r="J108" s="254"/>
      <c r="K108" s="228"/>
      <c r="L108" s="228"/>
      <c r="M108" s="229">
        <f>+VLOOKUP(Tableau163[[#This Row],[CODE PI]],Tableau15[[CODE PI]:[Prestations diverses  &amp; accompagnements interne (1,6 k€ par jour d''acc)]],8,FALSE)</f>
        <v>0</v>
      </c>
      <c r="N108" s="229">
        <f>+VLOOKUP(Tableau163[[#This Row],[CODE PI]],Tableau15[[CODE PI]:[Prestations diverses  &amp; accompagnements interne (1,6 k€ par jour d''acc)]],9,FALSE)</f>
        <v>0</v>
      </c>
      <c r="O108" s="229">
        <f>+VLOOKUP(Tableau163[[#This Row],[CODE PI]],Tableau15[[CODE PI]:[Prestations diverses  &amp; accompagnements interne (1,6 k€ par jour d''acc)]],10,FALSE)</f>
        <v>0</v>
      </c>
      <c r="P108" s="229">
        <f>+VLOOKUP(Tableau163[[#This Row],[CODE PI]],Tableau15[[CODE PI]:[Prestations diverses  &amp; accompagnements interne (1,6 k€ par jour d''acc)]],11,FALSE)</f>
        <v>0</v>
      </c>
      <c r="Q108" s="230">
        <f>-250*OPX_LE3!$E109</f>
        <v>-700</v>
      </c>
      <c r="R108" s="311">
        <f>SUM(OPX_LE3!$K109:$Q109)</f>
        <v>-3100</v>
      </c>
      <c r="S108" s="337">
        <v>-22400</v>
      </c>
      <c r="T108" s="361">
        <v>0</v>
      </c>
      <c r="U108" s="362">
        <v>0</v>
      </c>
      <c r="V108" s="361">
        <v>0</v>
      </c>
      <c r="W108" s="361">
        <v>0</v>
      </c>
      <c r="X108" s="361">
        <v>0</v>
      </c>
      <c r="Y108" s="361">
        <v>0</v>
      </c>
      <c r="Z108" s="264">
        <v>-700</v>
      </c>
      <c r="AA108" s="423">
        <v>-1000</v>
      </c>
      <c r="AB108" s="273">
        <f>SUM(OPX_LE3!$T109:$AA109)</f>
        <v>-3200</v>
      </c>
      <c r="AC108" s="426">
        <f t="shared" si="1"/>
        <v>-11500</v>
      </c>
      <c r="AD108" s="426"/>
      <c r="AE108" s="417">
        <v>0</v>
      </c>
      <c r="AF108" s="417">
        <v>0</v>
      </c>
      <c r="AG108" s="417">
        <v>0</v>
      </c>
      <c r="AH108" s="417">
        <v>0</v>
      </c>
      <c r="AI108" s="417">
        <v>0</v>
      </c>
      <c r="AJ108" s="317">
        <f>SUM(OPX_LE3!$AC109:$AI109)</f>
        <v>0</v>
      </c>
      <c r="AK108" s="424">
        <v>0</v>
      </c>
      <c r="AL108" s="276">
        <f>SUM(OPX_LE3!$J109,OPX_LE3!$AB109,OPX_LE3!$S109,OPX_LE3!$AJ109,OPX_LE3!$R109,OPX_LE3!$AK109)</f>
        <v>-52700</v>
      </c>
      <c r="AM108" s="427">
        <v>0</v>
      </c>
    </row>
    <row r="109" spans="1:39" ht="15" hidden="1">
      <c r="A109" s="325" t="s">
        <v>228</v>
      </c>
      <c r="B109" s="322" t="str">
        <f>VLOOKUP(OPX_LE3!$A110,Tableau106[],3,FALSE)</f>
        <v>F159</v>
      </c>
      <c r="C109" s="322" t="str">
        <f>VLOOKUP(OPX_LE3!$A110,Tableau106[],2,FALSE)</f>
        <v>FR02E13E</v>
      </c>
      <c r="D109" s="322" t="str">
        <f>VLOOKUP(OPX_LE3!$A110,Tableau106[],8,FALSE)</f>
        <v>EOLIEN</v>
      </c>
      <c r="E109" s="324">
        <f>VLOOKUP(OPX_LE3!$A110,Tableau106[],4,FALSE)</f>
        <v>12.8</v>
      </c>
      <c r="F109" s="322" t="str">
        <f>VLOOKUP(OPX_LE3!$A110,Tableau106[],5,FALSE)</f>
        <v>MAZU</v>
      </c>
      <c r="G109" s="322" t="str">
        <f>VLOOKUP(OPX_LE3!$A110,Tableau106[],7,FALSE)</f>
        <v>FUTUREN</v>
      </c>
      <c r="H109" s="322" t="str">
        <f>VLOOKUP(OPX_LE3!$A110,Tableau106[],6,FALSE)</f>
        <v>N</v>
      </c>
      <c r="I109" s="322" t="str">
        <f>VLOOKUP(OPX_LE3!$A110,Tableau106[],9,FALSE)</f>
        <v>NiD</v>
      </c>
      <c r="J109" s="254">
        <v>-9837</v>
      </c>
      <c r="K109" s="228"/>
      <c r="L109" s="228"/>
      <c r="M109" s="229">
        <f>+VLOOKUP(Tableau163[[#This Row],[CODE PI]],Tableau15[[CODE PI]:[Prestations diverses  &amp; accompagnements interne (1,6 k€ par jour d''acc)]],8,FALSE)</f>
        <v>0</v>
      </c>
      <c r="N109" s="229">
        <f>+VLOOKUP(Tableau163[[#This Row],[CODE PI]],Tableau15[[CODE PI]:[Prestations diverses  &amp; accompagnements interne (1,6 k€ par jour d''acc)]],9,FALSE)</f>
        <v>0</v>
      </c>
      <c r="O109" s="229">
        <f>+VLOOKUP(Tableau163[[#This Row],[CODE PI]],Tableau15[[CODE PI]:[Prestations diverses  &amp; accompagnements interne (1,6 k€ par jour d''acc)]],10,FALSE)</f>
        <v>0</v>
      </c>
      <c r="P109" s="229">
        <f>+VLOOKUP(Tableau163[[#This Row],[CODE PI]],Tableau15[[CODE PI]:[Prestations diverses  &amp; accompagnements interne (1,6 k€ par jour d''acc)]],11,FALSE)</f>
        <v>0</v>
      </c>
      <c r="Q109" s="230">
        <f>-250*OPX_LE3!$E110</f>
        <v>-3200</v>
      </c>
      <c r="R109" s="311">
        <f>SUM(OPX_LE3!$K110:$Q110)</f>
        <v>-10210</v>
      </c>
      <c r="S109" s="337">
        <v>-222802</v>
      </c>
      <c r="T109" s="361">
        <v>-3500</v>
      </c>
      <c r="U109" s="362">
        <v>0</v>
      </c>
      <c r="V109" s="361">
        <v>-1400</v>
      </c>
      <c r="W109" s="361">
        <v>-2000</v>
      </c>
      <c r="X109" s="361">
        <v>0</v>
      </c>
      <c r="Y109" s="361">
        <v>0</v>
      </c>
      <c r="Z109" s="264">
        <v>-3200</v>
      </c>
      <c r="AA109" s="423"/>
      <c r="AB109" s="273">
        <f>SUM(OPX_LE3!$T110:$AA110)</f>
        <v>-10100</v>
      </c>
      <c r="AC109" s="426"/>
      <c r="AD109" s="426"/>
      <c r="AE109" s="417">
        <v>-10000</v>
      </c>
      <c r="AF109" s="417">
        <v>0</v>
      </c>
      <c r="AG109" s="417">
        <v>-15000</v>
      </c>
      <c r="AH109" s="417">
        <v>0</v>
      </c>
      <c r="AI109" s="417">
        <v>0</v>
      </c>
      <c r="AJ109" s="317">
        <f>SUM(OPX_LE3!$AC110:$AI110)</f>
        <v>-27900</v>
      </c>
      <c r="AK109" s="424">
        <v>0</v>
      </c>
      <c r="AL109" s="276">
        <f>SUM(OPX_LE3!$J110,OPX_LE3!$AB110,OPX_LE3!$S110,OPX_LE3!$AJ110,OPX_LE3!$R110,OPX_LE3!$AK110)</f>
        <v>-280849</v>
      </c>
      <c r="AM109" s="427">
        <v>0</v>
      </c>
    </row>
    <row r="110" spans="1:39" ht="15" hidden="1">
      <c r="A110" s="244" t="s">
        <v>531</v>
      </c>
      <c r="B110" s="232" t="str">
        <f>VLOOKUP(OPX_LE3!$A111,Tableau106[],3,FALSE)</f>
        <v>A432</v>
      </c>
      <c r="C110" s="232" t="str">
        <f>VLOOKUP(OPX_LE3!$A111,Tableau106[],2,FALSE)</f>
        <v>FR07E97E</v>
      </c>
      <c r="D110" s="232" t="str">
        <f>VLOOKUP(OPX_LE3!$A111,Tableau106[],8,FALSE)</f>
        <v>EOLIEN</v>
      </c>
      <c r="E110" s="233">
        <f>VLOOKUP(OPX_LE3!$A111,Tableau106[],4,FALSE)</f>
        <v>56.4</v>
      </c>
      <c r="F110" s="232" t="str">
        <f>VLOOKUP(OPX_LE3!$A111,Tableau106[],5,FALSE)</f>
        <v>MTAR</v>
      </c>
      <c r="G110" s="232" t="str">
        <f>VLOOKUP(OPX_LE3!$A111,Tableau106[],7,FALSE)</f>
        <v>GROUPE</v>
      </c>
      <c r="H110" s="232" t="str">
        <f>VLOOKUP(OPX_LE3!$A111,Tableau106[],6,FALSE)</f>
        <v>S</v>
      </c>
      <c r="I110" s="232" t="str">
        <f>VLOOKUP(OPX_LE3!$A111,Tableau106[],9,FALSE)</f>
        <v>StE</v>
      </c>
      <c r="J110" s="254">
        <v>-97253</v>
      </c>
      <c r="K110" s="228"/>
      <c r="L110" s="228"/>
      <c r="M110" s="229">
        <f>+VLOOKUP(Tableau163[[#This Row],[CODE PI]],Tableau15[[CODE PI]:[Prestations diverses  &amp; accompagnements interne (1,6 k€ par jour d''acc)]],8,FALSE)</f>
        <v>0</v>
      </c>
      <c r="N110" s="229">
        <f>+VLOOKUP(Tableau163[[#This Row],[CODE PI]],Tableau15[[CODE PI]:[Prestations diverses  &amp; accompagnements interne (1,6 k€ par jour d''acc)]],9,FALSE)</f>
        <v>0</v>
      </c>
      <c r="O110" s="229">
        <f>+VLOOKUP(Tableau163[[#This Row],[CODE PI]],Tableau15[[CODE PI]:[Prestations diverses  &amp; accompagnements interne (1,6 k€ par jour d''acc)]],10,FALSE)</f>
        <v>-5000</v>
      </c>
      <c r="P110" s="229">
        <f>+VLOOKUP(Tableau163[[#This Row],[CODE PI]],Tableau15[[CODE PI]:[Prestations diverses  &amp; accompagnements interne (1,6 k€ par jour d''acc)]],11,FALSE)</f>
        <v>-21472.5</v>
      </c>
      <c r="Q110" s="230">
        <f>-250*OPX_LE3!$E111</f>
        <v>-14100</v>
      </c>
      <c r="R110" s="311">
        <f>SUM(OPX_LE3!$K111:$Q111)</f>
        <v>-56576</v>
      </c>
      <c r="S110" s="337">
        <v>-797442</v>
      </c>
      <c r="T110" s="361">
        <v>0</v>
      </c>
      <c r="U110" s="362">
        <v>0</v>
      </c>
      <c r="V110" s="361">
        <v>-15000</v>
      </c>
      <c r="W110" s="361">
        <v>-24000</v>
      </c>
      <c r="X110" s="361">
        <v>-4000</v>
      </c>
      <c r="Y110" s="361">
        <v>0</v>
      </c>
      <c r="Z110" s="264">
        <v>-14100</v>
      </c>
      <c r="AA110" s="423"/>
      <c r="AB110" s="273">
        <f>SUM(OPX_LE3!$T111:$AA111)</f>
        <v>-229000</v>
      </c>
      <c r="AC110" s="426">
        <f t="shared" si="1"/>
        <v>-11500</v>
      </c>
      <c r="AD110" s="426"/>
      <c r="AE110" s="417">
        <v>0</v>
      </c>
      <c r="AF110" s="417">
        <v>0</v>
      </c>
      <c r="AG110" s="417">
        <v>0</v>
      </c>
      <c r="AH110" s="417">
        <v>0</v>
      </c>
      <c r="AI110" s="417">
        <v>-5000</v>
      </c>
      <c r="AJ110" s="317">
        <f>SUM(OPX_LE3!$AC111:$AI111)</f>
        <v>-10071.720000000001</v>
      </c>
      <c r="AK110" s="424">
        <v>0</v>
      </c>
      <c r="AL110" s="276">
        <f>SUM(OPX_LE3!$J111,OPX_LE3!$AB111,OPX_LE3!$S111,OPX_LE3!$AJ111,OPX_LE3!$R111,OPX_LE3!$AK111)</f>
        <v>-1190342.72</v>
      </c>
      <c r="AM110" s="427">
        <v>0</v>
      </c>
    </row>
    <row r="111" spans="1:39" ht="15" hidden="1">
      <c r="A111" s="325" t="s">
        <v>543</v>
      </c>
      <c r="B111" s="322" t="str">
        <f>VLOOKUP(OPX_LE3!$A112,Tableau106[],3,FALSE)</f>
        <v>A902</v>
      </c>
      <c r="C111" s="322" t="str">
        <f>VLOOKUP(OPX_LE3!$A112,Tableau106[],2,FALSE)</f>
        <v>FR17S01E</v>
      </c>
      <c r="D111" s="322" t="str">
        <f>VLOOKUP(OPX_LE3!$A112,Tableau106[],8,FALSE)</f>
        <v>SOLAIRE</v>
      </c>
      <c r="E111" s="324">
        <f>VLOOKUP(OPX_LE3!$A112,Tableau106[],4,FALSE)</f>
        <v>5.5</v>
      </c>
      <c r="F111" s="322" t="str">
        <f>VLOOKUP(OPX_LE3!$A112,Tableau106[],5,FALSE)</f>
        <v>MDR1</v>
      </c>
      <c r="G111" s="322" t="str">
        <f>VLOOKUP(OPX_LE3!$A112,Tableau106[],7,FALSE)</f>
        <v>GROUPE</v>
      </c>
      <c r="H111" s="322" t="str">
        <f>VLOOKUP(OPX_LE3!$A112,Tableau106[],6,FALSE)</f>
        <v>N</v>
      </c>
      <c r="I111" s="322" t="str">
        <f>VLOOKUP(OPX_LE3!$A112,Tableau106[],9,FALSE)</f>
        <v>BaA</v>
      </c>
      <c r="J111" s="254">
        <v>-178888</v>
      </c>
      <c r="K111" s="228"/>
      <c r="L111" s="228"/>
      <c r="M111" s="229">
        <f>+VLOOKUP(Tableau163[[#This Row],[CODE PI]],Tableau15[[CODE PI]:[Prestations diverses  &amp; accompagnements interne (1,6 k€ par jour d''acc)]],8,FALSE)</f>
        <v>0</v>
      </c>
      <c r="N111" s="229">
        <f>+VLOOKUP(Tableau163[[#This Row],[CODE PI]],Tableau15[[CODE PI]:[Prestations diverses  &amp; accompagnements interne (1,6 k€ par jour d''acc)]],9,FALSE)</f>
        <v>0</v>
      </c>
      <c r="O111" s="229">
        <f>+VLOOKUP(Tableau163[[#This Row],[CODE PI]],Tableau15[[CODE PI]:[Prestations diverses  &amp; accompagnements interne (1,6 k€ par jour d''acc)]],10,FALSE)</f>
        <v>0</v>
      </c>
      <c r="P111" s="229">
        <f>+VLOOKUP(Tableau163[[#This Row],[CODE PI]],Tableau15[[CODE PI]:[Prestations diverses  &amp; accompagnements interne (1,6 k€ par jour d''acc)]],11,FALSE)</f>
        <v>0</v>
      </c>
      <c r="Q111" s="230">
        <f>-250*OPX_LE3!$E112</f>
        <v>-1375</v>
      </c>
      <c r="R111" s="311">
        <f>SUM(OPX_LE3!$K112:$Q112)</f>
        <v>-16430</v>
      </c>
      <c r="S111" s="337">
        <v>0</v>
      </c>
      <c r="T111" s="361">
        <v>0</v>
      </c>
      <c r="U111" s="362">
        <v>0</v>
      </c>
      <c r="V111" s="361">
        <v>0</v>
      </c>
      <c r="W111" s="361">
        <v>0</v>
      </c>
      <c r="X111" s="361">
        <v>0</v>
      </c>
      <c r="Y111" s="361">
        <v>0</v>
      </c>
      <c r="Z111" s="264">
        <v>-1375</v>
      </c>
      <c r="AA111" s="423"/>
      <c r="AB111" s="273">
        <f>SUM(OPX_LE3!$T112:$AA112)</f>
        <v>-10425</v>
      </c>
      <c r="AC111" s="426">
        <f t="shared" si="1"/>
        <v>-11500</v>
      </c>
      <c r="AD111" s="426"/>
      <c r="AE111" s="417">
        <v>0</v>
      </c>
      <c r="AF111" s="417">
        <v>0</v>
      </c>
      <c r="AG111" s="417">
        <v>0</v>
      </c>
      <c r="AH111" s="417">
        <v>0</v>
      </c>
      <c r="AI111" s="417">
        <v>0</v>
      </c>
      <c r="AJ111" s="317">
        <f>SUM(OPX_LE3!$AC112:$AI112)</f>
        <v>-3000</v>
      </c>
      <c r="AK111" s="424">
        <v>0</v>
      </c>
      <c r="AL111" s="276">
        <f>SUM(OPX_LE3!$J112,OPX_LE3!$AB112,OPX_LE3!$S112,OPX_LE3!$AJ112,OPX_LE3!$R112,OPX_LE3!$AK112)</f>
        <v>-222784</v>
      </c>
      <c r="AM111" s="427">
        <v>0</v>
      </c>
    </row>
    <row r="112" spans="1:39" ht="15" hidden="1">
      <c r="A112" s="244" t="s">
        <v>513</v>
      </c>
      <c r="B112" s="232" t="str">
        <f>VLOOKUP(OPX_LE3!$A113,Tableau106[],3,FALSE)</f>
        <v>A540</v>
      </c>
      <c r="C112" s="232" t="str">
        <f>VLOOKUP(OPX_LE3!$A113,Tableau106[],2,FALSE)</f>
        <v>FR15E03E</v>
      </c>
      <c r="D112" s="232" t="str">
        <f>VLOOKUP(OPX_LE3!$A113,Tableau106[],8,FALSE)</f>
        <v>EOLIEN</v>
      </c>
      <c r="E112" s="233">
        <f>VLOOKUP(OPX_LE3!$A113,Tableau106[],4,FALSE)</f>
        <v>12</v>
      </c>
      <c r="F112" s="232" t="str">
        <f>VLOOKUP(OPX_LE3!$A113,Tableau106[],5,FALSE)</f>
        <v>MTL1</v>
      </c>
      <c r="G112" s="232" t="str">
        <f>VLOOKUP(OPX_LE3!$A113,Tableau106[],7,FALSE)</f>
        <v>EGM</v>
      </c>
      <c r="H112" s="232" t="str">
        <f>VLOOKUP(OPX_LE3!$A113,Tableau106[],6,FALSE)</f>
        <v>S</v>
      </c>
      <c r="I112" s="232" t="str">
        <f>VLOOKUP(OPX_LE3!$A113,Tableau106[],9,FALSE)</f>
        <v>AuE</v>
      </c>
      <c r="J112" s="254">
        <v>-309748</v>
      </c>
      <c r="K112" s="228"/>
      <c r="L112" s="228"/>
      <c r="M112" s="229">
        <f>+VLOOKUP(Tableau163[[#This Row],[CODE PI]],Tableau15[[CODE PI]:[Prestations diverses  &amp; accompagnements interne (1,6 k€ par jour d''acc)]],8,FALSE)</f>
        <v>0</v>
      </c>
      <c r="N112" s="229">
        <f>+VLOOKUP(Tableau163[[#This Row],[CODE PI]],Tableau15[[CODE PI]:[Prestations diverses  &amp; accompagnements interne (1,6 k€ par jour d''acc)]],9,FALSE)</f>
        <v>0</v>
      </c>
      <c r="O112" s="229">
        <f>+VLOOKUP(Tableau163[[#This Row],[CODE PI]],Tableau15[[CODE PI]:[Prestations diverses  &amp; accompagnements interne (1,6 k€ par jour d''acc)]],10,FALSE)</f>
        <v>0</v>
      </c>
      <c r="P112" s="229">
        <f>+VLOOKUP(Tableau163[[#This Row],[CODE PI]],Tableau15[[CODE PI]:[Prestations diverses  &amp; accompagnements interne (1,6 k€ par jour d''acc)]],11,FALSE)</f>
        <v>-4200</v>
      </c>
      <c r="Q112" s="230">
        <f>-250*OPX_LE3!$E113</f>
        <v>-3000</v>
      </c>
      <c r="R112" s="311">
        <f>SUM(OPX_LE3!$K113:$Q113)</f>
        <v>-205050</v>
      </c>
      <c r="S112" s="337">
        <f>-8000*6</f>
        <v>-48000</v>
      </c>
      <c r="T112" s="361">
        <v>0</v>
      </c>
      <c r="U112" s="362">
        <v>0</v>
      </c>
      <c r="V112" s="361">
        <v>-4000</v>
      </c>
      <c r="W112" s="361">
        <v>0</v>
      </c>
      <c r="X112" s="361">
        <v>0</v>
      </c>
      <c r="Y112" s="361">
        <v>0</v>
      </c>
      <c r="Z112" s="264">
        <v>-3000</v>
      </c>
      <c r="AA112" s="423">
        <f>-(0.2*CA_LE3!M107)/100</f>
        <v>-7659.1817419979652</v>
      </c>
      <c r="AB112" s="273">
        <f>SUM(OPX_LE3!$T113:$AA113)</f>
        <v>-14659.181741997965</v>
      </c>
      <c r="AC112" s="426">
        <v>-2500</v>
      </c>
      <c r="AD112" s="426"/>
      <c r="AE112" s="417">
        <v>0</v>
      </c>
      <c r="AF112" s="417">
        <v>0</v>
      </c>
      <c r="AG112" s="417">
        <v>-20000</v>
      </c>
      <c r="AH112" s="417">
        <v>-30000</v>
      </c>
      <c r="AI112" s="417">
        <v>-38000</v>
      </c>
      <c r="AJ112" s="317">
        <f>SUM(OPX_LE3!$AC113:$AI113)</f>
        <v>-75561</v>
      </c>
      <c r="AK112" s="424">
        <v>0</v>
      </c>
      <c r="AL112" s="276">
        <f>SUM(OPX_LE3!$J113,OPX_LE3!$AB113,OPX_LE3!$AC113,OPX_LE3!$AJ113,OPX_LE3!$R113,OPX_LE3!$AK113)</f>
        <v>-688018.18174199795</v>
      </c>
      <c r="AM112" s="427">
        <v>-100000</v>
      </c>
    </row>
    <row r="113" spans="1:39" ht="15" hidden="1">
      <c r="A113" s="325" t="s">
        <v>236</v>
      </c>
      <c r="B113" s="322" t="str">
        <f>VLOOKUP(OPX_LE3!$A114,Tableau106[],3,FALSE)</f>
        <v>F140</v>
      </c>
      <c r="C113" s="322" t="str">
        <f>VLOOKUP(OPX_LE3!$A114,Tableau106[],2,FALSE)</f>
        <v>FR57E06E</v>
      </c>
      <c r="D113" s="322" t="str">
        <f>VLOOKUP(OPX_LE3!$A114,Tableau106[],8,FALSE)</f>
        <v>EOLIEN</v>
      </c>
      <c r="E113" s="324">
        <f>VLOOKUP(OPX_LE3!$A114,Tableau106[],4,FALSE)</f>
        <v>15.4</v>
      </c>
      <c r="F113" s="322" t="str">
        <f>VLOOKUP(OPX_LE3!$A114,Tableau106[],5,FALSE)</f>
        <v>MOTT</v>
      </c>
      <c r="G113" s="322" t="str">
        <f>VLOOKUP(OPX_LE3!$A114,Tableau106[],7,FALSE)</f>
        <v>FUTUREN</v>
      </c>
      <c r="H113" s="322" t="str">
        <f>VLOOKUP(OPX_LE3!$A114,Tableau106[],6,FALSE)</f>
        <v>N</v>
      </c>
      <c r="I113" s="322" t="str">
        <f>VLOOKUP(OPX_LE3!$A114,Tableau106[],9,FALSE)</f>
        <v>NiL</v>
      </c>
      <c r="J113" s="254">
        <v>-12401</v>
      </c>
      <c r="K113" s="228"/>
      <c r="L113" s="228"/>
      <c r="M113" s="229">
        <f>+VLOOKUP(Tableau163[[#This Row],[CODE PI]],Tableau15[[CODE PI]:[Prestations diverses  &amp; accompagnements interne (1,6 k€ par jour d''acc)]],8,FALSE)</f>
        <v>0</v>
      </c>
      <c r="N113" s="229">
        <f>+VLOOKUP(Tableau163[[#This Row],[CODE PI]],Tableau15[[CODE PI]:[Prestations diverses  &amp; accompagnements interne (1,6 k€ par jour d''acc)]],9,FALSE)</f>
        <v>0</v>
      </c>
      <c r="O113" s="229">
        <f>+VLOOKUP(Tableau163[[#This Row],[CODE PI]],Tableau15[[CODE PI]:[Prestations diverses  &amp; accompagnements interne (1,6 k€ par jour d''acc)]],10,FALSE)</f>
        <v>0</v>
      </c>
      <c r="P113" s="229">
        <f>+VLOOKUP(Tableau163[[#This Row],[CODE PI]],Tableau15[[CODE PI]:[Prestations diverses  &amp; accompagnements interne (1,6 k€ par jour d''acc)]],11,FALSE)</f>
        <v>0</v>
      </c>
      <c r="Q113" s="230">
        <f>-250*OPX_LE3!$E114</f>
        <v>-3850</v>
      </c>
      <c r="R113" s="311">
        <f>SUM(OPX_LE3!$K114:$Q114)</f>
        <v>-24808</v>
      </c>
      <c r="S113" s="337">
        <v>-170159</v>
      </c>
      <c r="T113" s="361">
        <v>0</v>
      </c>
      <c r="U113" s="362">
        <v>0</v>
      </c>
      <c r="V113" s="361">
        <v>-2000</v>
      </c>
      <c r="W113" s="361">
        <v>0</v>
      </c>
      <c r="X113" s="361">
        <v>0</v>
      </c>
      <c r="Y113" s="361">
        <v>0</v>
      </c>
      <c r="Z113" s="264">
        <v>-3850</v>
      </c>
      <c r="AA113" s="423">
        <f>-66000-2889.55</f>
        <v>-68889.55</v>
      </c>
      <c r="AB113" s="273">
        <f>SUM(OPX_LE3!$T114:$AA114)</f>
        <v>-77889.55</v>
      </c>
      <c r="AC113" s="426">
        <f t="shared" si="1"/>
        <v>-11500</v>
      </c>
      <c r="AD113" s="426"/>
      <c r="AE113" s="417">
        <v>0</v>
      </c>
      <c r="AF113" s="417">
        <v>0</v>
      </c>
      <c r="AG113" s="417">
        <v>0</v>
      </c>
      <c r="AH113" s="417">
        <v>0</v>
      </c>
      <c r="AI113" s="417">
        <v>0</v>
      </c>
      <c r="AJ113" s="317">
        <f>SUM(OPX_LE3!$AC114:$AI114)</f>
        <v>-70330</v>
      </c>
      <c r="AK113" s="424">
        <v>0</v>
      </c>
      <c r="AL113" s="276">
        <f>SUM(OPX_LE3!$J114,OPX_LE3!$AB114,OPX_LE3!$S114,OPX_LE3!$AJ114,OPX_LE3!$R114,OPX_LE3!$AK114)</f>
        <v>-505560.6333333333</v>
      </c>
      <c r="AM113" s="427">
        <v>0</v>
      </c>
    </row>
    <row r="114" spans="1:39" ht="15" hidden="1">
      <c r="A114" s="244" t="s">
        <v>238</v>
      </c>
      <c r="B114" s="232" t="str">
        <f>VLOOKUP(OPX_LE3!$A115,Tableau106[],3,FALSE)</f>
        <v>F036</v>
      </c>
      <c r="C114" s="232" t="str">
        <f>VLOOKUP(OPX_LE3!$A115,Tableau106[],2,FALSE)</f>
        <v>FR80E95E</v>
      </c>
      <c r="D114" s="232" t="str">
        <f>VLOOKUP(OPX_LE3!$A115,Tableau106[],8,FALSE)</f>
        <v>EOLIEN</v>
      </c>
      <c r="E114" s="233">
        <f>VLOOKUP(OPX_LE3!$A115,Tableau106[],4,FALSE)</f>
        <v>12</v>
      </c>
      <c r="F114" s="232" t="str">
        <f>VLOOKUP(OPX_LE3!$A115,Tableau106[],5,FALSE)</f>
        <v>MODF</v>
      </c>
      <c r="G114" s="232" t="str">
        <f>VLOOKUP(OPX_LE3!$A115,Tableau106[],7,FALSE)</f>
        <v>FUTUREN</v>
      </c>
      <c r="H114" s="232" t="str">
        <f>VLOOKUP(OPX_LE3!$A115,Tableau106[],6,FALSE)</f>
        <v>N</v>
      </c>
      <c r="I114" s="232" t="str">
        <f>VLOOKUP(OPX_LE3!$A115,Tableau106[],9,FALSE)</f>
        <v>NiD</v>
      </c>
      <c r="J114" s="254">
        <v>-9733</v>
      </c>
      <c r="K114" s="228"/>
      <c r="L114" s="228"/>
      <c r="M114" s="229">
        <f>+VLOOKUP(Tableau163[[#This Row],[CODE PI]],Tableau15[[CODE PI]:[Prestations diverses  &amp; accompagnements interne (1,6 k€ par jour d''acc)]],8,FALSE)</f>
        <v>0</v>
      </c>
      <c r="N114" s="229">
        <f>+VLOOKUP(Tableau163[[#This Row],[CODE PI]],Tableau15[[CODE PI]:[Prestations diverses  &amp; accompagnements interne (1,6 k€ par jour d''acc)]],9,FALSE)</f>
        <v>0</v>
      </c>
      <c r="O114" s="229">
        <f>+VLOOKUP(Tableau163[[#This Row],[CODE PI]],Tableau15[[CODE PI]:[Prestations diverses  &amp; accompagnements interne (1,6 k€ par jour d''acc)]],10,FALSE)</f>
        <v>0</v>
      </c>
      <c r="P114" s="229">
        <f>+VLOOKUP(Tableau163[[#This Row],[CODE PI]],Tableau15[[CODE PI]:[Prestations diverses  &amp; accompagnements interne (1,6 k€ par jour d''acc)]],11,FALSE)</f>
        <v>0</v>
      </c>
      <c r="Q114" s="230">
        <f>-250*OPX_LE3!$E115</f>
        <v>-3000</v>
      </c>
      <c r="R114" s="311">
        <f>SUM(OPX_LE3!$K115:$Q115)</f>
        <v>-7370</v>
      </c>
      <c r="S114" s="337">
        <v>-111941.2</v>
      </c>
      <c r="T114" s="361">
        <v>0</v>
      </c>
      <c r="U114" s="362">
        <v>0</v>
      </c>
      <c r="V114" s="361">
        <v>-4000</v>
      </c>
      <c r="W114" s="361">
        <v>0</v>
      </c>
      <c r="X114" s="361">
        <v>0</v>
      </c>
      <c r="Y114" s="361">
        <v>0</v>
      </c>
      <c r="Z114" s="264">
        <v>-3000</v>
      </c>
      <c r="AA114" s="423"/>
      <c r="AB114" s="273">
        <f>SUM(OPX_LE3!$T115:$AA115)</f>
        <v>-7000</v>
      </c>
      <c r="AC114" s="426"/>
      <c r="AD114" s="426"/>
      <c r="AE114" s="417">
        <v>0</v>
      </c>
      <c r="AF114" s="417">
        <v>0</v>
      </c>
      <c r="AG114" s="417">
        <v>0</v>
      </c>
      <c r="AH114" s="417">
        <v>0</v>
      </c>
      <c r="AI114" s="417">
        <v>0</v>
      </c>
      <c r="AJ114" s="317">
        <f>SUM(OPX_LE3!$AC115:$AI115)</f>
        <v>0</v>
      </c>
      <c r="AK114" s="424">
        <v>0</v>
      </c>
      <c r="AL114" s="276">
        <f>SUM(OPX_LE3!$J115,OPX_LE3!$AB115,OPX_LE3!$S115,OPX_LE3!$AJ115,OPX_LE3!$R115,OPX_LE3!$AK115)</f>
        <v>-362409</v>
      </c>
      <c r="AM114" s="427">
        <v>0</v>
      </c>
    </row>
    <row r="115" spans="1:39" ht="15" hidden="1">
      <c r="A115" s="325" t="s">
        <v>240</v>
      </c>
      <c r="B115" s="322" t="str">
        <f>VLOOKUP(OPX_LE3!$A116,Tableau106[],3,FALSE)</f>
        <v>F208</v>
      </c>
      <c r="C115" s="322" t="str">
        <f>VLOOKUP(OPX_LE3!$A116,Tableau106[],2,FALSE)</f>
        <v>FR17E05E</v>
      </c>
      <c r="D115" s="322" t="str">
        <f>VLOOKUP(OPX_LE3!$A116,Tableau106[],8,FALSE)</f>
        <v>EOLIEN</v>
      </c>
      <c r="E115" s="324">
        <f>VLOOKUP(OPX_LE3!$A116,Tableau106[],4,FALSE)</f>
        <v>21</v>
      </c>
      <c r="F115" s="322" t="str">
        <f>VLOOKUP(OPX_LE3!$A116,Tableau106[],5,FALSE)</f>
        <v>NAC1, NAC2</v>
      </c>
      <c r="G115" s="322" t="str">
        <f>VLOOKUP(OPX_LE3!$A116,Tableau106[],7,FALSE)</f>
        <v>FUTUREN</v>
      </c>
      <c r="H115" s="322" t="str">
        <f>VLOOKUP(OPX_LE3!$A116,Tableau106[],6,FALSE)</f>
        <v>S</v>
      </c>
      <c r="I115" s="322" t="str">
        <f>VLOOKUP(OPX_LE3!$A116,Tableau106[],9,FALSE)</f>
        <v>NoS</v>
      </c>
      <c r="J115" s="254">
        <v>-6855</v>
      </c>
      <c r="K115" s="228"/>
      <c r="L115" s="228"/>
      <c r="M115" s="229">
        <f>+VLOOKUP(Tableau163[[#This Row],[CODE PI]],Tableau15[[CODE PI]:[Prestations diverses  &amp; accompagnements interne (1,6 k€ par jour d''acc)]],8,FALSE)</f>
        <v>0</v>
      </c>
      <c r="N115" s="229">
        <f>+VLOOKUP(Tableau163[[#This Row],[CODE PI]],Tableau15[[CODE PI]:[Prestations diverses  &amp; accompagnements interne (1,6 k€ par jour d''acc)]],9,FALSE)</f>
        <v>0</v>
      </c>
      <c r="O115" s="229">
        <f>+VLOOKUP(Tableau163[[#This Row],[CODE PI]],Tableau15[[CODE PI]:[Prestations diverses  &amp; accompagnements interne (1,6 k€ par jour d''acc)]],10,FALSE)</f>
        <v>0</v>
      </c>
      <c r="P115" s="229">
        <f>+VLOOKUP(Tableau163[[#This Row],[CODE PI]],Tableau15[[CODE PI]:[Prestations diverses  &amp; accompagnements interne (1,6 k€ par jour d''acc)]],11,FALSE)</f>
        <v>0</v>
      </c>
      <c r="Q115" s="230">
        <f>-250*OPX_LE3!$E116</f>
        <v>-5250</v>
      </c>
      <c r="R115" s="311">
        <f>SUM(OPX_LE3!$K116:$Q116)</f>
        <v>-5250</v>
      </c>
      <c r="S115" s="337">
        <v>-433726</v>
      </c>
      <c r="T115" s="361">
        <v>-2000</v>
      </c>
      <c r="U115" s="362">
        <v>0</v>
      </c>
      <c r="V115" s="361">
        <v>-3826.5</v>
      </c>
      <c r="W115" s="361">
        <v>-12131</v>
      </c>
      <c r="X115" s="361">
        <v>0</v>
      </c>
      <c r="Y115" s="361">
        <v>0</v>
      </c>
      <c r="Z115" s="264">
        <v>-5250</v>
      </c>
      <c r="AA115" s="423"/>
      <c r="AB115" s="273">
        <f>SUM(OPX_LE3!$T116:$AA116)</f>
        <v>-23207.5</v>
      </c>
      <c r="AC115" s="426">
        <f t="shared" si="1"/>
        <v>-11500</v>
      </c>
      <c r="AD115" s="426"/>
      <c r="AE115" s="417">
        <v>0</v>
      </c>
      <c r="AF115" s="417">
        <v>0</v>
      </c>
      <c r="AG115" s="417">
        <v>0</v>
      </c>
      <c r="AH115" s="417">
        <v>0</v>
      </c>
      <c r="AI115" s="417">
        <v>-20000</v>
      </c>
      <c r="AJ115" s="317">
        <f>SUM(OPX_LE3!$AC116:$AI116)</f>
        <v>-16000</v>
      </c>
      <c r="AK115" s="424">
        <v>0</v>
      </c>
      <c r="AL115" s="276">
        <f>SUM(OPX_LE3!$J116,OPX_LE3!$AB116,OPX_LE3!$S116,OPX_LE3!$AJ116,OPX_LE3!$R116,OPX_LE3!$AK116)</f>
        <v>-485038.5</v>
      </c>
      <c r="AM115" s="427">
        <v>0</v>
      </c>
    </row>
    <row r="116" spans="1:39" ht="15" hidden="1">
      <c r="A116" s="244" t="s">
        <v>548</v>
      </c>
      <c r="B116" s="232" t="str">
        <f>VLOOKUP(OPX_LE3!$A117,Tableau106[],3,FALSE)</f>
        <v>A119</v>
      </c>
      <c r="C116" s="232" t="str">
        <f>VLOOKUP(OPX_LE3!$A117,Tableau106[],2,FALSE)</f>
        <v>FR11S97E</v>
      </c>
      <c r="D116" s="232" t="str">
        <f>VLOOKUP(OPX_LE3!$A117,Tableau106[],8,FALSE)</f>
        <v>SOLAIRE</v>
      </c>
      <c r="E116" s="233">
        <f>VLOOKUP(OPX_LE3!$A117,Tableau106[],4,FALSE)</f>
        <v>7</v>
      </c>
      <c r="F116" s="232" t="str">
        <f>VLOOKUP(OPX_LE3!$A117,Tableau106[],5,FALSE)</f>
        <v>NARB</v>
      </c>
      <c r="G116" s="232" t="str">
        <f>VLOOKUP(OPX_LE3!$A117,Tableau106[],7,FALSE)</f>
        <v>GROUPE</v>
      </c>
      <c r="H116" s="232" t="str">
        <f>VLOOKUP(OPX_LE3!$A117,Tableau106[],6,FALSE)</f>
        <v>S</v>
      </c>
      <c r="I116" s="232" t="str">
        <f>VLOOKUP(OPX_LE3!$A117,Tableau106[],9,FALSE)</f>
        <v>BaA</v>
      </c>
      <c r="J116" s="254">
        <v>-328872</v>
      </c>
      <c r="K116" s="228"/>
      <c r="L116" s="228"/>
      <c r="M116" s="229">
        <f>+VLOOKUP(Tableau163[[#This Row],[CODE PI]],Tableau15[[CODE PI]:[Prestations diverses  &amp; accompagnements interne (1,6 k€ par jour d''acc)]],8,FALSE)</f>
        <v>0</v>
      </c>
      <c r="N116" s="229">
        <f>+VLOOKUP(Tableau163[[#This Row],[CODE PI]],Tableau15[[CODE PI]:[Prestations diverses  &amp; accompagnements interne (1,6 k€ par jour d''acc)]],9,FALSE)</f>
        <v>0</v>
      </c>
      <c r="O116" s="229">
        <f>+VLOOKUP(Tableau163[[#This Row],[CODE PI]],Tableau15[[CODE PI]:[Prestations diverses  &amp; accompagnements interne (1,6 k€ par jour d''acc)]],10,FALSE)</f>
        <v>0</v>
      </c>
      <c r="P116" s="229">
        <f>+VLOOKUP(Tableau163[[#This Row],[CODE PI]],Tableau15[[CODE PI]:[Prestations diverses  &amp; accompagnements interne (1,6 k€ par jour d''acc)]],11,FALSE)</f>
        <v>0</v>
      </c>
      <c r="Q116" s="230">
        <f>-250*OPX_LE3!$E117</f>
        <v>-1750</v>
      </c>
      <c r="R116" s="311">
        <f>SUM(OPX_LE3!$K117:$Q117)</f>
        <v>-13370.000000000002</v>
      </c>
      <c r="S116" s="337">
        <v>0</v>
      </c>
      <c r="T116" s="361">
        <v>0</v>
      </c>
      <c r="U116" s="362">
        <v>0</v>
      </c>
      <c r="V116" s="361">
        <v>-20000</v>
      </c>
      <c r="W116" s="361">
        <v>0</v>
      </c>
      <c r="X116" s="361">
        <v>0</v>
      </c>
      <c r="Y116" s="361">
        <v>0</v>
      </c>
      <c r="Z116" s="264">
        <v>-1750</v>
      </c>
      <c r="AA116" s="423"/>
      <c r="AB116" s="273">
        <f>SUM(OPX_LE3!$T117:$AA117)</f>
        <v>-13650</v>
      </c>
      <c r="AC116" s="426">
        <f t="shared" si="1"/>
        <v>-11500</v>
      </c>
      <c r="AD116" s="426"/>
      <c r="AE116" s="417">
        <v>0</v>
      </c>
      <c r="AF116" s="417">
        <v>0</v>
      </c>
      <c r="AG116" s="417">
        <v>0</v>
      </c>
      <c r="AH116" s="417">
        <v>0</v>
      </c>
      <c r="AI116" s="417">
        <v>0</v>
      </c>
      <c r="AJ116" s="317">
        <f>SUM(OPX_LE3!$AC117:$AI117)</f>
        <v>0</v>
      </c>
      <c r="AK116" s="424">
        <v>-9500</v>
      </c>
      <c r="AL116" s="276">
        <f>SUM(OPX_LE3!$J117,OPX_LE3!$AB117,OPX_LE3!$S117,OPX_LE3!$AJ117,OPX_LE3!$R117,OPX_LE3!$AK117)</f>
        <v>-355892</v>
      </c>
      <c r="AM116" s="427">
        <v>0</v>
      </c>
    </row>
    <row r="117" spans="1:39" ht="15" hidden="1">
      <c r="A117" s="325" t="s">
        <v>478</v>
      </c>
      <c r="B117" s="322" t="str">
        <f>VLOOKUP(OPX_LE3!$A118,Tableau106[],3,FALSE)</f>
        <v>A530</v>
      </c>
      <c r="C117" s="322" t="str">
        <f>VLOOKUP(OPX_LE3!$A118,Tableau106[],2,FALSE)</f>
        <v>FR57E02E</v>
      </c>
      <c r="D117" s="322" t="str">
        <f>VLOOKUP(OPX_LE3!$A118,Tableau106[],8,FALSE)</f>
        <v>EOLIEN</v>
      </c>
      <c r="E117" s="324">
        <f>VLOOKUP(OPX_LE3!$A118,Tableau106[],4,FALSE)</f>
        <v>12</v>
      </c>
      <c r="F117" s="322" t="str">
        <f>VLOOKUP(OPX_LE3!$A118,Tableau106[],5,FALSE)</f>
        <v>NIED</v>
      </c>
      <c r="G117" s="322" t="str">
        <f>VLOOKUP(OPX_LE3!$A118,Tableau106[],7,FALSE)</f>
        <v>GROUPE</v>
      </c>
      <c r="H117" s="322" t="str">
        <f>VLOOKUP(OPX_LE3!$A118,Tableau106[],6,FALSE)</f>
        <v>N</v>
      </c>
      <c r="I117" s="322" t="str">
        <f>VLOOKUP(OPX_LE3!$A118,Tableau106[],9,FALSE)</f>
        <v>HuB</v>
      </c>
      <c r="J117" s="254">
        <v>-10234</v>
      </c>
      <c r="K117" s="228"/>
      <c r="L117" s="228"/>
      <c r="M117" s="229">
        <f>+VLOOKUP(Tableau163[[#This Row],[CODE PI]],Tableau15[[CODE PI]:[Prestations diverses  &amp; accompagnements interne (1,6 k€ par jour d''acc)]],8,FALSE)</f>
        <v>0</v>
      </c>
      <c r="N117" s="229">
        <f>+VLOOKUP(Tableau163[[#This Row],[CODE PI]],Tableau15[[CODE PI]:[Prestations diverses  &amp; accompagnements interne (1,6 k€ par jour d''acc)]],9,FALSE)</f>
        <v>0</v>
      </c>
      <c r="O117" s="229">
        <f>+VLOOKUP(Tableau163[[#This Row],[CODE PI]],Tableau15[[CODE PI]:[Prestations diverses  &amp; accompagnements interne (1,6 k€ par jour d''acc)]],10,FALSE)</f>
        <v>0</v>
      </c>
      <c r="P117" s="229">
        <f>+VLOOKUP(Tableau163[[#This Row],[CODE PI]],Tableau15[[CODE PI]:[Prestations diverses  &amp; accompagnements interne (1,6 k€ par jour d''acc)]],11,FALSE)</f>
        <v>-4200</v>
      </c>
      <c r="Q117" s="230">
        <f>-250*OPX_LE3!$E118</f>
        <v>-3000</v>
      </c>
      <c r="R117" s="311">
        <f>SUM(OPX_LE3!$K118:$Q118)</f>
        <v>-10460</v>
      </c>
      <c r="S117" s="337">
        <v>-377851</v>
      </c>
      <c r="T117" s="361">
        <v>-2600</v>
      </c>
      <c r="U117" s="362">
        <v>0</v>
      </c>
      <c r="V117" s="361">
        <v>-800</v>
      </c>
      <c r="W117" s="361">
        <v>0</v>
      </c>
      <c r="X117" s="361">
        <v>0</v>
      </c>
      <c r="Y117" s="361">
        <v>0</v>
      </c>
      <c r="Z117" s="264">
        <v>-3000</v>
      </c>
      <c r="AA117" s="423"/>
      <c r="AB117" s="273">
        <f>SUM(OPX_LE3!$T118:$AA118)</f>
        <v>-6400</v>
      </c>
      <c r="AC117" s="426">
        <f t="shared" si="1"/>
        <v>-11500</v>
      </c>
      <c r="AD117" s="426"/>
      <c r="AE117" s="417">
        <v>-8000</v>
      </c>
      <c r="AF117" s="417">
        <v>0</v>
      </c>
      <c r="AG117" s="417">
        <v>0</v>
      </c>
      <c r="AH117" s="417">
        <v>0</v>
      </c>
      <c r="AI117" s="417">
        <v>0</v>
      </c>
      <c r="AJ117" s="317">
        <f>SUM(OPX_LE3!$AC118:$AI118)</f>
        <v>0</v>
      </c>
      <c r="AK117" s="424">
        <v>0</v>
      </c>
      <c r="AL117" s="276">
        <f>SUM(OPX_LE3!$J118,OPX_LE3!$AB118,OPX_LE3!$S118,OPX_LE3!$AJ118,OPX_LE3!$R118,OPX_LE3!$AK118)</f>
        <v>-404945</v>
      </c>
      <c r="AM117" s="427">
        <v>0</v>
      </c>
    </row>
    <row r="118" spans="1:39" ht="15" hidden="1">
      <c r="A118" s="244" t="s">
        <v>403</v>
      </c>
      <c r="B118" s="232" t="str">
        <f>VLOOKUP(OPX_LE3!$A119,Tableau106[],3,FALSE)</f>
        <v>A258</v>
      </c>
      <c r="C118" s="232" t="str">
        <f>VLOOKUP(OPX_LE3!$A119,Tableau106[],2,FALSE)</f>
        <v>FR01S04E</v>
      </c>
      <c r="D118" s="232" t="str">
        <f>VLOOKUP(OPX_LE3!$A119,Tableau106[],8,FALSE)</f>
        <v>SOLAIRE</v>
      </c>
      <c r="E118" s="233">
        <f>VLOOKUP(OPX_LE3!$A119,Tableau106[],4,FALSE)</f>
        <v>13.4</v>
      </c>
      <c r="F118" s="232" t="str">
        <f>VLOOKUP(OPX_LE3!$A119,Tableau106[],5,FALSE)</f>
        <v>NIEV</v>
      </c>
      <c r="G118" s="232" t="str">
        <f>VLOOKUP(OPX_LE3!$A119,Tableau106[],7,FALSE)</f>
        <v>GROUPE</v>
      </c>
      <c r="H118" s="232" t="str">
        <f>VLOOKUP(OPX_LE3!$A119,Tableau106[],6,FALSE)</f>
        <v>S</v>
      </c>
      <c r="I118" s="232" t="str">
        <f>VLOOKUP(OPX_LE3!$A119,Tableau106[],9,FALSE)</f>
        <v>ZaA</v>
      </c>
      <c r="J118" s="254">
        <v>-52791</v>
      </c>
      <c r="K118" s="228"/>
      <c r="L118" s="228"/>
      <c r="M118" s="229">
        <f>+VLOOKUP(Tableau163[[#This Row],[CODE PI]],Tableau15[[CODE PI]:[Prestations diverses  &amp; accompagnements interne (1,6 k€ par jour d''acc)]],8,FALSE)</f>
        <v>0</v>
      </c>
      <c r="N118" s="229">
        <f>+VLOOKUP(Tableau163[[#This Row],[CODE PI]],Tableau15[[CODE PI]:[Prestations diverses  &amp; accompagnements interne (1,6 k€ par jour d''acc)]],9,FALSE)</f>
        <v>0</v>
      </c>
      <c r="O118" s="229">
        <f>+VLOOKUP(Tableau163[[#This Row],[CODE PI]],Tableau15[[CODE PI]:[Prestations diverses  &amp; accompagnements interne (1,6 k€ par jour d''acc)]],10,FALSE)</f>
        <v>0</v>
      </c>
      <c r="P118" s="229">
        <f>+VLOOKUP(Tableau163[[#This Row],[CODE PI]],Tableau15[[CODE PI]:[Prestations diverses  &amp; accompagnements interne (1,6 k€ par jour d''acc)]],11,FALSE)</f>
        <v>0</v>
      </c>
      <c r="Q118" s="230">
        <f>-250*OPX_LE3!$E119</f>
        <v>-3350</v>
      </c>
      <c r="R118" s="311">
        <f>SUM(OPX_LE3!$K119:$Q119)</f>
        <v>-29531.800000000003</v>
      </c>
      <c r="S118" s="337">
        <v>0</v>
      </c>
      <c r="T118" s="361">
        <v>0</v>
      </c>
      <c r="U118" s="362">
        <v>0</v>
      </c>
      <c r="V118" s="361">
        <v>0</v>
      </c>
      <c r="W118" s="361">
        <v>0</v>
      </c>
      <c r="X118" s="361">
        <v>0</v>
      </c>
      <c r="Y118" s="361">
        <v>0</v>
      </c>
      <c r="Z118" s="264">
        <v>-3350</v>
      </c>
      <c r="AA118" s="423"/>
      <c r="AB118" s="273">
        <f>SUM(OPX_LE3!$T119:$AA119)</f>
        <v>-4020</v>
      </c>
      <c r="AC118" s="426">
        <f t="shared" si="1"/>
        <v>-11500</v>
      </c>
      <c r="AD118" s="426"/>
      <c r="AE118" s="417">
        <v>0</v>
      </c>
      <c r="AF118" s="417">
        <v>0</v>
      </c>
      <c r="AG118" s="417">
        <v>0</v>
      </c>
      <c r="AH118" s="417">
        <v>0</v>
      </c>
      <c r="AI118" s="417">
        <v>0</v>
      </c>
      <c r="AJ118" s="317">
        <f>SUM(OPX_LE3!$AC119:$AI119)</f>
        <v>-6192.5</v>
      </c>
      <c r="AK118" s="424">
        <v>0</v>
      </c>
      <c r="AL118" s="276">
        <f>SUM(OPX_LE3!$J119,OPX_LE3!$AB119,OPX_LE3!$S119,OPX_LE3!$AJ119,OPX_LE3!$R119,OPX_LE3!$AK119)</f>
        <v>-122112.3</v>
      </c>
      <c r="AM118" s="427">
        <v>0</v>
      </c>
    </row>
    <row r="119" spans="1:39" ht="15" hidden="1">
      <c r="A119" s="325" t="s">
        <v>626</v>
      </c>
      <c r="B119" s="322" t="str">
        <f>VLOOKUP(OPX_LE3!$A120,Tableau106[],3,FALSE)</f>
        <v>A937</v>
      </c>
      <c r="C119" s="322" t="str">
        <f>VLOOKUP(OPX_LE3!$A120,Tableau106[],2,FALSE)</f>
        <v>FR34E82E</v>
      </c>
      <c r="D119" s="322" t="str">
        <f>VLOOKUP(OPX_LE3!$A120,Tableau106[],8,FALSE)</f>
        <v>EOLIEN</v>
      </c>
      <c r="E119" s="324">
        <f>VLOOKUP(OPX_LE3!$A120,Tableau106[],4,FALSE)</f>
        <v>6</v>
      </c>
      <c r="F119" s="322" t="str">
        <f>VLOOKUP(OPX_LE3!$A120,Tableau106[],5,FALSE)</f>
        <v>NIPL</v>
      </c>
      <c r="G119" s="322" t="str">
        <f>VLOOKUP(OPX_LE3!$A120,Tableau106[],7,FALSE)</f>
        <v>FUTUREN</v>
      </c>
      <c r="H119" s="322" t="str">
        <f>VLOOKUP(OPX_LE3!$A120,Tableau106[],6,FALSE)</f>
        <v>S</v>
      </c>
      <c r="I119" s="322" t="str">
        <f>VLOOKUP(OPX_LE3!$A120,Tableau106[],9,FALSE)</f>
        <v>KéD</v>
      </c>
      <c r="J119" s="254">
        <v>-189061</v>
      </c>
      <c r="K119" s="228"/>
      <c r="L119" s="228"/>
      <c r="M119" s="229">
        <f>+VLOOKUP(Tableau163[[#This Row],[CODE PI]],Tableau15[[CODE PI]:[Prestations diverses  &amp; accompagnements interne (1,6 k€ par jour d''acc)]],8,FALSE)</f>
        <v>0</v>
      </c>
      <c r="N119" s="229">
        <f>+VLOOKUP(Tableau163[[#This Row],[CODE PI]],Tableau15[[CODE PI]:[Prestations diverses  &amp; accompagnements interne (1,6 k€ par jour d''acc)]],9,FALSE)</f>
        <v>0</v>
      </c>
      <c r="O119" s="229">
        <f>+VLOOKUP(Tableau163[[#This Row],[CODE PI]],Tableau15[[CODE PI]:[Prestations diverses  &amp; accompagnements interne (1,6 k€ par jour d''acc)]],10,FALSE)</f>
        <v>0</v>
      </c>
      <c r="P119" s="229">
        <f>+VLOOKUP(Tableau163[[#This Row],[CODE PI]],Tableau15[[CODE PI]:[Prestations diverses  &amp; accompagnements interne (1,6 k€ par jour d''acc)]],11,FALSE)</f>
        <v>-2100</v>
      </c>
      <c r="Q119" s="230">
        <f>-250*OPX_LE3!$E120</f>
        <v>-1500</v>
      </c>
      <c r="R119" s="311">
        <f>SUM(OPX_LE3!$K120:$Q120)</f>
        <v>-36990</v>
      </c>
      <c r="S119" s="337">
        <v>0</v>
      </c>
      <c r="T119" s="361">
        <v>0</v>
      </c>
      <c r="U119" s="362">
        <v>0</v>
      </c>
      <c r="V119" s="361">
        <f>-(2326+5000)</f>
        <v>-7326</v>
      </c>
      <c r="W119" s="361">
        <v>0</v>
      </c>
      <c r="X119" s="361">
        <v>0</v>
      </c>
      <c r="Y119" s="361">
        <v>0</v>
      </c>
      <c r="Z119" s="264">
        <v>-1500</v>
      </c>
      <c r="AA119" s="423"/>
      <c r="AB119" s="273">
        <f>SUM(OPX_LE3!$T120:$AA120)</f>
        <v>-8826</v>
      </c>
      <c r="AC119" s="231">
        <f>-((6184*3)+1500)</f>
        <v>-20052</v>
      </c>
      <c r="AD119" s="426"/>
      <c r="AE119" s="417">
        <v>-2190</v>
      </c>
      <c r="AF119" s="417">
        <v>0</v>
      </c>
      <c r="AG119" s="417">
        <v>-15160.5</v>
      </c>
      <c r="AH119" s="417"/>
      <c r="AI119" s="417">
        <v>-35865</v>
      </c>
      <c r="AJ119" s="317">
        <f>SUM(OPX_LE3!$AC120:$AI120)</f>
        <v>-73267.5</v>
      </c>
      <c r="AK119" s="424">
        <v>0</v>
      </c>
      <c r="AL119" s="276">
        <f>SUM(OPX_LE3!$J120,OPX_LE3!$AB120,OPX_LE3!$S120,OPX_LE3!$AJ120,OPX_LE3!$R120,OPX_LE3!$AK120)</f>
        <v>-308144.5</v>
      </c>
      <c r="AM119" s="427">
        <v>0</v>
      </c>
    </row>
    <row r="120" spans="1:39" ht="15" hidden="1">
      <c r="A120" s="244" t="s">
        <v>551</v>
      </c>
      <c r="B120" s="232" t="str">
        <f>VLOOKUP(OPX_LE3!$A121,Tableau106[],3,FALSE)</f>
        <v>A313</v>
      </c>
      <c r="C120" s="232" t="str">
        <f>VLOOKUP(OPX_LE3!$A121,Tableau106[],2,FALSE)</f>
        <v>FR89S16E</v>
      </c>
      <c r="D120" s="232" t="str">
        <f>VLOOKUP(OPX_LE3!$A121,Tableau106[],8,FALSE)</f>
        <v>SOLAIRE</v>
      </c>
      <c r="E120" s="233">
        <f>VLOOKUP(OPX_LE3!$A121,Tableau106[],4,FALSE)</f>
        <v>3.8</v>
      </c>
      <c r="F120" s="232" t="str">
        <f>VLOOKUP(OPX_LE3!$A121,Tableau106[],5,FALSE)</f>
        <v>NITR</v>
      </c>
      <c r="G120" s="232" t="str">
        <f>VLOOKUP(OPX_LE3!$A121,Tableau106[],7,FALSE)</f>
        <v>GROUPE</v>
      </c>
      <c r="H120" s="232" t="str">
        <f>VLOOKUP(OPX_LE3!$A121,Tableau106[],6,FALSE)</f>
        <v>N</v>
      </c>
      <c r="I120" s="232" t="str">
        <f>VLOOKUP(OPX_LE3!$A121,Tableau106[],9,FALSE)</f>
        <v>LoG</v>
      </c>
      <c r="J120" s="254">
        <v>-16335</v>
      </c>
      <c r="K120" s="228"/>
      <c r="L120" s="228"/>
      <c r="M120" s="229">
        <f>+VLOOKUP(Tableau163[[#This Row],[CODE PI]],Tableau15[[CODE PI]:[Prestations diverses  &amp; accompagnements interne (1,6 k€ par jour d''acc)]],8,FALSE)</f>
        <v>0</v>
      </c>
      <c r="N120" s="229">
        <f>+VLOOKUP(Tableau163[[#This Row],[CODE PI]],Tableau15[[CODE PI]:[Prestations diverses  &amp; accompagnements interne (1,6 k€ par jour d''acc)]],9,FALSE)</f>
        <v>0</v>
      </c>
      <c r="O120" s="229">
        <f>+VLOOKUP(Tableau163[[#This Row],[CODE PI]],Tableau15[[CODE PI]:[Prestations diverses  &amp; accompagnements interne (1,6 k€ par jour d''acc)]],10,FALSE)</f>
        <v>0</v>
      </c>
      <c r="P120" s="229">
        <f>+VLOOKUP(Tableau163[[#This Row],[CODE PI]],Tableau15[[CODE PI]:[Prestations diverses  &amp; accompagnements interne (1,6 k€ par jour d''acc)]],11,FALSE)</f>
        <v>0</v>
      </c>
      <c r="Q120" s="230">
        <f>-250*OPX_LE3!$E121</f>
        <v>-950</v>
      </c>
      <c r="R120" s="311">
        <f>SUM(OPX_LE3!$K121:$Q121)</f>
        <v>-14750</v>
      </c>
      <c r="S120" s="337">
        <v>0</v>
      </c>
      <c r="T120" s="361">
        <v>0</v>
      </c>
      <c r="U120" s="362">
        <v>0</v>
      </c>
      <c r="V120" s="361">
        <v>0</v>
      </c>
      <c r="W120" s="361">
        <v>0</v>
      </c>
      <c r="X120" s="361">
        <v>0</v>
      </c>
      <c r="Y120" s="361">
        <v>0</v>
      </c>
      <c r="Z120" s="264">
        <v>-950</v>
      </c>
      <c r="AA120" s="423"/>
      <c r="AB120" s="273">
        <f>SUM(OPX_LE3!$T121:$AA121)</f>
        <v>-950</v>
      </c>
      <c r="AC120" s="426">
        <f t="shared" si="1"/>
        <v>-11500</v>
      </c>
      <c r="AD120" s="426"/>
      <c r="AE120" s="417">
        <v>0</v>
      </c>
      <c r="AF120" s="417">
        <v>0</v>
      </c>
      <c r="AG120" s="417">
        <v>0</v>
      </c>
      <c r="AH120" s="417">
        <v>-2500</v>
      </c>
      <c r="AI120" s="417">
        <v>0</v>
      </c>
      <c r="AJ120" s="317">
        <f>SUM(OPX_LE3!$AC121:$AI121)</f>
        <v>-5451.98</v>
      </c>
      <c r="AK120" s="424">
        <v>0</v>
      </c>
      <c r="AL120" s="276">
        <f>SUM(OPX_LE3!$J121,OPX_LE3!$AB121,OPX_LE3!$S121,OPX_LE3!$AJ121,OPX_LE3!$R121,OPX_LE3!$AK121)</f>
        <v>-43951.979999999996</v>
      </c>
      <c r="AM120" s="427">
        <v>0</v>
      </c>
    </row>
    <row r="121" spans="1:39" ht="15" hidden="1">
      <c r="A121" s="325" t="s">
        <v>480</v>
      </c>
      <c r="B121" s="322" t="str">
        <f>VLOOKUP(OPX_LE3!$A122,Tableau106[],3,FALSE)</f>
        <v>A540</v>
      </c>
      <c r="C121" s="322" t="str">
        <f>VLOOKUP(OPX_LE3!$A122,Tableau106[],2,FALSE)</f>
        <v>FR35E02E</v>
      </c>
      <c r="D121" s="322" t="str">
        <f>VLOOKUP(OPX_LE3!$A122,Tableau106[],8,FALSE)</f>
        <v>EOLIEN</v>
      </c>
      <c r="E121" s="324">
        <f>VLOOKUP(OPX_LE3!$A122,Tableau106[],4,FALSE)</f>
        <v>10</v>
      </c>
      <c r="F121" s="322" t="str">
        <f>VLOOKUP(OPX_LE3!$A122,Tableau106[],5,FALSE)</f>
        <v>NOUR</v>
      </c>
      <c r="G121" s="322" t="str">
        <f>VLOOKUP(OPX_LE3!$A122,Tableau106[],7,FALSE)</f>
        <v>EGM</v>
      </c>
      <c r="H121" s="322" t="str">
        <f>VLOOKUP(OPX_LE3!$A122,Tableau106[],6,FALSE)</f>
        <v>N</v>
      </c>
      <c r="I121" s="322" t="str">
        <f>VLOOKUP(OPX_LE3!$A122,Tableau106[],9,FALSE)</f>
        <v>MaA</v>
      </c>
      <c r="J121" s="254">
        <v>-258123</v>
      </c>
      <c r="K121" s="228"/>
      <c r="L121" s="228"/>
      <c r="M121" s="229">
        <f>+VLOOKUP(Tableau163[[#This Row],[CODE PI]],Tableau15[[CODE PI]:[Prestations diverses  &amp; accompagnements interne (1,6 k€ par jour d''acc)]],8,FALSE)</f>
        <v>0</v>
      </c>
      <c r="N121" s="229">
        <f>+VLOOKUP(Tableau163[[#This Row],[CODE PI]],Tableau15[[CODE PI]:[Prestations diverses  &amp; accompagnements interne (1,6 k€ par jour d''acc)]],9,FALSE)</f>
        <v>0</v>
      </c>
      <c r="O121" s="229">
        <f>+VLOOKUP(Tableau163[[#This Row],[CODE PI]],Tableau15[[CODE PI]:[Prestations diverses  &amp; accompagnements interne (1,6 k€ par jour d''acc)]],10,FALSE)</f>
        <v>0</v>
      </c>
      <c r="P121" s="229">
        <f>+VLOOKUP(Tableau163[[#This Row],[CODE PI]],Tableau15[[CODE PI]:[Prestations diverses  &amp; accompagnements interne (1,6 k€ par jour d''acc)]],11,FALSE)</f>
        <v>-3500</v>
      </c>
      <c r="Q121" s="230">
        <f>-250*OPX_LE3!$E122</f>
        <v>-2500</v>
      </c>
      <c r="R121" s="311">
        <f>SUM(OPX_LE3!$K122:$Q122)</f>
        <v>-221000</v>
      </c>
      <c r="S121" s="337">
        <v>-4166</v>
      </c>
      <c r="T121" s="361">
        <v>0</v>
      </c>
      <c r="U121" s="362">
        <v>0</v>
      </c>
      <c r="V121" s="361">
        <v>-2000</v>
      </c>
      <c r="W121" s="361">
        <v>0</v>
      </c>
      <c r="X121" s="361">
        <v>0</v>
      </c>
      <c r="Y121" s="361">
        <v>0</v>
      </c>
      <c r="Z121" s="264">
        <v>-2500</v>
      </c>
      <c r="AA121" s="423"/>
      <c r="AB121" s="273">
        <f>SUM(OPX_LE3!$T122:$AA122)</f>
        <v>-8250</v>
      </c>
      <c r="AC121" s="426">
        <f t="shared" si="1"/>
        <v>-11500</v>
      </c>
      <c r="AD121" s="426"/>
      <c r="AE121" s="417">
        <v>0</v>
      </c>
      <c r="AF121" s="417">
        <v>0</v>
      </c>
      <c r="AG121" s="417">
        <v>-12000</v>
      </c>
      <c r="AH121" s="417">
        <v>0</v>
      </c>
      <c r="AI121" s="417">
        <v>0</v>
      </c>
      <c r="AJ121" s="317">
        <f>SUM(OPX_LE3!$AC122:$AI122)</f>
        <v>0</v>
      </c>
      <c r="AK121" s="424">
        <v>0</v>
      </c>
      <c r="AL121" s="276">
        <f>SUM(OPX_LE3!$J122,OPX_LE3!$AB122,OPX_LE3!$S122,OPX_LE3!$AJ122,OPX_LE3!$R122,OPX_LE3!$AK122)</f>
        <v>-547373</v>
      </c>
      <c r="AM121" s="427">
        <v>0</v>
      </c>
    </row>
    <row r="122" spans="1:39" ht="15" hidden="1">
      <c r="A122" s="244" t="s">
        <v>529</v>
      </c>
      <c r="B122" s="232" t="str">
        <f>VLOOKUP(OPX_LE3!$A123,Tableau106[],3,FALSE)</f>
        <v>A540</v>
      </c>
      <c r="C122" s="232" t="str">
        <f>VLOOKUP(OPX_LE3!$A123,Tableau106[],2,FALSE)</f>
        <v>FR80E01E</v>
      </c>
      <c r="D122" s="232" t="str">
        <f>VLOOKUP(OPX_LE3!$A123,Tableau106[],8,FALSE)</f>
        <v>EOLIEN</v>
      </c>
      <c r="E122" s="233">
        <f>VLOOKUP(OPX_LE3!$A123,Tableau106[],4,FALSE)</f>
        <v>8</v>
      </c>
      <c r="F122" s="232" t="str">
        <f>VLOOKUP(OPX_LE3!$A123,Tableau106[],5,FALSE)</f>
        <v>NURL</v>
      </c>
      <c r="G122" s="232" t="str">
        <f>VLOOKUP(OPX_LE3!$A123,Tableau106[],7,FALSE)</f>
        <v>EGM</v>
      </c>
      <c r="H122" s="232" t="str">
        <f>VLOOKUP(OPX_LE3!$A123,Tableau106[],6,FALSE)</f>
        <v>N</v>
      </c>
      <c r="I122" s="232" t="str">
        <f>VLOOKUP(OPX_LE3!$A123,Tableau106[],9,FALSE)</f>
        <v>NoS</v>
      </c>
      <c r="J122" s="254">
        <v>-206499</v>
      </c>
      <c r="K122" s="228"/>
      <c r="L122" s="228"/>
      <c r="M122" s="229">
        <f>+VLOOKUP(Tableau163[[#This Row],[CODE PI]],Tableau15[[CODE PI]:[Prestations diverses  &amp; accompagnements interne (1,6 k€ par jour d''acc)]],8,FALSE)</f>
        <v>0</v>
      </c>
      <c r="N122" s="229">
        <f>+VLOOKUP(Tableau163[[#This Row],[CODE PI]],Tableau15[[CODE PI]:[Prestations diverses  &amp; accompagnements interne (1,6 k€ par jour d''acc)]],9,FALSE)</f>
        <v>0</v>
      </c>
      <c r="O122" s="229">
        <f>+VLOOKUP(Tableau163[[#This Row],[CODE PI]],Tableau15[[CODE PI]:[Prestations diverses  &amp; accompagnements interne (1,6 k€ par jour d''acc)]],10,FALSE)</f>
        <v>0</v>
      </c>
      <c r="P122" s="229">
        <f>+VLOOKUP(Tableau163[[#This Row],[CODE PI]],Tableau15[[CODE PI]:[Prestations diverses  &amp; accompagnements interne (1,6 k€ par jour d''acc)]],11,FALSE)</f>
        <v>-2800</v>
      </c>
      <c r="Q122" s="230">
        <f>-250*OPX_LE3!$E123</f>
        <v>-2000</v>
      </c>
      <c r="R122" s="311">
        <f>SUM(OPX_LE3!$K123:$Q123)</f>
        <v>-216800</v>
      </c>
      <c r="S122" s="337">
        <v>0</v>
      </c>
      <c r="T122" s="361">
        <v>0</v>
      </c>
      <c r="U122" s="362">
        <v>0</v>
      </c>
      <c r="V122" s="361">
        <v>-1000</v>
      </c>
      <c r="W122" s="361">
        <v>0</v>
      </c>
      <c r="X122" s="361">
        <v>0</v>
      </c>
      <c r="Y122" s="361">
        <v>0</v>
      </c>
      <c r="Z122" s="264">
        <v>-2000</v>
      </c>
      <c r="AA122" s="423"/>
      <c r="AB122" s="273">
        <f>SUM(OPX_LE3!$T123:$AA123)</f>
        <v>-6240</v>
      </c>
      <c r="AC122" s="426">
        <f t="shared" si="1"/>
        <v>-11500</v>
      </c>
      <c r="AD122" s="426"/>
      <c r="AE122" s="417">
        <v>0</v>
      </c>
      <c r="AF122" s="417">
        <v>0</v>
      </c>
      <c r="AG122" s="417">
        <v>0</v>
      </c>
      <c r="AH122" s="417">
        <v>0</v>
      </c>
      <c r="AI122" s="417">
        <v>0</v>
      </c>
      <c r="AJ122" s="317">
        <f>SUM(OPX_LE3!$AC123:$AI123)</f>
        <v>0</v>
      </c>
      <c r="AK122" s="424">
        <v>0</v>
      </c>
      <c r="AL122" s="276">
        <f>SUM(OPX_LE3!$J123,OPX_LE3!$AB123,OPX_LE3!$S123,OPX_LE3!$AJ123,OPX_LE3!$R123,OPX_LE3!$AK123)</f>
        <v>-429539</v>
      </c>
      <c r="AM122" s="427">
        <v>0</v>
      </c>
    </row>
    <row r="123" spans="1:39" ht="15" hidden="1">
      <c r="A123" s="325" t="s">
        <v>555</v>
      </c>
      <c r="B123" s="322" t="str">
        <f>VLOOKUP(OPX_LE3!$A124,Tableau106[],3,FALSE)</f>
        <v>A374</v>
      </c>
      <c r="C123" s="322" t="str">
        <f>VLOOKUP(OPX_LE3!$A124,Tableau106[],2,FALSE)</f>
        <v>FR68S02E</v>
      </c>
      <c r="D123" s="322" t="str">
        <f>VLOOKUP(OPX_LE3!$A124,Tableau106[],8,FALSE)</f>
        <v>SOLAIRE</v>
      </c>
      <c r="E123" s="324">
        <f>VLOOKUP(OPX_LE3!$A124,Tableau106[],4,FALSE)</f>
        <v>15.5</v>
      </c>
      <c r="F123" s="322" t="str">
        <f>VLOOKUP(OPX_LE3!$A124,Tableau106[],5,FALSE)</f>
        <v>OTTM</v>
      </c>
      <c r="G123" s="322" t="str">
        <f>VLOOKUP(OPX_LE3!$A124,Tableau106[],7,FALSE)</f>
        <v>GROUPE</v>
      </c>
      <c r="H123" s="322" t="str">
        <f>VLOOKUP(OPX_LE3!$A124,Tableau106[],6,FALSE)</f>
        <v>N</v>
      </c>
      <c r="I123" s="322" t="str">
        <f>VLOOKUP(OPX_LE3!$A124,Tableau106[],9,FALSE)</f>
        <v>ZaA</v>
      </c>
      <c r="J123" s="254"/>
      <c r="K123" s="228"/>
      <c r="L123" s="228"/>
      <c r="M123" s="229">
        <f>+VLOOKUP(Tableau163[[#This Row],[CODE PI]],Tableau15[[CODE PI]:[Prestations diverses  &amp; accompagnements interne (1,6 k€ par jour d''acc)]],8,FALSE)</f>
        <v>0</v>
      </c>
      <c r="N123" s="229">
        <f>+VLOOKUP(Tableau163[[#This Row],[CODE PI]],Tableau15[[CODE PI]:[Prestations diverses  &amp; accompagnements interne (1,6 k€ par jour d''acc)]],9,FALSE)</f>
        <v>0</v>
      </c>
      <c r="O123" s="229">
        <f>+VLOOKUP(Tableau163[[#This Row],[CODE PI]],Tableau15[[CODE PI]:[Prestations diverses  &amp; accompagnements interne (1,6 k€ par jour d''acc)]],10,FALSE)</f>
        <v>0</v>
      </c>
      <c r="P123" s="229">
        <f>+VLOOKUP(Tableau163[[#This Row],[CODE PI]],Tableau15[[CODE PI]:[Prestations diverses  &amp; accompagnements interne (1,6 k€ par jour d''acc)]],11,FALSE)</f>
        <v>0</v>
      </c>
      <c r="Q123" s="230">
        <f>-250*OPX_LE3!$E124</f>
        <v>-3875</v>
      </c>
      <c r="R123" s="311">
        <f>SUM(OPX_LE3!$K124:$Q124)</f>
        <v>-11921.279999999999</v>
      </c>
      <c r="S123" s="337"/>
      <c r="T123" s="361">
        <v>0</v>
      </c>
      <c r="U123" s="362">
        <v>0</v>
      </c>
      <c r="V123" s="361">
        <v>0</v>
      </c>
      <c r="W123" s="361">
        <v>0</v>
      </c>
      <c r="X123" s="361">
        <v>0</v>
      </c>
      <c r="Y123" s="361">
        <v>0</v>
      </c>
      <c r="Z123" s="264">
        <v>-3875</v>
      </c>
      <c r="AA123" s="423"/>
      <c r="AB123" s="273">
        <f>SUM(OPX_LE3!$T124:$AA124)</f>
        <v>-6200</v>
      </c>
      <c r="AC123" s="426">
        <f t="shared" si="1"/>
        <v>-11500</v>
      </c>
      <c r="AD123" s="426"/>
      <c r="AE123" s="417">
        <v>0</v>
      </c>
      <c r="AF123" s="417">
        <v>0</v>
      </c>
      <c r="AG123" s="417">
        <v>0</v>
      </c>
      <c r="AH123" s="417">
        <v>-10000</v>
      </c>
      <c r="AI123" s="417">
        <v>-8000</v>
      </c>
      <c r="AJ123" s="317">
        <f>SUM(OPX_LE3!$AC124:$AI124)</f>
        <v>-7385</v>
      </c>
      <c r="AK123" s="424">
        <v>0</v>
      </c>
      <c r="AL123" s="276">
        <f>SUM(OPX_LE3!$J124,OPX_LE3!$AB124,OPX_LE3!$S124,OPX_LE3!$AJ124,OPX_LE3!$R124,OPX_LE3!$AK124)</f>
        <v>-124850.28</v>
      </c>
      <c r="AM123" s="427">
        <v>0</v>
      </c>
    </row>
    <row r="124" spans="1:39" ht="15" hidden="1">
      <c r="A124" s="244" t="s">
        <v>438</v>
      </c>
      <c r="B124" s="232" t="str">
        <f>VLOOKUP(OPX_LE3!$A125,Tableau106[],3,FALSE)</f>
        <v>A044</v>
      </c>
      <c r="C124" s="232" t="str">
        <f>VLOOKUP(OPX_LE3!$A125,Tableau106[],2,FALSE)</f>
        <v>FR34E99E</v>
      </c>
      <c r="D124" s="232" t="str">
        <f>VLOOKUP(OPX_LE3!$A125,Tableau106[],8,FALSE)</f>
        <v>EOLIEN</v>
      </c>
      <c r="E124" s="233">
        <f>VLOOKUP(OPX_LE3!$A125,Tableau106[],4,FALSE)</f>
        <v>8.1</v>
      </c>
      <c r="F124" s="232" t="str">
        <f>VLOOKUP(OPX_LE3!$A125,Tableau106[],5,FALSE)</f>
        <v>OUPI</v>
      </c>
      <c r="G124" s="232" t="str">
        <f>VLOOKUP(OPX_LE3!$A125,Tableau106[],7,FALSE)</f>
        <v>GROUPE</v>
      </c>
      <c r="H124" s="232" t="str">
        <f>VLOOKUP(OPX_LE3!$A125,Tableau106[],6,FALSE)</f>
        <v>S</v>
      </c>
      <c r="I124" s="232" t="str">
        <f>VLOOKUP(OPX_LE3!$A125,Tableau106[],9,FALSE)</f>
        <v>SaH</v>
      </c>
      <c r="J124" s="254">
        <v>-25000</v>
      </c>
      <c r="K124" s="228"/>
      <c r="L124" s="228"/>
      <c r="M124" s="229">
        <f>+VLOOKUP(Tableau163[[#This Row],[CODE PI]],Tableau15[[CODE PI]:[Prestations diverses  &amp; accompagnements interne (1,6 k€ par jour d''acc)]],8,FALSE)</f>
        <v>0</v>
      </c>
      <c r="N124" s="229">
        <f>+VLOOKUP(Tableau163[[#This Row],[CODE PI]],Tableau15[[CODE PI]:[Prestations diverses  &amp; accompagnements interne (1,6 k€ par jour d''acc)]],9,FALSE)</f>
        <v>0</v>
      </c>
      <c r="O124" s="229">
        <f>+VLOOKUP(Tableau163[[#This Row],[CODE PI]],Tableau15[[CODE PI]:[Prestations diverses  &amp; accompagnements interne (1,6 k€ par jour d''acc)]],10,FALSE)</f>
        <v>0</v>
      </c>
      <c r="P124" s="229">
        <f>+VLOOKUP(Tableau163[[#This Row],[CODE PI]],Tableau15[[CODE PI]:[Prestations diverses  &amp; accompagnements interne (1,6 k€ par jour d''acc)]],11,FALSE)</f>
        <v>0</v>
      </c>
      <c r="Q124" s="230">
        <f>-250*OPX_LE3!$E125</f>
        <v>-2025</v>
      </c>
      <c r="R124" s="311">
        <f>SUM(OPX_LE3!$K125:$Q125)</f>
        <v>-25370</v>
      </c>
      <c r="S124" s="337">
        <v>0</v>
      </c>
      <c r="T124" s="361">
        <v>0</v>
      </c>
      <c r="U124" s="362">
        <v>0</v>
      </c>
      <c r="V124" s="361">
        <v>0</v>
      </c>
      <c r="W124" s="361">
        <v>0</v>
      </c>
      <c r="X124" s="361">
        <v>-6500</v>
      </c>
      <c r="Y124" s="361">
        <v>0</v>
      </c>
      <c r="Z124" s="264">
        <v>-2025</v>
      </c>
      <c r="AA124" s="423"/>
      <c r="AB124" s="273">
        <f>SUM(OPX_LE3!$T125:$AA125)</f>
        <v>0</v>
      </c>
      <c r="AC124" s="426">
        <f t="shared" si="1"/>
        <v>-11500</v>
      </c>
      <c r="AD124" s="426"/>
      <c r="AE124" s="417">
        <v>0</v>
      </c>
      <c r="AF124" s="417">
        <v>0</v>
      </c>
      <c r="AG124" s="417">
        <v>0</v>
      </c>
      <c r="AH124" s="417">
        <v>0</v>
      </c>
      <c r="AI124" s="417">
        <v>0</v>
      </c>
      <c r="AJ124" s="317">
        <f>SUM(OPX_LE3!$AC125:$AI125)</f>
        <v>0</v>
      </c>
      <c r="AK124" s="424">
        <v>0</v>
      </c>
      <c r="AL124" s="276">
        <f>SUM(OPX_LE3!$J125,OPX_LE3!$AB125,OPX_LE3!$S125,OPX_LE3!$AJ125,OPX_LE3!$R125,OPX_LE3!$AK125)</f>
        <v>-50370</v>
      </c>
      <c r="AM124" s="427">
        <v>0</v>
      </c>
    </row>
    <row r="125" spans="1:39" ht="15" hidden="1">
      <c r="A125" s="325" t="s">
        <v>492</v>
      </c>
      <c r="B125" s="322" t="str">
        <f>VLOOKUP(OPX_LE3!$A127,Tableau106[],3,FALSE)</f>
        <v>A540</v>
      </c>
      <c r="C125" s="322" t="str">
        <f>VLOOKUP(OPX_LE3!$A127,Tableau106[],2,FALSE)</f>
        <v>FR79E01E</v>
      </c>
      <c r="D125" s="322" t="str">
        <f>VLOOKUP(OPX_LE3!$A127,Tableau106[],8,FALSE)</f>
        <v>EOLIEN</v>
      </c>
      <c r="E125" s="324">
        <f>VLOOKUP(OPX_LE3!$A127,Tableau106[],4,FALSE)</f>
        <v>12</v>
      </c>
      <c r="F125" s="322" t="str">
        <f>VLOOKUP(OPX_LE3!$A127,Tableau106[],5,FALSE)</f>
        <v>PAMP</v>
      </c>
      <c r="G125" s="322" t="str">
        <f>VLOOKUP(OPX_LE3!$A127,Tableau106[],7,FALSE)</f>
        <v>EGM</v>
      </c>
      <c r="H125" s="322" t="str">
        <f>VLOOKUP(OPX_LE3!$A127,Tableau106[],6,FALSE)</f>
        <v>N</v>
      </c>
      <c r="I125" s="322" t="str">
        <f>VLOOKUP(OPX_LE3!$A127,Tableau106[],9,FALSE)</f>
        <v>DeN</v>
      </c>
      <c r="J125" s="254">
        <v>-258123</v>
      </c>
      <c r="K125" s="228"/>
      <c r="L125" s="228"/>
      <c r="M125" s="229">
        <f>+VLOOKUP(Tableau163[[#This Row],[CODE PI]],Tableau15[[CODE PI]:[Prestations diverses  &amp; accompagnements interne (1,6 k€ par jour d''acc)]],8,FALSE)</f>
        <v>0</v>
      </c>
      <c r="N125" s="229">
        <f>+VLOOKUP(Tableau163[[#This Row],[CODE PI]],Tableau15[[CODE PI]:[Prestations diverses  &amp; accompagnements interne (1,6 k€ par jour d''acc)]],9,FALSE)</f>
        <v>0</v>
      </c>
      <c r="O125" s="229">
        <f>+VLOOKUP(Tableau163[[#This Row],[CODE PI]],Tableau15[[CODE PI]:[Prestations diverses  &amp; accompagnements interne (1,6 k€ par jour d''acc)]],10,FALSE)</f>
        <v>0</v>
      </c>
      <c r="P125" s="229">
        <f>+VLOOKUP(Tableau163[[#This Row],[CODE PI]],Tableau15[[CODE PI]:[Prestations diverses  &amp; accompagnements interne (1,6 k€ par jour d''acc)]],11,FALSE)</f>
        <v>-4200</v>
      </c>
      <c r="Q125" s="230">
        <f>-250*OPX_LE3!$E127</f>
        <v>-3000</v>
      </c>
      <c r="R125" s="311">
        <f>SUM(OPX_LE3!$K127:$Q127)</f>
        <v>-173700</v>
      </c>
      <c r="S125" s="337">
        <v>0</v>
      </c>
      <c r="T125" s="361">
        <v>0</v>
      </c>
      <c r="U125" s="362">
        <v>0</v>
      </c>
      <c r="V125" s="361">
        <v>-2000</v>
      </c>
      <c r="W125" s="361">
        <v>0</v>
      </c>
      <c r="X125" s="361">
        <v>0</v>
      </c>
      <c r="Y125" s="361">
        <v>0</v>
      </c>
      <c r="Z125" s="264">
        <v>-3000</v>
      </c>
      <c r="AA125" s="423"/>
      <c r="AB125" s="273">
        <f>SUM(OPX_LE3!$T127:$AA127)</f>
        <v>-9170</v>
      </c>
      <c r="AC125" s="426">
        <f t="shared" si="1"/>
        <v>-11500</v>
      </c>
      <c r="AD125" s="426"/>
      <c r="AE125" s="417">
        <v>-5000</v>
      </c>
      <c r="AF125" s="417">
        <v>0</v>
      </c>
      <c r="AG125" s="417">
        <v>0</v>
      </c>
      <c r="AH125" s="417">
        <v>0</v>
      </c>
      <c r="AI125" s="417">
        <v>-6652</v>
      </c>
      <c r="AJ125" s="317">
        <f>SUM(OPX_LE3!$AC127:$AI127)</f>
        <v>-38465.410000000003</v>
      </c>
      <c r="AK125" s="424">
        <v>0</v>
      </c>
      <c r="AL125" s="276">
        <f>SUM(OPX_LE3!$J127,OPX_LE3!$AB127,OPX_LE3!$S127,OPX_LE3!$AJ127,OPX_LE3!$R127,OPX_LE3!$AK127)</f>
        <v>-479458.41000000003</v>
      </c>
      <c r="AM125" s="427">
        <v>0</v>
      </c>
    </row>
    <row r="126" spans="1:39" ht="15">
      <c r="A126" s="244" t="s">
        <v>534</v>
      </c>
      <c r="B126" s="232" t="str">
        <f>VLOOKUP(OPX_LE3!$A128,Tableau106[],3,FALSE)</f>
        <v>A418</v>
      </c>
      <c r="C126" s="232" t="str">
        <f>VLOOKUP(OPX_LE3!$A128,Tableau106[],2,FALSE)</f>
        <v>FR51E08E</v>
      </c>
      <c r="D126" s="232" t="str">
        <f>VLOOKUP(OPX_LE3!$A128,Tableau106[],8,FALSE)</f>
        <v>EOLIEN</v>
      </c>
      <c r="E126" s="233">
        <f>VLOOKUP(OPX_LE3!$A128,Tableau106[],4,FALSE)</f>
        <v>21.6</v>
      </c>
      <c r="F126" s="232" t="str">
        <f>VLOOKUP(OPX_LE3!$A128,Tableau106[],5,FALSE)</f>
        <v>PAAN</v>
      </c>
      <c r="G126" s="232" t="str">
        <f>VLOOKUP(OPX_LE3!$A128,Tableau106[],7,FALSE)</f>
        <v>GROUPE</v>
      </c>
      <c r="H126" s="232" t="str">
        <f>VLOOKUP(OPX_LE3!$A128,Tableau106[],6,FALSE)</f>
        <v>N</v>
      </c>
      <c r="I126" s="232" t="str">
        <f>VLOOKUP(OPX_LE3!$A128,Tableau106[],9,FALSE)</f>
        <v>AlY</v>
      </c>
      <c r="J126" s="254">
        <f>-306789-(0.00132*((CA_LE3!J124-47850)*1000))</f>
        <v>-313522.95591000002</v>
      </c>
      <c r="K126" s="228"/>
      <c r="L126" s="228"/>
      <c r="M126" s="229">
        <v>-600</v>
      </c>
      <c r="N126" s="229">
        <f>+VLOOKUP(Tableau163[[#This Row],[CODE PI]],Tableau15[[CODE PI]:[Prestations diverses  &amp; accompagnements interne (1,6 k€ par jour d''acc)]],9,FALSE)</f>
        <v>0</v>
      </c>
      <c r="O126" s="229">
        <f>+VLOOKUP(Tableau163[[#This Row],[CODE PI]],Tableau15[[CODE PI]:[Prestations diverses  &amp; accompagnements interne (1,6 k€ par jour d''acc)]],10,FALSE)</f>
        <v>0</v>
      </c>
      <c r="P126" s="229">
        <f>+VLOOKUP(Tableau163[[#This Row],[CODE PI]],Tableau15[[CODE PI]:[Prestations diverses  &amp; accompagnements interne (1,6 k€ par jour d''acc)]],11,FALSE)</f>
        <v>-7560</v>
      </c>
      <c r="Q126" s="230">
        <f>-250*OPX_LE3!$E128</f>
        <v>-5400</v>
      </c>
      <c r="R126" s="311">
        <f>SUM(OPX_LE3!$K128:$Q128)</f>
        <v>-20404</v>
      </c>
      <c r="S126" s="337">
        <v>0</v>
      </c>
      <c r="T126" s="361">
        <v>0</v>
      </c>
      <c r="U126" s="362">
        <v>0</v>
      </c>
      <c r="V126" s="361">
        <v>-486</v>
      </c>
      <c r="W126" s="361">
        <v>0</v>
      </c>
      <c r="X126" s="361">
        <v>0</v>
      </c>
      <c r="Y126" s="361">
        <v>0</v>
      </c>
      <c r="Z126" s="264">
        <v>-5400</v>
      </c>
      <c r="AA126" s="423"/>
      <c r="AB126" s="273">
        <f>SUM(OPX_LE3!$T128:$AA128)</f>
        <v>-32721</v>
      </c>
      <c r="AC126" s="426">
        <f t="shared" si="1"/>
        <v>-11500</v>
      </c>
      <c r="AD126" s="426"/>
      <c r="AE126" s="417">
        <v>0</v>
      </c>
      <c r="AF126" s="417">
        <v>0</v>
      </c>
      <c r="AG126" s="417">
        <v>-12000</v>
      </c>
      <c r="AH126" s="417">
        <v>0</v>
      </c>
      <c r="AI126" s="417">
        <v>-12960</v>
      </c>
      <c r="AJ126" s="317">
        <f>SUM(OPX_LE3!$AC128:$AI128)</f>
        <v>-12960</v>
      </c>
      <c r="AK126" s="424">
        <v>0</v>
      </c>
      <c r="AL126" s="276">
        <f>SUM(OPX_LE3!$J128,OPX_LE3!$AB128,OPX_LE3!$S128,OPX_LE3!$AJ128,OPX_LE3!$R128,OPX_LE3!$AK128)</f>
        <v>-379607.95591000002</v>
      </c>
      <c r="AM126" s="427">
        <v>0</v>
      </c>
    </row>
    <row r="127" spans="1:39" ht="15" hidden="1">
      <c r="A127" s="325" t="s">
        <v>559</v>
      </c>
      <c r="B127" s="322" t="str">
        <f>VLOOKUP(OPX_LE3!$A129,Tableau106[],3,FALSE)</f>
        <v>A960</v>
      </c>
      <c r="C127" s="322" t="str">
        <f>VLOOKUP(OPX_LE3!$A129,Tableau106[],2,FALSE)</f>
        <v>FRD1E01E</v>
      </c>
      <c r="D127" s="322" t="str">
        <f>VLOOKUP(OPX_LE3!$A129,Tableau106[],8,FALSE)</f>
        <v>EOLIEN DOM</v>
      </c>
      <c r="E127" s="324">
        <f>VLOOKUP(OPX_LE3!$A129,Tableau106[],4,FALSE)</f>
        <v>9</v>
      </c>
      <c r="F127" s="322" t="str">
        <f>VLOOKUP(OPX_LE3!$A129,Tableau106[],5,FALSE)</f>
        <v>PCR1</v>
      </c>
      <c r="G127" s="322" t="str">
        <f>VLOOKUP(OPX_LE3!$A129,Tableau106[],7,FALSE)</f>
        <v>GROUPE</v>
      </c>
      <c r="H127" s="322" t="str">
        <f>VLOOKUP(OPX_LE3!$A129,Tableau106[],6,FALSE)</f>
        <v>DOM</v>
      </c>
      <c r="I127" s="322" t="str">
        <f>VLOOKUP(OPX_LE3!$A129,Tableau106[],9,FALSE)</f>
        <v>DoJ</v>
      </c>
      <c r="J127" s="254">
        <v>0</v>
      </c>
      <c r="K127" s="228"/>
      <c r="L127" s="228"/>
      <c r="M127" s="229">
        <f>+VLOOKUP(Tableau163[[#This Row],[CODE PI]],Tableau15[[CODE PI]:[Prestations diverses  &amp; accompagnements interne (1,6 k€ par jour d''acc)]],8,FALSE)</f>
        <v>0</v>
      </c>
      <c r="N127" s="229">
        <f>+VLOOKUP(Tableau163[[#This Row],[CODE PI]],Tableau15[[CODE PI]:[Prestations diverses  &amp; accompagnements interne (1,6 k€ par jour d''acc)]],9,FALSE)</f>
        <v>0</v>
      </c>
      <c r="O127" s="229">
        <f>+VLOOKUP(Tableau163[[#This Row],[CODE PI]],Tableau15[[CODE PI]:[Prestations diverses  &amp; accompagnements interne (1,6 k€ par jour d''acc)]],10,FALSE)</f>
        <v>0</v>
      </c>
      <c r="P127" s="229">
        <f>+VLOOKUP(Tableau163[[#This Row],[CODE PI]],Tableau15[[CODE PI]:[Prestations diverses  &amp; accompagnements interne (1,6 k€ par jour d''acc)]],11,FALSE)</f>
        <v>0</v>
      </c>
      <c r="Q127" s="230">
        <f>-250*OPX_LE3!$E129</f>
        <v>-2250</v>
      </c>
      <c r="R127" s="311">
        <f>SUM(OPX_LE3!$K129:$Q129)</f>
        <v>-2250</v>
      </c>
      <c r="S127" s="337">
        <v>-399213</v>
      </c>
      <c r="T127" s="361">
        <v>-20000</v>
      </c>
      <c r="U127" s="362">
        <v>0</v>
      </c>
      <c r="V127" s="361">
        <v>-30000</v>
      </c>
      <c r="W127" s="361">
        <v>-7000</v>
      </c>
      <c r="X127" s="361">
        <v>-20000</v>
      </c>
      <c r="Y127" s="361">
        <v>0</v>
      </c>
      <c r="Z127" s="264">
        <v>-2250</v>
      </c>
      <c r="AA127" s="423"/>
      <c r="AB127" s="273">
        <f>SUM(OPX_LE3!$T129:$AA129)</f>
        <v>-108341.774</v>
      </c>
      <c r="AC127" s="426">
        <f t="shared" si="1"/>
        <v>-11500</v>
      </c>
      <c r="AD127" s="426"/>
      <c r="AE127" s="417">
        <v>0</v>
      </c>
      <c r="AF127" s="417">
        <v>0</v>
      </c>
      <c r="AG127" s="417">
        <v>-58000</v>
      </c>
      <c r="AH127" s="417">
        <v>0</v>
      </c>
      <c r="AI127" s="417">
        <v>-7500</v>
      </c>
      <c r="AJ127" s="317">
        <f>SUM(OPX_LE3!$AC129:$AI129)</f>
        <v>-5071.72</v>
      </c>
      <c r="AK127" s="424">
        <v>0</v>
      </c>
      <c r="AL127" s="276">
        <f>SUM(OPX_LE3!$J129,OPX_LE3!$AB129,OPX_LE3!$S129,OPX_LE3!$AJ129,OPX_LE3!$R129,OPX_LE3!$AK129)</f>
        <v>-514876.49399999995</v>
      </c>
      <c r="AM127" s="427">
        <v>0</v>
      </c>
    </row>
    <row r="128" spans="1:39" ht="15" hidden="1">
      <c r="A128" s="244" t="s">
        <v>595</v>
      </c>
      <c r="B128" s="232" t="str">
        <f>VLOOKUP(OPX_LE3!$A130,Tableau106[],3,FALSE)</f>
        <v>A935</v>
      </c>
      <c r="C128" s="232" t="str">
        <f>VLOOKUP(OPX_LE3!$A130,Tableau106[],2,FALSE)</f>
        <v>FR34E84E</v>
      </c>
      <c r="D128" s="232" t="str">
        <f>VLOOKUP(OPX_LE3!$A130,Tableau106[],8,FALSE)</f>
        <v>EOLIEN</v>
      </c>
      <c r="E128" s="233">
        <f>VLOOKUP(OPX_LE3!$A130,Tableau106[],4,FALSE)</f>
        <v>6</v>
      </c>
      <c r="F128" s="232" t="str">
        <f>VLOOKUP(OPX_LE3!$A130,Tableau106[],5,FALSE)</f>
        <v>PEMO</v>
      </c>
      <c r="G128" s="232" t="str">
        <f>VLOOKUP(OPX_LE3!$A130,Tableau106[],7,FALSE)</f>
        <v>FUTUREN</v>
      </c>
      <c r="H128" s="232" t="str">
        <f>VLOOKUP(OPX_LE3!$A130,Tableau106[],6,FALSE)</f>
        <v>S</v>
      </c>
      <c r="I128" s="232" t="str">
        <f>VLOOKUP(OPX_LE3!$A130,Tableau106[],9,FALSE)</f>
        <v>KéD</v>
      </c>
      <c r="J128" s="254">
        <v>-189061</v>
      </c>
      <c r="K128" s="228"/>
      <c r="L128" s="228"/>
      <c r="M128" s="229">
        <f>+VLOOKUP(Tableau163[[#This Row],[CODE PI]],Tableau15[[CODE PI]:[Prestations diverses  &amp; accompagnements interne (1,6 k€ par jour d''acc)]],8,FALSE)</f>
        <v>0</v>
      </c>
      <c r="N128" s="229">
        <f>+VLOOKUP(Tableau163[[#This Row],[CODE PI]],Tableau15[[CODE PI]:[Prestations diverses  &amp; accompagnements interne (1,6 k€ par jour d''acc)]],9,FALSE)</f>
        <v>0</v>
      </c>
      <c r="O128" s="229">
        <f>+VLOOKUP(Tableau163[[#This Row],[CODE PI]],Tableau15[[CODE PI]:[Prestations diverses  &amp; accompagnements interne (1,6 k€ par jour d''acc)]],10,FALSE)</f>
        <v>0</v>
      </c>
      <c r="P128" s="229">
        <f>+VLOOKUP(Tableau163[[#This Row],[CODE PI]],Tableau15[[CODE PI]:[Prestations diverses  &amp; accompagnements interne (1,6 k€ par jour d''acc)]],11,FALSE)</f>
        <v>-2100</v>
      </c>
      <c r="Q128" s="230">
        <f>-250*OPX_LE3!$E130</f>
        <v>-1500</v>
      </c>
      <c r="R128" s="311">
        <f>SUM(OPX_LE3!$K130:$Q130)</f>
        <v>-47410</v>
      </c>
      <c r="S128" s="337">
        <v>0</v>
      </c>
      <c r="T128" s="361">
        <v>0</v>
      </c>
      <c r="U128" s="362">
        <v>0</v>
      </c>
      <c r="V128" s="361">
        <f>-(5000)</f>
        <v>-5000</v>
      </c>
      <c r="W128" s="361">
        <v>0</v>
      </c>
      <c r="X128" s="361">
        <v>-3000</v>
      </c>
      <c r="Y128" s="361">
        <v>0</v>
      </c>
      <c r="Z128" s="264">
        <v>-1500</v>
      </c>
      <c r="AA128" s="423"/>
      <c r="AB128" s="273">
        <f>SUM(OPX_LE3!$T130:$AA130)</f>
        <v>-14500</v>
      </c>
      <c r="AC128" s="231">
        <f>-((6184*3)+1500)</f>
        <v>-20052</v>
      </c>
      <c r="AD128" s="426"/>
      <c r="AE128" s="417">
        <v>-2190</v>
      </c>
      <c r="AF128" s="417">
        <v>0</v>
      </c>
      <c r="AG128" s="417">
        <v>-15160.5</v>
      </c>
      <c r="AH128" s="417"/>
      <c r="AI128" s="417">
        <v>-10390</v>
      </c>
      <c r="AJ128" s="317">
        <f>SUM(OPX_LE3!$AC130:$AI130)</f>
        <v>-47792.5</v>
      </c>
      <c r="AK128" s="424">
        <v>0</v>
      </c>
      <c r="AL128" s="276">
        <f>SUM(OPX_LE3!$J130,OPX_LE3!$AB130,OPX_LE3!$S130,OPX_LE3!$AJ130,OPX_LE3!$R130,OPX_LE3!$AK130)</f>
        <v>-298763.5</v>
      </c>
      <c r="AM128" s="427">
        <v>0</v>
      </c>
    </row>
    <row r="129" spans="1:39" ht="15" hidden="1">
      <c r="A129" s="325" t="s">
        <v>562</v>
      </c>
      <c r="B129" s="322" t="str">
        <f>VLOOKUP(OPX_LE3!$A131,Tableau106[],3,FALSE)</f>
        <v>A166</v>
      </c>
      <c r="C129" s="322" t="str">
        <f>VLOOKUP(OPX_LE3!$A131,Tableau106[],2,FALSE)</f>
        <v>FR97S86E</v>
      </c>
      <c r="D129" s="322" t="str">
        <f>VLOOKUP(OPX_LE3!$A131,Tableau106[],8,FALSE)</f>
        <v>SOLAIRE DOM</v>
      </c>
      <c r="E129" s="324">
        <f>VLOOKUP(OPX_LE3!$A131,Tableau106[],4,FALSE)</f>
        <v>3.456</v>
      </c>
      <c r="F129" s="322" t="str">
        <f>VLOOKUP(OPX_LE3!$A131,Tableau106[],5,FALSE)</f>
        <v>PIER</v>
      </c>
      <c r="G129" s="322" t="str">
        <f>VLOOKUP(OPX_LE3!$A131,Tableau106[],7,FALSE)</f>
        <v>GROUPE</v>
      </c>
      <c r="H129" s="322" t="str">
        <f>VLOOKUP(OPX_LE3!$A131,Tableau106[],6,FALSE)</f>
        <v>DOM</v>
      </c>
      <c r="I129" s="322" t="str">
        <f>VLOOKUP(OPX_LE3!$A131,Tableau106[],9,FALSE)</f>
        <v>BéK</v>
      </c>
      <c r="J129" s="254">
        <v>0</v>
      </c>
      <c r="K129" s="228"/>
      <c r="L129" s="228"/>
      <c r="M129" s="229">
        <f>+VLOOKUP(Tableau163[[#This Row],[CODE PI]],Tableau15[[CODE PI]:[Prestations diverses  &amp; accompagnements interne (1,6 k€ par jour d''acc)]],8,FALSE)</f>
        <v>0</v>
      </c>
      <c r="N129" s="229">
        <f>+VLOOKUP(Tableau163[[#This Row],[CODE PI]],Tableau15[[CODE PI]:[Prestations diverses  &amp; accompagnements interne (1,6 k€ par jour d''acc)]],9,FALSE)</f>
        <v>0</v>
      </c>
      <c r="O129" s="229">
        <f>+VLOOKUP(Tableau163[[#This Row],[CODE PI]],Tableau15[[CODE PI]:[Prestations diverses  &amp; accompagnements interne (1,6 k€ par jour d''acc)]],10,FALSE)</f>
        <v>0</v>
      </c>
      <c r="P129" s="229">
        <f>+VLOOKUP(Tableau163[[#This Row],[CODE PI]],Tableau15[[CODE PI]:[Prestations diverses  &amp; accompagnements interne (1,6 k€ par jour d''acc)]],11,FALSE)</f>
        <v>0</v>
      </c>
      <c r="Q129" s="230">
        <f>-250*OPX_LE3!$E131</f>
        <v>-864</v>
      </c>
      <c r="R129" s="311">
        <f>SUM(OPX_LE3!$K131:$Q131)</f>
        <v>-864</v>
      </c>
      <c r="S129" s="337">
        <v>-229321</v>
      </c>
      <c r="T129" s="361">
        <v>0</v>
      </c>
      <c r="U129" s="362">
        <v>0</v>
      </c>
      <c r="V129" s="361">
        <v>0</v>
      </c>
      <c r="W129" s="361">
        <v>-500</v>
      </c>
      <c r="X129" s="361">
        <v>0</v>
      </c>
      <c r="Y129" s="361">
        <v>0</v>
      </c>
      <c r="Z129" s="264">
        <v>-864</v>
      </c>
      <c r="AA129" s="423"/>
      <c r="AB129" s="273">
        <f>SUM(OPX_LE3!$T131:$AA131)</f>
        <v>-24800</v>
      </c>
      <c r="AC129" s="426">
        <f t="shared" si="1"/>
        <v>-11500</v>
      </c>
      <c r="AD129" s="426"/>
      <c r="AE129" s="417">
        <v>0</v>
      </c>
      <c r="AF129" s="417">
        <v>0</v>
      </c>
      <c r="AG129" s="417">
        <v>0</v>
      </c>
      <c r="AH129" s="417">
        <v>0</v>
      </c>
      <c r="AI129" s="417">
        <v>0</v>
      </c>
      <c r="AJ129" s="317">
        <f>SUM(OPX_LE3!$AC131:$AI131)</f>
        <v>0</v>
      </c>
      <c r="AK129" s="424">
        <v>0</v>
      </c>
      <c r="AL129" s="276">
        <f>SUM(OPX_LE3!$J131,OPX_LE3!$AB131,OPX_LE3!$S131,OPX_LE3!$AJ131,OPX_LE3!$R131,OPX_LE3!$AK131)</f>
        <v>-254985</v>
      </c>
      <c r="AM129" s="427">
        <v>0</v>
      </c>
    </row>
    <row r="130" spans="1:39" ht="15" hidden="1">
      <c r="A130" s="244" t="s">
        <v>556</v>
      </c>
      <c r="B130" s="232" t="str">
        <f>VLOOKUP(OPX_LE3!$A132,Tableau106[],3,FALSE)</f>
        <v>A160</v>
      </c>
      <c r="C130" s="232" t="str">
        <f>VLOOKUP(OPX_LE3!$A132,Tableau106[],2,FALSE)</f>
        <v>FR11E85E</v>
      </c>
      <c r="D130" s="232" t="str">
        <f>VLOOKUP(OPX_LE3!$A132,Tableau106[],8,FALSE)</f>
        <v>EOLIEN</v>
      </c>
      <c r="E130" s="233">
        <f>VLOOKUP(OPX_LE3!$A132,Tableau106[],4,FALSE)</f>
        <v>11.5</v>
      </c>
      <c r="F130" s="232" t="str">
        <f>VLOOKUP(OPX_LE3!$A132,Tableau106[],5,FALSE)</f>
        <v>LUC2</v>
      </c>
      <c r="G130" s="232" t="str">
        <f>VLOOKUP(OPX_LE3!$A132,Tableau106[],7,FALSE)</f>
        <v>FUTUREN</v>
      </c>
      <c r="H130" s="232" t="str">
        <f>VLOOKUP(OPX_LE3!$A132,Tableau106[],6,FALSE)</f>
        <v>S</v>
      </c>
      <c r="I130" s="232" t="str">
        <f>VLOOKUP(OPX_LE3!$A132,Tableau106[],9,FALSE)</f>
        <v>StE</v>
      </c>
      <c r="J130" s="254">
        <v>-11129</v>
      </c>
      <c r="K130" s="228"/>
      <c r="L130" s="228"/>
      <c r="M130" s="229">
        <f>+VLOOKUP(Tableau163[[#This Row],[CODE PI]],Tableau15[[CODE PI]:[Prestations diverses  &amp; accompagnements interne (1,6 k€ par jour d''acc)]],8,FALSE)</f>
        <v>0</v>
      </c>
      <c r="N130" s="229">
        <f>+VLOOKUP(Tableau163[[#This Row],[CODE PI]],Tableau15[[CODE PI]:[Prestations diverses  &amp; accompagnements interne (1,6 k€ par jour d''acc)]],9,FALSE)</f>
        <v>0</v>
      </c>
      <c r="O130" s="229">
        <f>+VLOOKUP(Tableau163[[#This Row],[CODE PI]],Tableau15[[CODE PI]:[Prestations diverses  &amp; accompagnements interne (1,6 k€ par jour d''acc)]],10,FALSE)</f>
        <v>0</v>
      </c>
      <c r="P130" s="229">
        <f>+VLOOKUP(Tableau163[[#This Row],[CODE PI]],Tableau15[[CODE PI]:[Prestations diverses  &amp; accompagnements interne (1,6 k€ par jour d''acc)]],11,FALSE)</f>
        <v>-4025</v>
      </c>
      <c r="Q130" s="230">
        <f>-250*OPX_LE3!$E132</f>
        <v>-2875</v>
      </c>
      <c r="R130" s="311">
        <f>SUM(OPX_LE3!$K132:$Q132)</f>
        <v>-10985</v>
      </c>
      <c r="S130" s="337">
        <v>-377504</v>
      </c>
      <c r="T130" s="361">
        <v>0</v>
      </c>
      <c r="U130" s="362">
        <v>0</v>
      </c>
      <c r="V130" s="361">
        <v>-5000</v>
      </c>
      <c r="W130" s="361">
        <v>-6000</v>
      </c>
      <c r="X130" s="361">
        <v>0</v>
      </c>
      <c r="Y130" s="361">
        <v>0</v>
      </c>
      <c r="Z130" s="264">
        <v>-2875</v>
      </c>
      <c r="AA130" s="423"/>
      <c r="AB130" s="273">
        <f>SUM(OPX_LE3!$T132:$AA132)</f>
        <v>-23625</v>
      </c>
      <c r="AC130" s="426">
        <f t="shared" si="1"/>
        <v>-11500</v>
      </c>
      <c r="AD130" s="426"/>
      <c r="AE130" s="417">
        <v>0</v>
      </c>
      <c r="AF130" s="417">
        <v>0</v>
      </c>
      <c r="AG130" s="417">
        <v>0</v>
      </c>
      <c r="AH130" s="417">
        <v>0</v>
      </c>
      <c r="AI130" s="417">
        <v>-3500</v>
      </c>
      <c r="AJ130" s="317">
        <f>SUM(OPX_LE3!$AC132:$AI132)</f>
        <v>-8571.7200000000012</v>
      </c>
      <c r="AK130" s="424">
        <v>0</v>
      </c>
      <c r="AL130" s="276">
        <f>SUM(OPX_LE3!$J132,OPX_LE3!$AB132,OPX_LE3!$S132,OPX_LE3!$AJ132,OPX_LE3!$R132,OPX_LE3!$AK132)</f>
        <v>-427375.72</v>
      </c>
      <c r="AM130" s="427">
        <v>0</v>
      </c>
    </row>
    <row r="131" spans="1:39" ht="15" hidden="1">
      <c r="A131" s="325" t="s">
        <v>512</v>
      </c>
      <c r="B131" s="322" t="str">
        <f>VLOOKUP(OPX_LE3!$A133,Tableau106[],3,FALSE)</f>
        <v>A551</v>
      </c>
      <c r="C131" s="322" t="str">
        <f>VLOOKUP(OPX_LE3!$A133,Tableau106[],2,FALSE)</f>
        <v>FR59E02E</v>
      </c>
      <c r="D131" s="322" t="str">
        <f>VLOOKUP(OPX_LE3!$A133,Tableau106[],8,FALSE)</f>
        <v>EOLIEN</v>
      </c>
      <c r="E131" s="324">
        <f>VLOOKUP(OPX_LE3!$A133,Tableau106[],4,FALSE)</f>
        <v>12</v>
      </c>
      <c r="F131" s="322" t="str">
        <f>VLOOKUP(OPX_LE3!$A133,Tableau106[],5,FALSE)</f>
        <v>PLES</v>
      </c>
      <c r="G131" s="322" t="str">
        <f>VLOOKUP(OPX_LE3!$A133,Tableau106[],7,FALSE)</f>
        <v>ENDF</v>
      </c>
      <c r="H131" s="322" t="str">
        <f>VLOOKUP(OPX_LE3!$A133,Tableau106[],6,FALSE)</f>
        <v>N</v>
      </c>
      <c r="I131" s="322" t="str">
        <f>VLOOKUP(OPX_LE3!$A133,Tableau106[],9,FALSE)</f>
        <v>AnN</v>
      </c>
      <c r="J131" s="254">
        <v>0</v>
      </c>
      <c r="K131" s="228"/>
      <c r="L131" s="228"/>
      <c r="M131" s="229">
        <f>+VLOOKUP(Tableau163[[#This Row],[CODE PI]],Tableau15[[CODE PI]:[Prestations diverses  &amp; accompagnements interne (1,6 k€ par jour d''acc)]],8,FALSE)</f>
        <v>0</v>
      </c>
      <c r="N131" s="229">
        <f>+VLOOKUP(Tableau163[[#This Row],[CODE PI]],Tableau15[[CODE PI]:[Prestations diverses  &amp; accompagnements interne (1,6 k€ par jour d''acc)]],9,FALSE)</f>
        <v>0</v>
      </c>
      <c r="O131" s="229">
        <f>+VLOOKUP(Tableau163[[#This Row],[CODE PI]],Tableau15[[CODE PI]:[Prestations diverses  &amp; accompagnements interne (1,6 k€ par jour d''acc)]],10,FALSE)</f>
        <v>0</v>
      </c>
      <c r="P131" s="229">
        <f>+VLOOKUP(Tableau163[[#This Row],[CODE PI]],Tableau15[[CODE PI]:[Prestations diverses  &amp; accompagnements interne (1,6 k€ par jour d''acc)]],11,FALSE)</f>
        <v>0</v>
      </c>
      <c r="Q131" s="230">
        <f>-250*OPX_LE3!$E133</f>
        <v>-3000</v>
      </c>
      <c r="R131" s="311">
        <f>SUM(OPX_LE3!$K133:$Q133)</f>
        <v>-3000</v>
      </c>
      <c r="S131" s="337">
        <v>-384247</v>
      </c>
      <c r="T131" s="361">
        <v>-1500</v>
      </c>
      <c r="U131" s="362">
        <v>0</v>
      </c>
      <c r="V131" s="361">
        <f>-4000-2776-3932-875</f>
        <v>-11583</v>
      </c>
      <c r="W131" s="361">
        <f>-2400</f>
        <v>-2400</v>
      </c>
      <c r="X131" s="361">
        <v>0</v>
      </c>
      <c r="Y131" s="361">
        <v>-717</v>
      </c>
      <c r="Z131" s="264">
        <v>-3000</v>
      </c>
      <c r="AA131" s="423"/>
      <c r="AB131" s="273">
        <f>SUM(OPX_LE3!$T133:$AA133)</f>
        <v>-22598.81</v>
      </c>
      <c r="AC131" s="426">
        <f t="shared" si="1"/>
        <v>-11500</v>
      </c>
      <c r="AD131" s="426"/>
      <c r="AE131" s="417">
        <v>0</v>
      </c>
      <c r="AF131" s="417">
        <v>0</v>
      </c>
      <c r="AG131" s="417">
        <v>0</v>
      </c>
      <c r="AH131" s="417">
        <v>0</v>
      </c>
      <c r="AI131" s="417">
        <v>0</v>
      </c>
      <c r="AJ131" s="317">
        <f>SUM(OPX_LE3!$AC133:$AI133)</f>
        <v>0</v>
      </c>
      <c r="AK131" s="424">
        <v>0</v>
      </c>
      <c r="AL131" s="276">
        <f>SUM(OPX_LE3!$J133,OPX_LE3!$AB133,OPX_LE3!$S133,OPX_LE3!$AJ133,OPX_LE3!$R133,OPX_LE3!$AK133)</f>
        <v>-414112.49</v>
      </c>
      <c r="AM131" s="427">
        <v>-10000</v>
      </c>
    </row>
    <row r="132" spans="1:39" ht="15">
      <c r="A132" s="244" t="s">
        <v>456</v>
      </c>
      <c r="B132" s="232" t="str">
        <f>VLOOKUP(OPX_LE3!$A134,Tableau106[],3,FALSE)</f>
        <v>F150</v>
      </c>
      <c r="C132" s="232" t="str">
        <f>VLOOKUP(OPX_LE3!$A134,Tableau106[],2,FALSE)</f>
        <v>FR22E04E</v>
      </c>
      <c r="D132" s="232" t="str">
        <f>VLOOKUP(OPX_LE3!$A134,Tableau106[],8,FALSE)</f>
        <v>EOLIEN</v>
      </c>
      <c r="E132" s="233">
        <f>VLOOKUP(OPX_LE3!$A134,Tableau106[],4,FALSE)</f>
        <v>6.9</v>
      </c>
      <c r="F132" s="232" t="str">
        <f>VLOOKUP(OPX_LE3!$A134,Tableau106[],5,FALSE)</f>
        <v>PLAT</v>
      </c>
      <c r="G132" s="232" t="str">
        <f>VLOOKUP(OPX_LE3!$A134,Tableau106[],7,FALSE)</f>
        <v>FUTUREN</v>
      </c>
      <c r="H132" s="232" t="str">
        <f>VLOOKUP(OPX_LE3!$A134,Tableau106[],6,FALSE)</f>
        <v>N</v>
      </c>
      <c r="I132" s="232" t="str">
        <f>VLOOKUP(OPX_LE3!$A134,Tableau106[],9,FALSE)</f>
        <v>AlY</v>
      </c>
      <c r="J132" s="254">
        <v>-9982</v>
      </c>
      <c r="K132" s="228"/>
      <c r="L132" s="228"/>
      <c r="M132" s="229">
        <f>+VLOOKUP(Tableau163[[#This Row],[CODE PI]],Tableau15[[CODE PI]:[Prestations diverses  &amp; accompagnements interne (1,6 k€ par jour d''acc)]],8,FALSE)</f>
        <v>0</v>
      </c>
      <c r="N132" s="229">
        <v>-3600</v>
      </c>
      <c r="O132" s="229">
        <f>+VLOOKUP(Tableau163[[#This Row],[CODE PI]],Tableau15[[CODE PI]:[Prestations diverses  &amp; accompagnements interne (1,6 k€ par jour d''acc)]],10,FALSE)</f>
        <v>0</v>
      </c>
      <c r="P132" s="229">
        <f>+VLOOKUP(Tableau163[[#This Row],[CODE PI]],Tableau15[[CODE PI]:[Prestations diverses  &amp; accompagnements interne (1,6 k€ par jour d''acc)]],11,FALSE)</f>
        <v>0</v>
      </c>
      <c r="Q132" s="230">
        <f>-250*OPX_LE3!$E134</f>
        <v>-1725</v>
      </c>
      <c r="R132" s="311">
        <f>SUM(OPX_LE3!$K134:$Q134)</f>
        <v>-5094</v>
      </c>
      <c r="S132" s="337">
        <v>-254944</v>
      </c>
      <c r="T132" s="361">
        <v>0</v>
      </c>
      <c r="U132" s="362">
        <v>0</v>
      </c>
      <c r="V132" s="361">
        <v>0</v>
      </c>
      <c r="W132" s="361">
        <v>0</v>
      </c>
      <c r="X132" s="361">
        <v>0</v>
      </c>
      <c r="Y132" s="361">
        <v>0</v>
      </c>
      <c r="Z132" s="264">
        <v>-1725</v>
      </c>
      <c r="AA132" s="423"/>
      <c r="AB132" s="273">
        <f>SUM(OPX_LE3!$T134:$AA134)</f>
        <v>-32325</v>
      </c>
      <c r="AC132" s="426">
        <f t="shared" si="1"/>
        <v>-11500</v>
      </c>
      <c r="AD132" s="426"/>
      <c r="AE132" s="417">
        <v>0</v>
      </c>
      <c r="AF132" s="417">
        <v>0</v>
      </c>
      <c r="AG132" s="417">
        <v>0</v>
      </c>
      <c r="AH132" s="417">
        <v>0</v>
      </c>
      <c r="AI132" s="417">
        <v>0</v>
      </c>
      <c r="AJ132" s="317">
        <f>SUM(OPX_LE3!$AC134:$AI134)</f>
        <v>0</v>
      </c>
      <c r="AK132" s="424">
        <v>0</v>
      </c>
      <c r="AL132" s="276">
        <f>SUM(OPX_LE3!$J134,OPX_LE3!$AB134,OPX_LE3!$S134,OPX_LE3!$AJ134,OPX_LE3!$R134,OPX_LE3!$AK134)</f>
        <v>-303311</v>
      </c>
      <c r="AM132" s="427">
        <v>0</v>
      </c>
    </row>
    <row r="133" spans="1:39" ht="15" hidden="1">
      <c r="A133" s="325" t="s">
        <v>521</v>
      </c>
      <c r="B133" s="322" t="str">
        <f>VLOOKUP(OPX_LE3!$A135,Tableau106[],3,FALSE)</f>
        <v>A552</v>
      </c>
      <c r="C133" s="322" t="str">
        <f>VLOOKUP(OPX_LE3!$A135,Tableau106[],2,FALSE)</f>
        <v>FR02E07E</v>
      </c>
      <c r="D133" s="322" t="str">
        <f>VLOOKUP(OPX_LE3!$A135,Tableau106[],8,FALSE)</f>
        <v>EOLIEN</v>
      </c>
      <c r="E133" s="324">
        <f>VLOOKUP(OPX_LE3!$A135,Tableau106[],4,FALSE)</f>
        <v>21</v>
      </c>
      <c r="F133" s="322" t="str">
        <f>VLOOKUP(OPX_LE3!$A135,Tableau106[],5,FALSE)</f>
        <v>PLAN</v>
      </c>
      <c r="G133" s="322" t="str">
        <f>VLOOKUP(OPX_LE3!$A135,Tableau106[],7,FALSE)</f>
        <v>ENDF</v>
      </c>
      <c r="H133" s="322" t="str">
        <f>VLOOKUP(OPX_LE3!$A135,Tableau106[],6,FALSE)</f>
        <v>N</v>
      </c>
      <c r="I133" s="322" t="str">
        <f>VLOOKUP(OPX_LE3!$A135,Tableau106[],9,FALSE)</f>
        <v>BoK</v>
      </c>
      <c r="J133" s="254">
        <v>0</v>
      </c>
      <c r="K133" s="228"/>
      <c r="L133" s="228"/>
      <c r="M133" s="229">
        <f>+VLOOKUP(Tableau163[[#This Row],[CODE PI]],Tableau15[[CODE PI]:[Prestations diverses  &amp; accompagnements interne (1,6 k€ par jour d''acc)]],8,FALSE)</f>
        <v>0</v>
      </c>
      <c r="N133" s="229">
        <f>+VLOOKUP(Tableau163[[#This Row],[CODE PI]],Tableau15[[CODE PI]:[Prestations diverses  &amp; accompagnements interne (1,6 k€ par jour d''acc)]],9,FALSE)</f>
        <v>0</v>
      </c>
      <c r="O133" s="229">
        <f>+VLOOKUP(Tableau163[[#This Row],[CODE PI]],Tableau15[[CODE PI]:[Prestations diverses  &amp; accompagnements interne (1,6 k€ par jour d''acc)]],10,FALSE)</f>
        <v>0</v>
      </c>
      <c r="P133" s="229">
        <f>+VLOOKUP(Tableau163[[#This Row],[CODE PI]],Tableau15[[CODE PI]:[Prestations diverses  &amp; accompagnements interne (1,6 k€ par jour d''acc)]],11,FALSE)</f>
        <v>0</v>
      </c>
      <c r="Q133" s="230">
        <f>-250*OPX_LE3!$E135</f>
        <v>-5250</v>
      </c>
      <c r="R133" s="311">
        <f>SUM(OPX_LE3!$K135:$Q135)</f>
        <v>-5250</v>
      </c>
      <c r="S133" s="337">
        <v>-674769</v>
      </c>
      <c r="T133" s="361">
        <v>0</v>
      </c>
      <c r="U133" s="362">
        <v>0</v>
      </c>
      <c r="V133" s="361">
        <v>-2000</v>
      </c>
      <c r="W133" s="361">
        <v>0</v>
      </c>
      <c r="X133" s="361">
        <v>0</v>
      </c>
      <c r="Y133" s="361">
        <v>0</v>
      </c>
      <c r="Z133" s="264">
        <v>-5250</v>
      </c>
      <c r="AA133" s="423"/>
      <c r="AB133" s="273">
        <f>SUM(OPX_LE3!$T135:$AA135)</f>
        <v>-18020</v>
      </c>
      <c r="AC133" s="426">
        <f t="shared" si="1"/>
        <v>-11500</v>
      </c>
      <c r="AD133" s="426"/>
      <c r="AE133" s="417">
        <v>0</v>
      </c>
      <c r="AF133" s="417">
        <v>0</v>
      </c>
      <c r="AG133" s="417">
        <v>0</v>
      </c>
      <c r="AH133" s="417">
        <v>0</v>
      </c>
      <c r="AI133" s="417">
        <v>0</v>
      </c>
      <c r="AJ133" s="317">
        <f>SUM(OPX_LE3!$AC135:$AI135)</f>
        <v>0</v>
      </c>
      <c r="AK133" s="424">
        <v>0</v>
      </c>
      <c r="AL133" s="276">
        <f>SUM(OPX_LE3!$J135,OPX_LE3!$AB135,OPX_LE3!$S135,OPX_LE3!$AJ135,OPX_LE3!$R135,OPX_LE3!$AK135)</f>
        <v>-698039</v>
      </c>
      <c r="AM133" s="427">
        <v>-10000</v>
      </c>
    </row>
    <row r="134" spans="1:39" ht="15" hidden="1">
      <c r="A134" s="244" t="s">
        <v>560</v>
      </c>
      <c r="B134" s="232" t="str">
        <f>VLOOKUP(OPX_LE3!$A136,Tableau106[],3,FALSE)</f>
        <v>A370</v>
      </c>
      <c r="C134" s="232" t="str">
        <f>VLOOKUP(OPX_LE3!$A136,Tableau106[],2,FALSE)</f>
        <v>FR11E94E</v>
      </c>
      <c r="D134" s="232" t="str">
        <f>VLOOKUP(OPX_LE3!$A136,Tableau106[],8,FALSE)</f>
        <v>EOLIEN</v>
      </c>
      <c r="E134" s="233">
        <f>VLOOKUP(OPX_LE3!$A136,Tableau106[],4,FALSE)</f>
        <v>9.1999999999999993</v>
      </c>
      <c r="F134" s="232" t="str">
        <f>VLOOKUP(OPX_LE3!$A136,Tableau106[],5,FALSE)</f>
        <v>PLGR</v>
      </c>
      <c r="G134" s="232" t="str">
        <f>VLOOKUP(OPX_LE3!$A136,Tableau106[],7,FALSE)</f>
        <v>GROUPE</v>
      </c>
      <c r="H134" s="232" t="str">
        <f>VLOOKUP(OPX_LE3!$A136,Tableau106[],6,FALSE)</f>
        <v>S</v>
      </c>
      <c r="I134" s="232" t="str">
        <f>VLOOKUP(OPX_LE3!$A136,Tableau106[],9,FALSE)</f>
        <v>ThC</v>
      </c>
      <c r="J134" s="254">
        <v>-10055</v>
      </c>
      <c r="K134" s="228"/>
      <c r="L134" s="228"/>
      <c r="M134" s="229">
        <f>+VLOOKUP(Tableau163[[#This Row],[CODE PI]],Tableau15[[CODE PI]:[Prestations diverses  &amp; accompagnements interne (1,6 k€ par jour d''acc)]],8,FALSE)</f>
        <v>0</v>
      </c>
      <c r="N134" s="229">
        <f>+VLOOKUP(Tableau163[[#This Row],[CODE PI]],Tableau15[[CODE PI]:[Prestations diverses  &amp; accompagnements interne (1,6 k€ par jour d''acc)]],9,FALSE)</f>
        <v>0</v>
      </c>
      <c r="O134" s="229">
        <f>+VLOOKUP(Tableau163[[#This Row],[CODE PI]],Tableau15[[CODE PI]:[Prestations diverses  &amp; accompagnements interne (1,6 k€ par jour d''acc)]],10,FALSE)</f>
        <v>0</v>
      </c>
      <c r="P134" s="229">
        <f>+VLOOKUP(Tableau163[[#This Row],[CODE PI]],Tableau15[[CODE PI]:[Prestations diverses  &amp; accompagnements interne (1,6 k€ par jour d''acc)]],11,FALSE)</f>
        <v>-3220</v>
      </c>
      <c r="Q134" s="230">
        <f>-250*OPX_LE3!$E136</f>
        <v>-2300</v>
      </c>
      <c r="R134" s="311">
        <f>SUM(OPX_LE3!$K136:$Q136)</f>
        <v>-15150</v>
      </c>
      <c r="S134" s="337">
        <v>-328476</v>
      </c>
      <c r="T134" s="361">
        <v>0</v>
      </c>
      <c r="U134" s="362">
        <v>0</v>
      </c>
      <c r="V134" s="361">
        <v>-4000</v>
      </c>
      <c r="W134" s="361">
        <v>-5000</v>
      </c>
      <c r="X134" s="361">
        <v>0</v>
      </c>
      <c r="Y134" s="361">
        <v>0</v>
      </c>
      <c r="Z134" s="264">
        <v>-2300</v>
      </c>
      <c r="AA134" s="423"/>
      <c r="AB134" s="273">
        <f>SUM(OPX_LE3!$T136:$AA136)</f>
        <v>-22400</v>
      </c>
      <c r="AC134" s="426">
        <f t="shared" si="1"/>
        <v>-11500</v>
      </c>
      <c r="AD134" s="426"/>
      <c r="AE134" s="417">
        <v>0</v>
      </c>
      <c r="AF134" s="417">
        <v>0</v>
      </c>
      <c r="AG134" s="417">
        <v>-6000</v>
      </c>
      <c r="AH134" s="417">
        <v>0</v>
      </c>
      <c r="AI134" s="417">
        <v>-10000</v>
      </c>
      <c r="AJ134" s="317">
        <f>SUM(OPX_LE3!$AC136:$AI136)</f>
        <v>-40197</v>
      </c>
      <c r="AK134" s="424">
        <v>0</v>
      </c>
      <c r="AL134" s="276">
        <f>SUM(OPX_LE3!$J136,OPX_LE3!$AB136,OPX_LE3!$S136,OPX_LE3!$AJ136,OPX_LE3!$R136,OPX_LE3!$AK136)</f>
        <v>-416063</v>
      </c>
      <c r="AM134" s="427">
        <v>0</v>
      </c>
    </row>
    <row r="135" spans="1:39" ht="15" hidden="1">
      <c r="A135" s="325" t="s">
        <v>566</v>
      </c>
      <c r="B135" s="322" t="str">
        <f>VLOOKUP(OPX_LE3!$A137,Tableau106[],3,FALSE)</f>
        <v>A545</v>
      </c>
      <c r="C135" s="322" t="str">
        <f>VLOOKUP(OPX_LE3!$A137,Tableau106[],2,FALSE)</f>
        <v>FR56E05E</v>
      </c>
      <c r="D135" s="322" t="str">
        <f>VLOOKUP(OPX_LE3!$A137,Tableau106[],8,FALSE)</f>
        <v>EOLIEN</v>
      </c>
      <c r="E135" s="324">
        <f>VLOOKUP(OPX_LE3!$A137,Tableau106[],4,FALSE)</f>
        <v>10</v>
      </c>
      <c r="F135" s="322" t="str">
        <f>VLOOKUP(OPX_LE3!$A137,Tableau106[],5,FALSE)</f>
        <v>PLEU</v>
      </c>
      <c r="G135" s="322" t="str">
        <f>VLOOKUP(OPX_LE3!$A137,Tableau106[],7,FALSE)</f>
        <v>EGM</v>
      </c>
      <c r="H135" s="322" t="str">
        <f>VLOOKUP(OPX_LE3!$A137,Tableau106[],6,FALSE)</f>
        <v>N</v>
      </c>
      <c r="I135" s="322" t="str">
        <f>VLOOKUP(OPX_LE3!$A137,Tableau106[],9,FALSE)</f>
        <v>MaA</v>
      </c>
      <c r="J135" s="254">
        <v>-258123</v>
      </c>
      <c r="K135" s="228"/>
      <c r="L135" s="228"/>
      <c r="M135" s="229">
        <f>+VLOOKUP(Tableau163[[#This Row],[CODE PI]],Tableau15[[CODE PI]:[Prestations diverses  &amp; accompagnements interne (1,6 k€ par jour d''acc)]],8,FALSE)</f>
        <v>0</v>
      </c>
      <c r="N135" s="229">
        <f>+VLOOKUP(Tableau163[[#This Row],[CODE PI]],Tableau15[[CODE PI]:[Prestations diverses  &amp; accompagnements interne (1,6 k€ par jour d''acc)]],9,FALSE)</f>
        <v>0</v>
      </c>
      <c r="O135" s="229">
        <f>+VLOOKUP(Tableau163[[#This Row],[CODE PI]],Tableau15[[CODE PI]:[Prestations diverses  &amp; accompagnements interne (1,6 k€ par jour d''acc)]],10,FALSE)</f>
        <v>0</v>
      </c>
      <c r="P135" s="229">
        <f>+VLOOKUP(Tableau163[[#This Row],[CODE PI]],Tableau15[[CODE PI]:[Prestations diverses  &amp; accompagnements interne (1,6 k€ par jour d''acc)]],11,FALSE)</f>
        <v>-3500</v>
      </c>
      <c r="Q135" s="230">
        <f>-250*OPX_LE3!$E137</f>
        <v>-2500</v>
      </c>
      <c r="R135" s="311">
        <f>SUM(OPX_LE3!$K137:$Q137)</f>
        <v>-197500</v>
      </c>
      <c r="S135" s="337">
        <v>0</v>
      </c>
      <c r="T135" s="361">
        <v>0</v>
      </c>
      <c r="U135" s="362">
        <v>0</v>
      </c>
      <c r="V135" s="361">
        <v>-2000</v>
      </c>
      <c r="W135" s="361">
        <v>0</v>
      </c>
      <c r="X135" s="361">
        <v>0</v>
      </c>
      <c r="Y135" s="361">
        <v>0</v>
      </c>
      <c r="Z135" s="264">
        <v>-2500</v>
      </c>
      <c r="AA135" s="423"/>
      <c r="AB135" s="273">
        <f>SUM(OPX_LE3!$T137:$AA137)</f>
        <v>-6041</v>
      </c>
      <c r="AC135" s="426">
        <f t="shared" ref="AC135:AC194" si="2">-((46000/8*4)/2)</f>
        <v>-11500</v>
      </c>
      <c r="AD135" s="426"/>
      <c r="AE135" s="417">
        <v>0</v>
      </c>
      <c r="AF135" s="417">
        <v>0</v>
      </c>
      <c r="AG135" s="417">
        <v>0</v>
      </c>
      <c r="AH135" s="417">
        <v>0</v>
      </c>
      <c r="AI135" s="417">
        <v>0</v>
      </c>
      <c r="AJ135" s="317">
        <f>SUM(OPX_LE3!$AC137:$AI137)</f>
        <v>0</v>
      </c>
      <c r="AK135" s="424">
        <v>0</v>
      </c>
      <c r="AL135" s="276">
        <f>SUM(OPX_LE3!$J137,OPX_LE3!$AB137,OPX_LE3!$S137,OPX_LE3!$AJ137,OPX_LE3!$R137,OPX_LE3!$AK137)</f>
        <v>-479523</v>
      </c>
      <c r="AM135" s="427">
        <v>0</v>
      </c>
    </row>
    <row r="136" spans="1:39" ht="15" hidden="1">
      <c r="A136" s="244" t="s">
        <v>195</v>
      </c>
      <c r="B136" s="232" t="str">
        <f>VLOOKUP(OPX_LE3!$A138,Tableau106[],3,FALSE)</f>
        <v>F034</v>
      </c>
      <c r="C136" s="232" t="str">
        <f>VLOOKUP(OPX_LE3!$A138,Tableau106[],2,FALSE)</f>
        <v>FR12E94E</v>
      </c>
      <c r="D136" s="232" t="str">
        <f>VLOOKUP(OPX_LE3!$A138,Tableau106[],8,FALSE)</f>
        <v>EOLIEN</v>
      </c>
      <c r="E136" s="233">
        <f>VLOOKUP(OPX_LE3!$A138,Tableau106[],4,FALSE)</f>
        <v>11.5</v>
      </c>
      <c r="F136" s="232" t="str">
        <f>VLOOKUP(OPX_LE3!$A138,Tableau106[],5,FALSE)</f>
        <v>PLOS</v>
      </c>
      <c r="G136" s="232" t="str">
        <f>VLOOKUP(OPX_LE3!$A138,Tableau106[],7,FALSE)</f>
        <v>FUTUREN</v>
      </c>
      <c r="H136" s="232" t="str">
        <f>VLOOKUP(OPX_LE3!$A138,Tableau106[],6,FALSE)</f>
        <v>S</v>
      </c>
      <c r="I136" s="232" t="str">
        <f>VLOOKUP(OPX_LE3!$A138,Tableau106[],9,FALSE)</f>
        <v>OdP</v>
      </c>
      <c r="J136" s="254">
        <v>-6213</v>
      </c>
      <c r="K136" s="228"/>
      <c r="L136" s="228"/>
      <c r="M136" s="229">
        <f>+VLOOKUP(Tableau163[[#This Row],[CODE PI]],Tableau15[[CODE PI]:[Prestations diverses  &amp; accompagnements interne (1,6 k€ par jour d''acc)]],8,FALSE)</f>
        <v>0</v>
      </c>
      <c r="N136" s="229">
        <f>+VLOOKUP(Tableau163[[#This Row],[CODE PI]],Tableau15[[CODE PI]:[Prestations diverses  &amp; accompagnements interne (1,6 k€ par jour d''acc)]],9,FALSE)</f>
        <v>0</v>
      </c>
      <c r="O136" s="229">
        <f>+VLOOKUP(Tableau163[[#This Row],[CODE PI]],Tableau15[[CODE PI]:[Prestations diverses  &amp; accompagnements interne (1,6 k€ par jour d''acc)]],10,FALSE)</f>
        <v>0</v>
      </c>
      <c r="P136" s="229">
        <f>+VLOOKUP(Tableau163[[#This Row],[CODE PI]],Tableau15[[CODE PI]:[Prestations diverses  &amp; accompagnements interne (1,6 k€ par jour d''acc)]],11,FALSE)</f>
        <v>0</v>
      </c>
      <c r="Q136" s="230">
        <f>-250*OPX_LE3!$E138</f>
        <v>-2875</v>
      </c>
      <c r="R136" s="311">
        <f>SUM(OPX_LE3!$K138:$Q138)</f>
        <v>-11530</v>
      </c>
      <c r="S136" s="337">
        <v>-230094</v>
      </c>
      <c r="T136" s="361">
        <v>0</v>
      </c>
      <c r="U136" s="362">
        <v>0</v>
      </c>
      <c r="V136" s="361">
        <v>-2471.5</v>
      </c>
      <c r="W136" s="361">
        <v>0</v>
      </c>
      <c r="X136" s="361">
        <v>0</v>
      </c>
      <c r="Y136" s="361">
        <v>0</v>
      </c>
      <c r="Z136" s="264">
        <v>-2875</v>
      </c>
      <c r="AA136" s="423"/>
      <c r="AB136" s="273">
        <f>SUM(OPX_LE3!$T138:$AA138)</f>
        <v>-16471.5</v>
      </c>
      <c r="AC136" s="426">
        <f t="shared" si="2"/>
        <v>-11500</v>
      </c>
      <c r="AD136" s="426"/>
      <c r="AE136" s="417">
        <v>-30000</v>
      </c>
      <c r="AF136" s="417">
        <v>0</v>
      </c>
      <c r="AG136" s="417">
        <v>-50000</v>
      </c>
      <c r="AH136" s="417">
        <v>0</v>
      </c>
      <c r="AI136" s="417">
        <v>-30000</v>
      </c>
      <c r="AJ136" s="317">
        <f>SUM(OPX_LE3!$AC138:$AI138)</f>
        <v>-64459.72</v>
      </c>
      <c r="AK136" s="424">
        <v>0</v>
      </c>
      <c r="AL136" s="276">
        <f>SUM(OPX_LE3!$J138,OPX_LE3!$AB138,OPX_LE3!$S138,OPX_LE3!$AJ138,OPX_LE3!$R138,OPX_LE3!$AK138)</f>
        <v>-328768.21999999997</v>
      </c>
      <c r="AM136" s="427">
        <v>0</v>
      </c>
    </row>
    <row r="137" spans="1:39" ht="15" hidden="1">
      <c r="A137" s="325" t="s">
        <v>588</v>
      </c>
      <c r="B137" s="322" t="str">
        <f>VLOOKUP(OPX_LE3!$A139,Tableau106[],3,FALSE)</f>
        <v>A533</v>
      </c>
      <c r="C137" s="322" t="str">
        <f>VLOOKUP(OPX_LE3!$A139,Tableau106[],2,FALSE)</f>
        <v>FR57E03E</v>
      </c>
      <c r="D137" s="322" t="str">
        <f>VLOOKUP(OPX_LE3!$A139,Tableau106[],8,FALSE)</f>
        <v>EOLIEN</v>
      </c>
      <c r="E137" s="324">
        <f>VLOOKUP(OPX_LE3!$A139,Tableau106[],4,FALSE)</f>
        <v>8</v>
      </c>
      <c r="F137" s="322" t="str">
        <f>VLOOKUP(OPX_LE3!$A139,Tableau106[],5,FALSE)</f>
        <v>PDFE</v>
      </c>
      <c r="G137" s="322" t="str">
        <f>VLOOKUP(OPX_LE3!$A139,Tableau106[],7,FALSE)</f>
        <v>GROUPE</v>
      </c>
      <c r="H137" s="322" t="str">
        <f>VLOOKUP(OPX_LE3!$A139,Tableau106[],6,FALSE)</f>
        <v>N</v>
      </c>
      <c r="I137" s="322" t="str">
        <f>VLOOKUP(OPX_LE3!$A139,Tableau106[],9,FALSE)</f>
        <v>AyB</v>
      </c>
      <c r="J137" s="254">
        <v>-9220</v>
      </c>
      <c r="K137" s="228"/>
      <c r="L137" s="228"/>
      <c r="M137" s="229">
        <f>+VLOOKUP(Tableau163[[#This Row],[CODE PI]],Tableau15[[CODE PI]:[Prestations diverses  &amp; accompagnements interne (1,6 k€ par jour d''acc)]],8,FALSE)</f>
        <v>0</v>
      </c>
      <c r="N137" s="229">
        <f>+VLOOKUP(Tableau163[[#This Row],[CODE PI]],Tableau15[[CODE PI]:[Prestations diverses  &amp; accompagnements interne (1,6 k€ par jour d''acc)]],9,FALSE)</f>
        <v>0</v>
      </c>
      <c r="O137" s="229">
        <f>+VLOOKUP(Tableau163[[#This Row],[CODE PI]],Tableau15[[CODE PI]:[Prestations diverses  &amp; accompagnements interne (1,6 k€ par jour d''acc)]],10,FALSE)</f>
        <v>0</v>
      </c>
      <c r="P137" s="229">
        <f>+VLOOKUP(Tableau163[[#This Row],[CODE PI]],Tableau15[[CODE PI]:[Prestations diverses  &amp; accompagnements interne (1,6 k€ par jour d''acc)]],11,FALSE)</f>
        <v>-2800</v>
      </c>
      <c r="Q137" s="230">
        <f>-250*OPX_LE3!$E139</f>
        <v>-2000</v>
      </c>
      <c r="R137" s="311">
        <f>SUM(OPX_LE3!$K139:$Q139)</f>
        <v>-11850</v>
      </c>
      <c r="S137" s="337">
        <v>-239689</v>
      </c>
      <c r="T137" s="361">
        <v>0</v>
      </c>
      <c r="U137" s="362">
        <v>0</v>
      </c>
      <c r="V137" s="361">
        <v>-650</v>
      </c>
      <c r="W137" s="361">
        <v>0</v>
      </c>
      <c r="X137" s="361">
        <v>0</v>
      </c>
      <c r="Y137" s="361">
        <v>0</v>
      </c>
      <c r="Z137" s="264">
        <v>-2000</v>
      </c>
      <c r="AA137" s="423"/>
      <c r="AB137" s="273">
        <f>SUM(OPX_LE3!$T139:$AA139)</f>
        <v>-5650</v>
      </c>
      <c r="AC137" s="426">
        <f t="shared" si="2"/>
        <v>-11500</v>
      </c>
      <c r="AD137" s="426"/>
      <c r="AE137" s="417">
        <v>0</v>
      </c>
      <c r="AF137" s="417">
        <v>0</v>
      </c>
      <c r="AG137" s="417">
        <v>0</v>
      </c>
      <c r="AH137" s="417">
        <v>0</v>
      </c>
      <c r="AI137" s="417">
        <v>0</v>
      </c>
      <c r="AJ137" s="317">
        <f>SUM(OPX_LE3!$AC139:$AI139)</f>
        <v>0</v>
      </c>
      <c r="AK137" s="424">
        <v>0</v>
      </c>
      <c r="AL137" s="276">
        <f>SUM(OPX_LE3!$J139,OPX_LE3!$AB139,OPX_LE3!$S139,OPX_LE3!$AJ139,OPX_LE3!$R139,OPX_LE3!$AK139)</f>
        <v>-271409</v>
      </c>
      <c r="AM137" s="427">
        <v>0</v>
      </c>
    </row>
    <row r="138" spans="1:39" ht="15" hidden="1">
      <c r="A138" s="244" t="s">
        <v>527</v>
      </c>
      <c r="B138" s="232" t="str">
        <f>VLOOKUP(OPX_LE3!$A140,Tableau106[],3,FALSE)</f>
        <v>A150</v>
      </c>
      <c r="C138" s="232" t="str">
        <f>VLOOKUP(OPX_LE3!$A140,Tableau106[],2,FALSE)</f>
        <v>FR51E01E</v>
      </c>
      <c r="D138" s="232" t="str">
        <f>VLOOKUP(OPX_LE3!$A140,Tableau106[],8,FALSE)</f>
        <v>EOLIEN</v>
      </c>
      <c r="E138" s="233">
        <f>VLOOKUP(OPX_LE3!$A140,Tableau106[],4,FALSE)</f>
        <v>12.3</v>
      </c>
      <c r="F138" s="232" t="str">
        <f>VLOOKUP(OPX_LE3!$A140,Tableau106[],5,FALSE)</f>
        <v>PDC1, PDC2</v>
      </c>
      <c r="G138" s="232" t="str">
        <f>VLOOKUP(OPX_LE3!$A140,Tableau106[],7,FALSE)</f>
        <v>FUTUREN</v>
      </c>
      <c r="H138" s="232" t="str">
        <f>VLOOKUP(OPX_LE3!$A140,Tableau106[],6,FALSE)</f>
        <v>N</v>
      </c>
      <c r="I138" s="232" t="str">
        <f>VLOOKUP(OPX_LE3!$A140,Tableau106[],9,FALSE)</f>
        <v>HuB</v>
      </c>
      <c r="J138" s="254">
        <v>-16389</v>
      </c>
      <c r="K138" s="228"/>
      <c r="L138" s="228"/>
      <c r="M138" s="229">
        <f>+VLOOKUP(Tableau163[[#This Row],[CODE PI]],Tableau15[[CODE PI]:[Prestations diverses  &amp; accompagnements interne (1,6 k€ par jour d''acc)]],8,FALSE)</f>
        <v>0</v>
      </c>
      <c r="N138" s="229">
        <f>+VLOOKUP(Tableau163[[#This Row],[CODE PI]],Tableau15[[CODE PI]:[Prestations diverses  &amp; accompagnements interne (1,6 k€ par jour d''acc)]],9,FALSE)</f>
        <v>0</v>
      </c>
      <c r="O138" s="229">
        <f>+VLOOKUP(Tableau163[[#This Row],[CODE PI]],Tableau15[[CODE PI]:[Prestations diverses  &amp; accompagnements interne (1,6 k€ par jour d''acc)]],10,FALSE)</f>
        <v>0</v>
      </c>
      <c r="P138" s="229">
        <f>+VLOOKUP(Tableau163[[#This Row],[CODE PI]],Tableau15[[CODE PI]:[Prestations diverses  &amp; accompagnements interne (1,6 k€ par jour d''acc)]],11,FALSE)</f>
        <v>-4305</v>
      </c>
      <c r="Q138" s="230">
        <f>-250*OPX_LE3!$E140</f>
        <v>-3075</v>
      </c>
      <c r="R138" s="311">
        <f>SUM(OPX_LE3!$K140:$Q140)</f>
        <v>-8070</v>
      </c>
      <c r="S138" s="337">
        <v>-261000</v>
      </c>
      <c r="T138" s="361">
        <v>0</v>
      </c>
      <c r="U138" s="362">
        <v>0</v>
      </c>
      <c r="V138" s="361">
        <v>-2700</v>
      </c>
      <c r="W138" s="361">
        <v>0</v>
      </c>
      <c r="X138" s="361">
        <v>0</v>
      </c>
      <c r="Y138" s="361">
        <v>0</v>
      </c>
      <c r="Z138" s="264">
        <v>-3075</v>
      </c>
      <c r="AA138" s="423"/>
      <c r="AB138" s="273">
        <f>SUM(OPX_LE3!$T140:$AA140)</f>
        <v>-5775</v>
      </c>
      <c r="AC138" s="426">
        <f t="shared" si="2"/>
        <v>-11500</v>
      </c>
      <c r="AD138" s="426"/>
      <c r="AE138" s="417">
        <v>0</v>
      </c>
      <c r="AF138" s="417">
        <v>-10000</v>
      </c>
      <c r="AG138" s="417">
        <v>-30000</v>
      </c>
      <c r="AH138" s="417">
        <v>0</v>
      </c>
      <c r="AI138" s="417">
        <v>0</v>
      </c>
      <c r="AJ138" s="317">
        <f>SUM(OPX_LE3!$AC140:$AI140)</f>
        <v>-32592</v>
      </c>
      <c r="AK138" s="424">
        <v>0</v>
      </c>
      <c r="AL138" s="276">
        <f>SUM(OPX_LE3!$J140,OPX_LE3!$AB140,OPX_LE3!$S140,OPX_LE3!$AJ140,OPX_LE3!$R140,OPX_LE3!$AK140)</f>
        <v>-323826</v>
      </c>
      <c r="AM138" s="427">
        <v>0</v>
      </c>
    </row>
    <row r="139" spans="1:39" ht="15" hidden="1">
      <c r="A139" s="325" t="s">
        <v>574</v>
      </c>
      <c r="B139" s="322" t="str">
        <f>VLOOKUP(OPX_LE3!$A141,Tableau106[],3,FALSE)</f>
        <v>A041</v>
      </c>
      <c r="C139" s="322" t="str">
        <f>VLOOKUP(OPX_LE3!$A141,Tableau106[],2,FALSE)</f>
        <v>FR97S92E</v>
      </c>
      <c r="D139" s="322" t="str">
        <f>VLOOKUP(OPX_LE3!$A141,Tableau106[],8,FALSE)</f>
        <v>SOLAIRE DOM</v>
      </c>
      <c r="E139" s="324">
        <f>VLOOKUP(OPX_LE3!$A141,Tableau106[],4,FALSE)</f>
        <v>4.5</v>
      </c>
      <c r="F139" s="322" t="str">
        <f>VLOOKUP(OPX_LE3!$A141,Tableau106[],5,FALSE)</f>
        <v>POTI</v>
      </c>
      <c r="G139" s="322" t="str">
        <f>VLOOKUP(OPX_LE3!$A141,Tableau106[],7,FALSE)</f>
        <v>GROUPE</v>
      </c>
      <c r="H139" s="322" t="str">
        <f>VLOOKUP(OPX_LE3!$A141,Tableau106[],6,FALSE)</f>
        <v>DOM</v>
      </c>
      <c r="I139" s="322" t="str">
        <f>VLOOKUP(OPX_LE3!$A141,Tableau106[],9,FALSE)</f>
        <v>DoJ</v>
      </c>
      <c r="J139" s="254">
        <v>0</v>
      </c>
      <c r="K139" s="228"/>
      <c r="L139" s="228"/>
      <c r="M139" s="229">
        <f>+VLOOKUP(Tableau163[[#This Row],[CODE PI]],Tableau15[[CODE PI]:[Prestations diverses  &amp; accompagnements interne (1,6 k€ par jour d''acc)]],8,FALSE)</f>
        <v>0</v>
      </c>
      <c r="N139" s="229">
        <f>+VLOOKUP(Tableau163[[#This Row],[CODE PI]],Tableau15[[CODE PI]:[Prestations diverses  &amp; accompagnements interne (1,6 k€ par jour d''acc)]],9,FALSE)</f>
        <v>0</v>
      </c>
      <c r="O139" s="229">
        <f>+VLOOKUP(Tableau163[[#This Row],[CODE PI]],Tableau15[[CODE PI]:[Prestations diverses  &amp; accompagnements interne (1,6 k€ par jour d''acc)]],10,FALSE)</f>
        <v>0</v>
      </c>
      <c r="P139" s="229">
        <f>+VLOOKUP(Tableau163[[#This Row],[CODE PI]],Tableau15[[CODE PI]:[Prestations diverses  &amp; accompagnements interne (1,6 k€ par jour d''acc)]],11,FALSE)</f>
        <v>0</v>
      </c>
      <c r="Q139" s="230">
        <f>-250*OPX_LE3!$E141</f>
        <v>-1125</v>
      </c>
      <c r="R139" s="311">
        <f>SUM(OPX_LE3!$K141:$Q141)</f>
        <v>-1125</v>
      </c>
      <c r="S139" s="337">
        <v>-261131</v>
      </c>
      <c r="T139" s="361">
        <v>-25000</v>
      </c>
      <c r="U139" s="362">
        <v>0</v>
      </c>
      <c r="V139" s="361">
        <v>0</v>
      </c>
      <c r="W139" s="361">
        <v>-2100</v>
      </c>
      <c r="X139" s="361">
        <v>-6400</v>
      </c>
      <c r="Y139" s="361">
        <v>0</v>
      </c>
      <c r="Z139" s="264">
        <v>-1125</v>
      </c>
      <c r="AA139" s="423"/>
      <c r="AB139" s="273">
        <f>SUM(OPX_LE3!$T141:$AA141)</f>
        <v>-42600.73</v>
      </c>
      <c r="AC139" s="426">
        <f t="shared" si="2"/>
        <v>-11500</v>
      </c>
      <c r="AD139" s="426"/>
      <c r="AE139" s="417">
        <v>0</v>
      </c>
      <c r="AF139" s="417">
        <v>0</v>
      </c>
      <c r="AG139" s="417">
        <v>0</v>
      </c>
      <c r="AH139" s="417">
        <v>0</v>
      </c>
      <c r="AI139" s="417">
        <v>0</v>
      </c>
      <c r="AJ139" s="317">
        <f>SUM(OPX_LE3!$AC141:$AI141)</f>
        <v>0</v>
      </c>
      <c r="AK139" s="424">
        <v>0</v>
      </c>
      <c r="AL139" s="276">
        <f>SUM(OPX_LE3!$J141,OPX_LE3!$AB141,OPX_LE3!$S141,OPX_LE3!$AJ141,OPX_LE3!$R141,OPX_LE3!$AK141)</f>
        <v>-304856.73</v>
      </c>
      <c r="AM139" s="427">
        <v>0</v>
      </c>
    </row>
    <row r="140" spans="1:39" ht="15" hidden="1">
      <c r="A140" s="244" t="s">
        <v>286</v>
      </c>
      <c r="B140" s="232" t="str">
        <f>VLOOKUP(OPX_LE3!$A142,Tableau106[],3,FALSE)</f>
        <v>A539</v>
      </c>
      <c r="C140" s="232" t="str">
        <f>VLOOKUP(OPX_LE3!$A142,Tableau106[],2,FALSE)</f>
        <v>FR11E87E</v>
      </c>
      <c r="D140" s="232" t="str">
        <f>VLOOKUP(OPX_LE3!$A142,Tableau106[],8,FALSE)</f>
        <v>EOLIEN</v>
      </c>
      <c r="E140" s="233">
        <f>VLOOKUP(OPX_LE3!$A142,Tableau106[],4,FALSE)</f>
        <v>5.0999999999999996</v>
      </c>
      <c r="F140" s="232" t="str">
        <f>VLOOKUP(OPX_LE3!$A142,Tableau106[],5,FALSE)</f>
        <v>POUZ</v>
      </c>
      <c r="G140" s="232" t="str">
        <f>VLOOKUP(OPX_LE3!$A142,Tableau106[],7,FALSE)</f>
        <v>GROUPE</v>
      </c>
      <c r="H140" s="232" t="str">
        <f>VLOOKUP(OPX_LE3!$A142,Tableau106[],6,FALSE)</f>
        <v>S</v>
      </c>
      <c r="I140" s="232" t="str">
        <f>VLOOKUP(OPX_LE3!$A142,Tableau106[],9,FALSE)</f>
        <v>SaH</v>
      </c>
      <c r="J140" s="254">
        <v>-234494</v>
      </c>
      <c r="K140" s="228"/>
      <c r="L140" s="228"/>
      <c r="M140" s="229">
        <f>+VLOOKUP(Tableau163[[#This Row],[CODE PI]],Tableau15[[CODE PI]:[Prestations diverses  &amp; accompagnements interne (1,6 k€ par jour d''acc)]],8,FALSE)</f>
        <v>0</v>
      </c>
      <c r="N140" s="229">
        <f>+VLOOKUP(Tableau163[[#This Row],[CODE PI]],Tableau15[[CODE PI]:[Prestations diverses  &amp; accompagnements interne (1,6 k€ par jour d''acc)]],9,FALSE)</f>
        <v>0</v>
      </c>
      <c r="O140" s="229">
        <f>+VLOOKUP(Tableau163[[#This Row],[CODE PI]],Tableau15[[CODE PI]:[Prestations diverses  &amp; accompagnements interne (1,6 k€ par jour d''acc)]],10,FALSE)</f>
        <v>0</v>
      </c>
      <c r="P140" s="229">
        <f>+VLOOKUP(Tableau163[[#This Row],[CODE PI]],Tableau15[[CODE PI]:[Prestations diverses  &amp; accompagnements interne (1,6 k€ par jour d''acc)]],11,FALSE)</f>
        <v>-1785</v>
      </c>
      <c r="Q140" s="230">
        <f>-250*OPX_LE3!$E142</f>
        <v>-1275</v>
      </c>
      <c r="R140" s="311">
        <f>SUM(OPX_LE3!$K142:$Q142)</f>
        <v>-25969</v>
      </c>
      <c r="S140" s="337">
        <v>0</v>
      </c>
      <c r="T140" s="361">
        <v>0</v>
      </c>
      <c r="U140" s="362">
        <v>0</v>
      </c>
      <c r="V140" s="361">
        <v>-15000</v>
      </c>
      <c r="W140" s="361">
        <v>0</v>
      </c>
      <c r="X140" s="361">
        <v>0</v>
      </c>
      <c r="Y140" s="361">
        <v>0</v>
      </c>
      <c r="Z140" s="264">
        <v>-1275</v>
      </c>
      <c r="AA140" s="423"/>
      <c r="AB140" s="273">
        <f>SUM(OPX_LE3!$T142:$AA142)</f>
        <v>-31275</v>
      </c>
      <c r="AC140" s="426">
        <f t="shared" si="2"/>
        <v>-11500</v>
      </c>
      <c r="AD140" s="426"/>
      <c r="AE140" s="417">
        <v>0</v>
      </c>
      <c r="AF140" s="417">
        <v>-7500</v>
      </c>
      <c r="AG140" s="428">
        <v>-30000</v>
      </c>
      <c r="AH140" s="417">
        <v>0</v>
      </c>
      <c r="AI140" s="417">
        <v>0</v>
      </c>
      <c r="AJ140" s="317">
        <f>SUM(OPX_LE3!$AC142:$AI142)</f>
        <v>-29495.599999999999</v>
      </c>
      <c r="AK140" s="424">
        <v>0</v>
      </c>
      <c r="AL140" s="276">
        <f>SUM(OPX_LE3!$J142,OPX_LE3!$AB142,OPX_LE3!$S142,OPX_LE3!$AJ142,OPX_LE3!$R142,OPX_LE3!$AK142)</f>
        <v>-331233.59999999998</v>
      </c>
      <c r="AM140" s="427">
        <v>0</v>
      </c>
    </row>
    <row r="141" spans="1:39" ht="15" hidden="1">
      <c r="A141" s="325" t="s">
        <v>577</v>
      </c>
      <c r="B141" s="322" t="str">
        <f>VLOOKUP(OPX_LE3!$A143,Tableau106[],3,FALSE)</f>
        <v>A045</v>
      </c>
      <c r="C141" s="322" t="str">
        <f>VLOOKUP(OPX_LE3!$A143,Tableau106[],2,FALSE)</f>
        <v>FR97S74E</v>
      </c>
      <c r="D141" s="322" t="str">
        <f>VLOOKUP(OPX_LE3!$A143,Tableau106[],8,FALSE)</f>
        <v>SOLAIRE DOM</v>
      </c>
      <c r="E141" s="324">
        <f>VLOOKUP(OPX_LE3!$A143,Tableau106[],4,FALSE)</f>
        <v>0.68200000000000005</v>
      </c>
      <c r="F141" s="322" t="str">
        <f>VLOOKUP(OPX_LE3!$A143,Tableau106[],5,FALSE)</f>
        <v>PROV</v>
      </c>
      <c r="G141" s="322" t="str">
        <f>VLOOKUP(OPX_LE3!$A143,Tableau106[],7,FALSE)</f>
        <v>GROUPE</v>
      </c>
      <c r="H141" s="322" t="str">
        <f>VLOOKUP(OPX_LE3!$A143,Tableau106[],6,FALSE)</f>
        <v>DOM</v>
      </c>
      <c r="I141" s="322" t="str">
        <f>VLOOKUP(OPX_LE3!$A143,Tableau106[],9,FALSE)</f>
        <v>DoJ</v>
      </c>
      <c r="J141" s="254">
        <v>0</v>
      </c>
      <c r="K141" s="228"/>
      <c r="L141" s="228"/>
      <c r="M141" s="229">
        <f>+VLOOKUP(Tableau163[[#This Row],[CODE PI]],Tableau15[[CODE PI]:[Prestations diverses  &amp; accompagnements interne (1,6 k€ par jour d''acc)]],8,FALSE)</f>
        <v>0</v>
      </c>
      <c r="N141" s="229">
        <f>+VLOOKUP(Tableau163[[#This Row],[CODE PI]],Tableau15[[CODE PI]:[Prestations diverses  &amp; accompagnements interne (1,6 k€ par jour d''acc)]],9,FALSE)</f>
        <v>0</v>
      </c>
      <c r="O141" s="229">
        <f>+VLOOKUP(Tableau163[[#This Row],[CODE PI]],Tableau15[[CODE PI]:[Prestations diverses  &amp; accompagnements interne (1,6 k€ par jour d''acc)]],10,FALSE)</f>
        <v>0</v>
      </c>
      <c r="P141" s="229">
        <f>+VLOOKUP(Tableau163[[#This Row],[CODE PI]],Tableau15[[CODE PI]:[Prestations diverses  &amp; accompagnements interne (1,6 k€ par jour d''acc)]],11,FALSE)</f>
        <v>0</v>
      </c>
      <c r="Q141" s="230">
        <f>-250*OPX_LE3!$E143</f>
        <v>-170.5</v>
      </c>
      <c r="R141" s="311">
        <f>SUM(OPX_LE3!$K143:$Q143)</f>
        <v>-170.5</v>
      </c>
      <c r="S141" s="337">
        <v>-35312</v>
      </c>
      <c r="T141" s="361">
        <v>-6000</v>
      </c>
      <c r="U141" s="362">
        <v>0</v>
      </c>
      <c r="V141" s="361">
        <v>0</v>
      </c>
      <c r="W141" s="361">
        <v>-1220</v>
      </c>
      <c r="X141" s="361">
        <v>0</v>
      </c>
      <c r="Y141" s="361">
        <v>0</v>
      </c>
      <c r="Z141" s="264">
        <v>-170.5</v>
      </c>
      <c r="AA141" s="423"/>
      <c r="AB141" s="273">
        <f>SUM(OPX_LE3!$T143:$AA143)</f>
        <v>-15889.871999999999</v>
      </c>
      <c r="AC141" s="426">
        <f t="shared" si="2"/>
        <v>-11500</v>
      </c>
      <c r="AD141" s="426"/>
      <c r="AE141" s="417">
        <v>0</v>
      </c>
      <c r="AF141" s="417">
        <v>0</v>
      </c>
      <c r="AG141" s="417">
        <v>0</v>
      </c>
      <c r="AH141" s="417">
        <v>0</v>
      </c>
      <c r="AI141" s="417">
        <v>0</v>
      </c>
      <c r="AJ141" s="317">
        <f>SUM(OPX_LE3!$AC143:$AI143)</f>
        <v>0</v>
      </c>
      <c r="AK141" s="424">
        <v>0</v>
      </c>
      <c r="AL141" s="276">
        <f>SUM(OPX_LE3!$J143,OPX_LE3!$AB143,OPX_LE3!$S143,OPX_LE3!$AJ143,OPX_LE3!$R143,OPX_LE3!$AK143)</f>
        <v>-51372.372000000003</v>
      </c>
      <c r="AM141" s="427">
        <v>0</v>
      </c>
    </row>
    <row r="142" spans="1:39" ht="15" hidden="1">
      <c r="A142" s="244" t="s">
        <v>621</v>
      </c>
      <c r="B142" s="232" t="str">
        <f>VLOOKUP(OPX_LE3!$A144,Tableau106[],3,FALSE)</f>
        <v>A540</v>
      </c>
      <c r="C142" s="232" t="str">
        <f>VLOOKUP(OPX_LE3!$A144,Tableau106[],2,FALSE)</f>
        <v>FR55E05E</v>
      </c>
      <c r="D142" s="232" t="str">
        <f>VLOOKUP(OPX_LE3!$A144,Tableau106[],8,FALSE)</f>
        <v>EOLIEN</v>
      </c>
      <c r="E142" s="233">
        <f>VLOOKUP(OPX_LE3!$A144,Tableau106[],4,FALSE)</f>
        <v>12</v>
      </c>
      <c r="F142" s="232" t="str">
        <f>VLOOKUP(OPX_LE3!$A144,Tableau106[],5,FALSE)</f>
        <v>RAM1</v>
      </c>
      <c r="G142" s="232" t="str">
        <f>VLOOKUP(OPX_LE3!$A144,Tableau106[],7,FALSE)</f>
        <v>EGM</v>
      </c>
      <c r="H142" s="232" t="str">
        <f>VLOOKUP(OPX_LE3!$A144,Tableau106[],6,FALSE)</f>
        <v>N</v>
      </c>
      <c r="I142" s="232" t="str">
        <f>VLOOKUP(OPX_LE3!$A144,Tableau106[],9,FALSE)</f>
        <v>BaB</v>
      </c>
      <c r="J142" s="254">
        <v>-309748</v>
      </c>
      <c r="K142" s="228"/>
      <c r="L142" s="228"/>
      <c r="M142" s="229">
        <f>+VLOOKUP(Tableau163[[#This Row],[CODE PI]],Tableau15[[CODE PI]:[Prestations diverses  &amp; accompagnements interne (1,6 k€ par jour d''acc)]],8,FALSE)</f>
        <v>0</v>
      </c>
      <c r="N142" s="229">
        <f>+VLOOKUP(Tableau163[[#This Row],[CODE PI]],Tableau15[[CODE PI]:[Prestations diverses  &amp; accompagnements interne (1,6 k€ par jour d''acc)]],9,FALSE)</f>
        <v>0</v>
      </c>
      <c r="O142" s="229">
        <f>+VLOOKUP(Tableau163[[#This Row],[CODE PI]],Tableau15[[CODE PI]:[Prestations diverses  &amp; accompagnements interne (1,6 k€ par jour d''acc)]],10,FALSE)</f>
        <v>0</v>
      </c>
      <c r="P142" s="229">
        <f>+VLOOKUP(Tableau163[[#This Row],[CODE PI]],Tableau15[[CODE PI]:[Prestations diverses  &amp; accompagnements interne (1,6 k€ par jour d''acc)]],11,FALSE)</f>
        <v>-4200</v>
      </c>
      <c r="Q142" s="230">
        <f>-250*OPX_LE3!$E144</f>
        <v>-3000</v>
      </c>
      <c r="R142" s="311">
        <f>SUM(OPX_LE3!$K144:$Q144)</f>
        <v>-319200</v>
      </c>
      <c r="S142" s="337">
        <v>-50572</v>
      </c>
      <c r="T142" s="361">
        <v>0</v>
      </c>
      <c r="U142" s="362">
        <v>0</v>
      </c>
      <c r="V142" s="361">
        <v>-2000</v>
      </c>
      <c r="W142" s="361">
        <v>0</v>
      </c>
      <c r="X142" s="361">
        <v>0</v>
      </c>
      <c r="Y142" s="361">
        <v>0</v>
      </c>
      <c r="Z142" s="264">
        <v>-3000</v>
      </c>
      <c r="AA142" s="423"/>
      <c r="AB142" s="273">
        <f>SUM(OPX_LE3!$T144:$AA144)</f>
        <v>-6830</v>
      </c>
      <c r="AC142" s="426">
        <f t="shared" si="2"/>
        <v>-11500</v>
      </c>
      <c r="AD142" s="426"/>
      <c r="AE142" s="417">
        <v>0</v>
      </c>
      <c r="AF142" s="417">
        <v>0</v>
      </c>
      <c r="AG142" s="417">
        <v>-15000</v>
      </c>
      <c r="AH142" s="417">
        <v>0</v>
      </c>
      <c r="AI142" s="417">
        <v>0</v>
      </c>
      <c r="AJ142" s="317">
        <f>SUM(OPX_LE3!$AC144:$AI144)</f>
        <v>0</v>
      </c>
      <c r="AK142" s="424">
        <v>0</v>
      </c>
      <c r="AL142" s="276">
        <f>SUM(OPX_LE3!$J144,OPX_LE3!$AB144,OPX_LE3!$S144,OPX_LE3!$AJ144,OPX_LE3!$R144,OPX_LE3!$AK144)</f>
        <v>-686350</v>
      </c>
      <c r="AM142" s="427">
        <v>0</v>
      </c>
    </row>
    <row r="143" spans="1:39" ht="15" hidden="1">
      <c r="A143" s="325" t="s">
        <v>624</v>
      </c>
      <c r="B143" s="322" t="str">
        <f>VLOOKUP(OPX_LE3!$A145,Tableau106[],3,FALSE)</f>
        <v>A540</v>
      </c>
      <c r="C143" s="322" t="str">
        <f>VLOOKUP(OPX_LE3!$A145,Tableau106[],2,FALSE)</f>
        <v>FR55E06E</v>
      </c>
      <c r="D143" s="322" t="str">
        <f>VLOOKUP(OPX_LE3!$A145,Tableau106[],8,FALSE)</f>
        <v>EOLIEN</v>
      </c>
      <c r="E143" s="324">
        <f>VLOOKUP(OPX_LE3!$A145,Tableau106[],4,FALSE)</f>
        <v>26</v>
      </c>
      <c r="F143" s="322" t="str">
        <f>VLOOKUP(OPX_LE3!$A145,Tableau106[],5,FALSE)</f>
        <v>RAM2</v>
      </c>
      <c r="G143" s="322" t="str">
        <f>VLOOKUP(OPX_LE3!$A145,Tableau106[],7,FALSE)</f>
        <v>EGM</v>
      </c>
      <c r="H143" s="322" t="str">
        <f>VLOOKUP(OPX_LE3!$A145,Tableau106[],6,FALSE)</f>
        <v>N</v>
      </c>
      <c r="I143" s="322" t="str">
        <f>VLOOKUP(OPX_LE3!$A145,Tableau106[],9,FALSE)</f>
        <v>BaB</v>
      </c>
      <c r="J143" s="254">
        <v>-671121</v>
      </c>
      <c r="K143" s="228"/>
      <c r="L143" s="228"/>
      <c r="M143" s="229">
        <f>+VLOOKUP(Tableau163[[#This Row],[CODE PI]],Tableau15[[CODE PI]:[Prestations diverses  &amp; accompagnements interne (1,6 k€ par jour d''acc)]],8,FALSE)</f>
        <v>0</v>
      </c>
      <c r="N143" s="229">
        <f>+VLOOKUP(Tableau163[[#This Row],[CODE PI]],Tableau15[[CODE PI]:[Prestations diverses  &amp; accompagnements interne (1,6 k€ par jour d''acc)]],9,FALSE)</f>
        <v>0</v>
      </c>
      <c r="O143" s="229">
        <f>+VLOOKUP(Tableau163[[#This Row],[CODE PI]],Tableau15[[CODE PI]:[Prestations diverses  &amp; accompagnements interne (1,6 k€ par jour d''acc)]],10,FALSE)</f>
        <v>0</v>
      </c>
      <c r="P143" s="229">
        <f>+VLOOKUP(Tableau163[[#This Row],[CODE PI]],Tableau15[[CODE PI]:[Prestations diverses  &amp; accompagnements interne (1,6 k€ par jour d''acc)]],11,FALSE)</f>
        <v>-9100</v>
      </c>
      <c r="Q143" s="230">
        <f>-250*OPX_LE3!$E145</f>
        <v>-6500</v>
      </c>
      <c r="R143" s="311">
        <f>SUM(OPX_LE3!$K145:$Q145)</f>
        <v>-636069</v>
      </c>
      <c r="S143" s="337">
        <v>0</v>
      </c>
      <c r="T143" s="361">
        <v>0</v>
      </c>
      <c r="U143" s="362">
        <v>0</v>
      </c>
      <c r="V143" s="361">
        <v>-4000</v>
      </c>
      <c r="W143" s="361">
        <v>0</v>
      </c>
      <c r="X143" s="361">
        <v>0</v>
      </c>
      <c r="Y143" s="361">
        <v>0</v>
      </c>
      <c r="Z143" s="264">
        <v>-6500</v>
      </c>
      <c r="AA143" s="423"/>
      <c r="AB143" s="273">
        <f>SUM(OPX_LE3!$T145:$AA145)</f>
        <v>-34102</v>
      </c>
      <c r="AC143" s="426">
        <f t="shared" si="2"/>
        <v>-11500</v>
      </c>
      <c r="AD143" s="426"/>
      <c r="AE143" s="417">
        <v>0</v>
      </c>
      <c r="AF143" s="417">
        <v>0</v>
      </c>
      <c r="AG143" s="417">
        <v>0</v>
      </c>
      <c r="AH143" s="417">
        <v>0</v>
      </c>
      <c r="AI143" s="417">
        <v>0</v>
      </c>
      <c r="AJ143" s="317">
        <f>SUM(OPX_LE3!$AC145:$AI145)</f>
        <v>0</v>
      </c>
      <c r="AK143" s="424">
        <v>0</v>
      </c>
      <c r="AL143" s="276">
        <f>SUM(OPX_LE3!$J145,OPX_LE3!$AB145,OPX_LE3!$S145,OPX_LE3!$AJ145,OPX_LE3!$R145,OPX_LE3!$AK145)</f>
        <v>-1428202</v>
      </c>
      <c r="AM143" s="427">
        <v>-25000</v>
      </c>
    </row>
    <row r="144" spans="1:39" ht="15" hidden="1">
      <c r="A144" s="244" t="s">
        <v>511</v>
      </c>
      <c r="B144" s="232" t="str">
        <f>VLOOKUP(OPX_LE3!$A146,Tableau106[],3,FALSE)</f>
        <v>A540</v>
      </c>
      <c r="C144" s="232" t="str">
        <f>VLOOKUP(OPX_LE3!$A146,Tableau106[],2,FALSE)</f>
        <v>FR02E04E</v>
      </c>
      <c r="D144" s="232" t="str">
        <f>VLOOKUP(OPX_LE3!$A146,Tableau106[],8,FALSE)</f>
        <v>EOLIEN</v>
      </c>
      <c r="E144" s="233">
        <f>VLOOKUP(OPX_LE3!$A146,Tableau106[],4,FALSE)</f>
        <v>10</v>
      </c>
      <c r="F144" s="232" t="str">
        <f>VLOOKUP(OPX_LE3!$A146,Tableau106[],5,FALSE)</f>
        <v>RIBE</v>
      </c>
      <c r="G144" s="232" t="str">
        <f>VLOOKUP(OPX_LE3!$A146,Tableau106[],7,FALSE)</f>
        <v>EGM</v>
      </c>
      <c r="H144" s="232" t="str">
        <f>VLOOKUP(OPX_LE3!$A146,Tableau106[],6,FALSE)</f>
        <v>N</v>
      </c>
      <c r="I144" s="232" t="str">
        <f>VLOOKUP(OPX_LE3!$A146,Tableau106[],9,FALSE)</f>
        <v>NoS</v>
      </c>
      <c r="J144" s="254">
        <v>-258123</v>
      </c>
      <c r="K144" s="228"/>
      <c r="L144" s="228"/>
      <c r="M144" s="229">
        <f>+VLOOKUP(Tableau163[[#This Row],[CODE PI]],Tableau15[[CODE PI]:[Prestations diverses  &amp; accompagnements interne (1,6 k€ par jour d''acc)]],8,FALSE)</f>
        <v>0</v>
      </c>
      <c r="N144" s="229">
        <f>+VLOOKUP(Tableau163[[#This Row],[CODE PI]],Tableau15[[CODE PI]:[Prestations diverses  &amp; accompagnements interne (1,6 k€ par jour d''acc)]],9,FALSE)</f>
        <v>0</v>
      </c>
      <c r="O144" s="229">
        <f>+VLOOKUP(Tableau163[[#This Row],[CODE PI]],Tableau15[[CODE PI]:[Prestations diverses  &amp; accompagnements interne (1,6 k€ par jour d''acc)]],10,FALSE)</f>
        <v>0</v>
      </c>
      <c r="P144" s="229">
        <f>+VLOOKUP(Tableau163[[#This Row],[CODE PI]],Tableau15[[CODE PI]:[Prestations diverses  &amp; accompagnements interne (1,6 k€ par jour d''acc)]],11,FALSE)</f>
        <v>-3500</v>
      </c>
      <c r="Q144" s="230">
        <f>-250*OPX_LE3!$E146</f>
        <v>-2500</v>
      </c>
      <c r="R144" s="311">
        <f>SUM(OPX_LE3!$K146:$Q146)</f>
        <v>-221000</v>
      </c>
      <c r="S144" s="337">
        <v>0</v>
      </c>
      <c r="T144" s="361">
        <v>0</v>
      </c>
      <c r="U144" s="362">
        <v>0</v>
      </c>
      <c r="V144" s="361">
        <v>-2000</v>
      </c>
      <c r="W144" s="361">
        <v>0</v>
      </c>
      <c r="X144" s="361">
        <v>0</v>
      </c>
      <c r="Y144" s="361">
        <v>0</v>
      </c>
      <c r="Z144" s="264">
        <v>-2500</v>
      </c>
      <c r="AA144" s="423"/>
      <c r="AB144" s="273">
        <f>SUM(OPX_LE3!$T146:$AA146)</f>
        <v>-4500</v>
      </c>
      <c r="AC144" s="426">
        <f t="shared" si="2"/>
        <v>-11500</v>
      </c>
      <c r="AD144" s="426"/>
      <c r="AE144" s="417">
        <v>0</v>
      </c>
      <c r="AF144" s="417">
        <v>0</v>
      </c>
      <c r="AG144" s="417">
        <v>0</v>
      </c>
      <c r="AH144" s="417">
        <v>0</v>
      </c>
      <c r="AI144" s="417">
        <v>0</v>
      </c>
      <c r="AJ144" s="317">
        <f>SUM(OPX_LE3!$AC146:$AI146)</f>
        <v>0</v>
      </c>
      <c r="AK144" s="424">
        <v>0</v>
      </c>
      <c r="AL144" s="276">
        <f>SUM(OPX_LE3!$J146,OPX_LE3!$AB146,OPX_LE3!$S146,OPX_LE3!$AJ146,OPX_LE3!$R146,OPX_LE3!$AK146)</f>
        <v>-483623</v>
      </c>
      <c r="AM144" s="427">
        <v>0</v>
      </c>
    </row>
    <row r="145" spans="1:39" ht="15" hidden="1">
      <c r="A145" s="325" t="s">
        <v>617</v>
      </c>
      <c r="B145" s="322" t="str">
        <f>VLOOKUP(OPX_LE3!$A147,Tableau106[],3,FALSE)</f>
        <v>A892</v>
      </c>
      <c r="C145" s="322" t="str">
        <f>VLOOKUP(OPX_LE3!$A147,Tableau106[],2,FALSE)</f>
        <v>FR34E98E</v>
      </c>
      <c r="D145" s="322" t="str">
        <f>VLOOKUP(OPX_LE3!$A147,Tableau106[],8,FALSE)</f>
        <v>EOLIEN</v>
      </c>
      <c r="E145" s="324">
        <f>VLOOKUP(OPX_LE3!$A147,Tableau106[],4,FALSE)</f>
        <v>3.6</v>
      </c>
      <c r="F145" s="322" t="str">
        <f>VLOOKUP(OPX_LE3!$A147,Tableau106[],5,FALSE)</f>
        <v>RIOL</v>
      </c>
      <c r="G145" s="322" t="str">
        <f>VLOOKUP(OPX_LE3!$A147,Tableau106[],7,FALSE)</f>
        <v>GROUPE</v>
      </c>
      <c r="H145" s="322" t="str">
        <f>VLOOKUP(OPX_LE3!$A147,Tableau106[],6,FALSE)</f>
        <v>S</v>
      </c>
      <c r="I145" s="322" t="str">
        <f>VLOOKUP(OPX_LE3!$A147,Tableau106[],9,FALSE)</f>
        <v>SaH</v>
      </c>
      <c r="J145" s="254">
        <v>-226675</v>
      </c>
      <c r="K145" s="228"/>
      <c r="L145" s="228"/>
      <c r="M145" s="229">
        <f>+VLOOKUP(Tableau163[[#This Row],[CODE PI]],Tableau15[[CODE PI]:[Prestations diverses  &amp; accompagnements interne (1,6 k€ par jour d''acc)]],8,FALSE)</f>
        <v>0</v>
      </c>
      <c r="N145" s="229">
        <f>+VLOOKUP(Tableau163[[#This Row],[CODE PI]],Tableau15[[CODE PI]:[Prestations diverses  &amp; accompagnements interne (1,6 k€ par jour d''acc)]],9,FALSE)</f>
        <v>0</v>
      </c>
      <c r="O145" s="229">
        <f>+VLOOKUP(Tableau163[[#This Row],[CODE PI]],Tableau15[[CODE PI]:[Prestations diverses  &amp; accompagnements interne (1,6 k€ par jour d''acc)]],10,FALSE)</f>
        <v>0</v>
      </c>
      <c r="P145" s="229">
        <f>+VLOOKUP(Tableau163[[#This Row],[CODE PI]],Tableau15[[CODE PI]:[Prestations diverses  &amp; accompagnements interne (1,6 k€ par jour d''acc)]],11,FALSE)</f>
        <v>-1260</v>
      </c>
      <c r="Q145" s="230">
        <f>-250*OPX_LE3!$E147</f>
        <v>-900</v>
      </c>
      <c r="R145" s="311">
        <f>SUM(OPX_LE3!$K147:$Q147)</f>
        <v>-26584</v>
      </c>
      <c r="S145" s="337">
        <v>0</v>
      </c>
      <c r="T145" s="361">
        <v>0</v>
      </c>
      <c r="U145" s="362">
        <v>0</v>
      </c>
      <c r="V145" s="361">
        <v>-5000</v>
      </c>
      <c r="W145" s="361">
        <v>0</v>
      </c>
      <c r="X145" s="361">
        <v>0</v>
      </c>
      <c r="Y145" s="361">
        <v>0</v>
      </c>
      <c r="Z145" s="264">
        <v>-900</v>
      </c>
      <c r="AA145" s="423"/>
      <c r="AB145" s="273">
        <f>SUM(OPX_LE3!$T147:$AA147)</f>
        <v>-9640</v>
      </c>
      <c r="AC145" s="426">
        <f t="shared" si="2"/>
        <v>-11500</v>
      </c>
      <c r="AD145" s="426"/>
      <c r="AE145" s="417">
        <v>0</v>
      </c>
      <c r="AF145" s="417">
        <v>0</v>
      </c>
      <c r="AG145" s="417">
        <v>-12000</v>
      </c>
      <c r="AH145" s="417">
        <v>0</v>
      </c>
      <c r="AI145" s="417">
        <v>0</v>
      </c>
      <c r="AJ145" s="317">
        <f>SUM(OPX_LE3!$AC147:$AI147)</f>
        <v>0</v>
      </c>
      <c r="AK145" s="424">
        <v>-20000</v>
      </c>
      <c r="AL145" s="276">
        <f>SUM(OPX_LE3!$J147,OPX_LE3!$AB147,OPX_LE3!$S147,OPX_LE3!$AJ147,OPX_LE3!$R147,OPX_LE3!$AK147)</f>
        <v>-262899</v>
      </c>
      <c r="AM145" s="427">
        <v>0</v>
      </c>
    </row>
    <row r="146" spans="1:39" ht="15" hidden="1">
      <c r="A146" s="244" t="s">
        <v>638</v>
      </c>
      <c r="B146" s="232" t="str">
        <f>VLOOKUP(OPX_LE3!$A148,Tableau106[],3,FALSE)</f>
        <v>A251</v>
      </c>
      <c r="C146" s="232" t="str">
        <f>VLOOKUP(OPX_LE3!$A148,Tableau106[],2,FALSE)</f>
        <v>FRD4S01E</v>
      </c>
      <c r="D146" s="232" t="str">
        <f>VLOOKUP(OPX_LE3!$A148,Tableau106[],8,FALSE)</f>
        <v>SOLAIRE DOM</v>
      </c>
      <c r="E146" s="233">
        <f>VLOOKUP(OPX_LE3!$A148,Tableau106[],4,FALSE)</f>
        <v>4.49</v>
      </c>
      <c r="F146" s="232" t="str">
        <f>VLOOKUP(OPX_LE3!$A148,Tableau106[],5,FALSE)</f>
        <v>RDGA</v>
      </c>
      <c r="G146" s="232" t="str">
        <f>VLOOKUP(OPX_LE3!$A148,Tableau106[],7,FALSE)</f>
        <v>GROUPE</v>
      </c>
      <c r="H146" s="232" t="str">
        <f>VLOOKUP(OPX_LE3!$A148,Tableau106[],6,FALSE)</f>
        <v>DOM</v>
      </c>
      <c r="I146" s="232" t="str">
        <f>VLOOKUP(OPX_LE3!$A148,Tableau106[],9,FALSE)</f>
        <v>BeK</v>
      </c>
      <c r="J146" s="254"/>
      <c r="K146" s="228"/>
      <c r="L146" s="228"/>
      <c r="M146" s="229">
        <f>+VLOOKUP(Tableau163[[#This Row],[CODE PI]],Tableau15[[CODE PI]:[Prestations diverses  &amp; accompagnements interne (1,6 k€ par jour d''acc)]],8,FALSE)</f>
        <v>0</v>
      </c>
      <c r="N146" s="229">
        <f>+VLOOKUP(Tableau163[[#This Row],[CODE PI]],Tableau15[[CODE PI]:[Prestations diverses  &amp; accompagnements interne (1,6 k€ par jour d''acc)]],9,FALSE)</f>
        <v>0</v>
      </c>
      <c r="O146" s="229">
        <f>+VLOOKUP(Tableau163[[#This Row],[CODE PI]],Tableau15[[CODE PI]:[Prestations diverses  &amp; accompagnements interne (1,6 k€ par jour d''acc)]],10,FALSE)</f>
        <v>0</v>
      </c>
      <c r="P146" s="229">
        <f>+VLOOKUP(Tableau163[[#This Row],[CODE PI]],Tableau15[[CODE PI]:[Prestations diverses  &amp; accompagnements interne (1,6 k€ par jour d''acc)]],11,FALSE)</f>
        <v>0</v>
      </c>
      <c r="Q146" s="230">
        <f>-250*OPX_LE3!$E148</f>
        <v>-1122.5</v>
      </c>
      <c r="R146" s="311">
        <f>SUM(OPX_LE3!$K148:$Q148)</f>
        <v>-1122.5</v>
      </c>
      <c r="S146" s="337"/>
      <c r="T146" s="361">
        <v>0</v>
      </c>
      <c r="U146" s="362">
        <v>0</v>
      </c>
      <c r="V146" s="361">
        <v>0</v>
      </c>
      <c r="W146" s="361">
        <v>0</v>
      </c>
      <c r="X146" s="361">
        <v>0</v>
      </c>
      <c r="Y146" s="361">
        <v>0</v>
      </c>
      <c r="Z146" s="264">
        <v>-1122.5</v>
      </c>
      <c r="AA146" s="423"/>
      <c r="AB146" s="273">
        <f>SUM(OPX_LE3!$T148:$AA148)</f>
        <v>-1122.5</v>
      </c>
      <c r="AC146" s="426">
        <f t="shared" si="2"/>
        <v>-11500</v>
      </c>
      <c r="AD146" s="426"/>
      <c r="AE146" s="417">
        <v>0</v>
      </c>
      <c r="AF146" s="417">
        <v>0</v>
      </c>
      <c r="AG146" s="417">
        <v>0</v>
      </c>
      <c r="AH146" s="417">
        <v>-8419</v>
      </c>
      <c r="AI146" s="417">
        <v>0</v>
      </c>
      <c r="AJ146" s="317">
        <f>SUM(OPX_LE3!$AC148:$AI148)</f>
        <v>-8419</v>
      </c>
      <c r="AK146" s="424">
        <v>0</v>
      </c>
      <c r="AL146" s="276">
        <f>SUM(OPX_LE3!$J148,OPX_LE3!$AB148,OPX_LE3!$S148,OPX_LE3!$AJ148,OPX_LE3!$R148,OPX_LE3!$AK148)</f>
        <v>-10664</v>
      </c>
      <c r="AM146" s="427">
        <v>0</v>
      </c>
    </row>
    <row r="147" spans="1:39" ht="15" hidden="1">
      <c r="A147" s="325" t="s">
        <v>581</v>
      </c>
      <c r="B147" s="322" t="str">
        <f>VLOOKUP(OPX_LE3!$A149,Tableau106[],3,FALSE)</f>
        <v>A063</v>
      </c>
      <c r="C147" s="322" t="str">
        <f>VLOOKUP(OPX_LE3!$A149,Tableau106[],2,FALSE)</f>
        <v>FR34E85E</v>
      </c>
      <c r="D147" s="322" t="str">
        <f>VLOOKUP(OPX_LE3!$A149,Tableau106[],8,FALSE)</f>
        <v>EOLIEN</v>
      </c>
      <c r="E147" s="324">
        <f>VLOOKUP(OPX_LE3!$A149,Tableau106[],4,FALSE)</f>
        <v>11.5</v>
      </c>
      <c r="F147" s="322" t="str">
        <f>VLOOKUP(OPX_LE3!$A149,Tableau106[],5,FALSE)</f>
        <v>FRA1</v>
      </c>
      <c r="G147" s="322" t="str">
        <f>VLOOKUP(OPX_LE3!$A149,Tableau106[],7,FALSE)</f>
        <v>FUTUREN</v>
      </c>
      <c r="H147" s="322" t="str">
        <f>VLOOKUP(OPX_LE3!$A149,Tableau106[],6,FALSE)</f>
        <v>S</v>
      </c>
      <c r="I147" s="322" t="str">
        <f>VLOOKUP(OPX_LE3!$A149,Tableau106[],9,FALSE)</f>
        <v>OdP</v>
      </c>
      <c r="J147" s="254">
        <v>-18390</v>
      </c>
      <c r="K147" s="228"/>
      <c r="L147" s="228"/>
      <c r="M147" s="229">
        <f>+VLOOKUP(Tableau163[[#This Row],[CODE PI]],Tableau15[[CODE PI]:[Prestations diverses  &amp; accompagnements interne (1,6 k€ par jour d''acc)]],8,FALSE)</f>
        <v>0</v>
      </c>
      <c r="N147" s="229">
        <f>+VLOOKUP(Tableau163[[#This Row],[CODE PI]],Tableau15[[CODE PI]:[Prestations diverses  &amp; accompagnements interne (1,6 k€ par jour d''acc)]],9,FALSE)</f>
        <v>0</v>
      </c>
      <c r="O147" s="229">
        <f>+VLOOKUP(Tableau163[[#This Row],[CODE PI]],Tableau15[[CODE PI]:[Prestations diverses  &amp; accompagnements interne (1,6 k€ par jour d''acc)]],10,FALSE)</f>
        <v>0</v>
      </c>
      <c r="P147" s="229">
        <f>+VLOOKUP(Tableau163[[#This Row],[CODE PI]],Tableau15[[CODE PI]:[Prestations diverses  &amp; accompagnements interne (1,6 k€ par jour d''acc)]],11,FALSE)</f>
        <v>-4025</v>
      </c>
      <c r="Q147" s="230">
        <f>-250*OPX_LE3!$E149</f>
        <v>-2875</v>
      </c>
      <c r="R147" s="311">
        <f>SUM(OPX_LE3!$K149:$Q149)</f>
        <v>-20005</v>
      </c>
      <c r="S147" s="337">
        <v>-459293</v>
      </c>
      <c r="T147" s="361">
        <v>0</v>
      </c>
      <c r="U147" s="362">
        <v>0</v>
      </c>
      <c r="V147" s="361">
        <v>-12600</v>
      </c>
      <c r="W147" s="361">
        <v>-6000</v>
      </c>
      <c r="X147" s="361">
        <v>0</v>
      </c>
      <c r="Y147" s="361">
        <v>0</v>
      </c>
      <c r="Z147" s="264">
        <v>-2875</v>
      </c>
      <c r="AA147" s="423"/>
      <c r="AB147" s="273">
        <f>SUM(OPX_LE3!$T149:$AA149)</f>
        <v>-25475</v>
      </c>
      <c r="AC147" s="426">
        <f t="shared" si="2"/>
        <v>-11500</v>
      </c>
      <c r="AD147" s="426"/>
      <c r="AE147" s="417">
        <v>0</v>
      </c>
      <c r="AF147" s="417">
        <v>0</v>
      </c>
      <c r="AG147" s="417">
        <v>-12000</v>
      </c>
      <c r="AH147" s="417">
        <v>0</v>
      </c>
      <c r="AI147" s="417">
        <v>-2000</v>
      </c>
      <c r="AJ147" s="317">
        <f>SUM(OPX_LE3!$AC149:$AI149)</f>
        <v>-58151.72</v>
      </c>
      <c r="AK147" s="424">
        <v>0</v>
      </c>
      <c r="AL147" s="276">
        <f>SUM(OPX_LE3!$J149,OPX_LE3!$AB149,OPX_LE3!$S149,OPX_LE3!$AJ149,OPX_LE3!$R149,OPX_LE3!$AK149)</f>
        <v>-581314.72</v>
      </c>
      <c r="AM147" s="427">
        <v>-12000</v>
      </c>
    </row>
    <row r="148" spans="1:39" ht="15" hidden="1">
      <c r="A148" s="244" t="s">
        <v>639</v>
      </c>
      <c r="B148" s="232" t="str">
        <f>VLOOKUP(OPX_LE3!$A150,Tableau106[],3,FALSE)</f>
        <v>A955</v>
      </c>
      <c r="C148" s="232" t="str">
        <f>VLOOKUP(OPX_LE3!$A150,Tableau106[],2,FALSE)</f>
        <v>FR05S03E</v>
      </c>
      <c r="D148" s="232" t="str">
        <f>VLOOKUP(OPX_LE3!$A150,Tableau106[],8,FALSE)</f>
        <v>SOLAIRE</v>
      </c>
      <c r="E148" s="233">
        <f>VLOOKUP(OPX_LE3!$A150,Tableau106[],4,FALSE)</f>
        <v>5</v>
      </c>
      <c r="F148" s="232" t="str">
        <f>VLOOKUP(OPX_LE3!$A150,Tableau106[],5,FALSE)</f>
        <v>ROCH</v>
      </c>
      <c r="G148" s="232" t="str">
        <f>VLOOKUP(OPX_LE3!$A150,Tableau106[],7,FALSE)</f>
        <v>GROUPE</v>
      </c>
      <c r="H148" s="232" t="str">
        <f>VLOOKUP(OPX_LE3!$A150,Tableau106[],6,FALSE)</f>
        <v>S</v>
      </c>
      <c r="I148" s="232" t="str">
        <f>VLOOKUP(OPX_LE3!$A150,Tableau106[],9,FALSE)</f>
        <v>BaA</v>
      </c>
      <c r="J148" s="254"/>
      <c r="K148" s="228"/>
      <c r="L148" s="228"/>
      <c r="M148" s="229">
        <f>+VLOOKUP(Tableau163[[#This Row],[CODE PI]],Tableau15[[CODE PI]:[Prestations diverses  &amp; accompagnements interne (1,6 k€ par jour d''acc)]],8,FALSE)</f>
        <v>0</v>
      </c>
      <c r="N148" s="229">
        <f>+VLOOKUP(Tableau163[[#This Row],[CODE PI]],Tableau15[[CODE PI]:[Prestations diverses  &amp; accompagnements interne (1,6 k€ par jour d''acc)]],9,FALSE)</f>
        <v>0</v>
      </c>
      <c r="O148" s="229">
        <f>+VLOOKUP(Tableau163[[#This Row],[CODE PI]],Tableau15[[CODE PI]:[Prestations diverses  &amp; accompagnements interne (1,6 k€ par jour d''acc)]],10,FALSE)</f>
        <v>0</v>
      </c>
      <c r="P148" s="229">
        <f>+VLOOKUP(Tableau163[[#This Row],[CODE PI]],Tableau15[[CODE PI]:[Prestations diverses  &amp; accompagnements interne (1,6 k€ par jour d''acc)]],11,FALSE)</f>
        <v>0</v>
      </c>
      <c r="Q148" s="230">
        <f>-250*OPX_LE3!$E150</f>
        <v>-1250</v>
      </c>
      <c r="R148" s="311">
        <f>SUM(OPX_LE3!$K150:$Q150)</f>
        <v>-1250</v>
      </c>
      <c r="S148" s="337"/>
      <c r="T148" s="361">
        <v>0</v>
      </c>
      <c r="U148" s="362">
        <v>0</v>
      </c>
      <c r="V148" s="361">
        <v>0</v>
      </c>
      <c r="W148" s="361">
        <v>0</v>
      </c>
      <c r="X148" s="361">
        <v>0</v>
      </c>
      <c r="Y148" s="361">
        <v>0</v>
      </c>
      <c r="Z148" s="264">
        <v>-1250</v>
      </c>
      <c r="AA148" s="423"/>
      <c r="AB148" s="273">
        <f>SUM(OPX_LE3!$T150:$AA150)</f>
        <v>-1250</v>
      </c>
      <c r="AC148" s="426">
        <f t="shared" si="2"/>
        <v>-11500</v>
      </c>
      <c r="AD148" s="426"/>
      <c r="AE148" s="417">
        <v>0</v>
      </c>
      <c r="AF148" s="417">
        <v>0</v>
      </c>
      <c r="AG148" s="417">
        <v>0</v>
      </c>
      <c r="AH148" s="417">
        <v>-6000</v>
      </c>
      <c r="AI148" s="417">
        <v>0</v>
      </c>
      <c r="AJ148" s="317">
        <f>SUM(OPX_LE3!$AC150:$AI150)</f>
        <v>0</v>
      </c>
      <c r="AK148" s="424">
        <v>0</v>
      </c>
      <c r="AL148" s="276">
        <f>SUM(OPX_LE3!$J150,OPX_LE3!$AB150,OPX_LE3!$S150,OPX_LE3!$AJ150,OPX_LE3!$R150,OPX_LE3!$AK150)</f>
        <v>-42500</v>
      </c>
      <c r="AM148" s="427">
        <v>0</v>
      </c>
    </row>
    <row r="149" spans="1:39" ht="15" hidden="1">
      <c r="A149" s="325" t="s">
        <v>609</v>
      </c>
      <c r="B149" s="322" t="str">
        <f>VLOOKUP(OPX_LE3!$A151,Tableau106[],3,FALSE)</f>
        <v>A540</v>
      </c>
      <c r="C149" s="322" t="str">
        <f>VLOOKUP(OPX_LE3!$A151,Tableau106[],2,FALSE)</f>
        <v>FR56E06E</v>
      </c>
      <c r="D149" s="322" t="str">
        <f>VLOOKUP(OPX_LE3!$A151,Tableau106[],8,FALSE)</f>
        <v>EOLIEN</v>
      </c>
      <c r="E149" s="324">
        <f>VLOOKUP(OPX_LE3!$A151,Tableau106[],4,FALSE)</f>
        <v>6.85</v>
      </c>
      <c r="F149" s="322" t="str">
        <f>VLOOKUP(OPX_LE3!$A151,Tableau106[],5,FALSE)</f>
        <v>RODU</v>
      </c>
      <c r="G149" s="322" t="str">
        <f>VLOOKUP(OPX_LE3!$A151,Tableau106[],7,FALSE)</f>
        <v>EGM</v>
      </c>
      <c r="H149" s="322" t="str">
        <f>VLOOKUP(OPX_LE3!$A151,Tableau106[],6,FALSE)</f>
        <v>N</v>
      </c>
      <c r="I149" s="322" t="str">
        <f>VLOOKUP(OPX_LE3!$A151,Tableau106[],9,FALSE)</f>
        <v>DeN</v>
      </c>
      <c r="J149" s="254">
        <v>-186980</v>
      </c>
      <c r="K149" s="228"/>
      <c r="L149" s="228"/>
      <c r="M149" s="229">
        <f>+VLOOKUP(Tableau163[[#This Row],[CODE PI]],Tableau15[[CODE PI]:[Prestations diverses  &amp; accompagnements interne (1,6 k€ par jour d''acc)]],8,FALSE)</f>
        <v>0</v>
      </c>
      <c r="N149" s="229">
        <f>+VLOOKUP(Tableau163[[#This Row],[CODE PI]],Tableau15[[CODE PI]:[Prestations diverses  &amp; accompagnements interne (1,6 k€ par jour d''acc)]],9,FALSE)</f>
        <v>0</v>
      </c>
      <c r="O149" s="229">
        <f>+VLOOKUP(Tableau163[[#This Row],[CODE PI]],Tableau15[[CODE PI]:[Prestations diverses  &amp; accompagnements interne (1,6 k€ par jour d''acc)]],10,FALSE)</f>
        <v>0</v>
      </c>
      <c r="P149" s="229">
        <f>+VLOOKUP(Tableau163[[#This Row],[CODE PI]],Tableau15[[CODE PI]:[Prestations diverses  &amp; accompagnements interne (1,6 k€ par jour d''acc)]],11,FALSE)</f>
        <v>-2397.5</v>
      </c>
      <c r="Q149" s="230">
        <f>-250*OPX_LE3!$E151</f>
        <v>-1712.5</v>
      </c>
      <c r="R149" s="311">
        <f>SUM(OPX_LE3!$K151:$Q151)</f>
        <v>-43220</v>
      </c>
      <c r="S149" s="337">
        <v>0</v>
      </c>
      <c r="T149" s="361">
        <v>0</v>
      </c>
      <c r="U149" s="362">
        <v>0</v>
      </c>
      <c r="V149" s="361">
        <v>-1000</v>
      </c>
      <c r="W149" s="361">
        <v>0</v>
      </c>
      <c r="X149" s="361">
        <v>0</v>
      </c>
      <c r="Y149" s="361">
        <v>0</v>
      </c>
      <c r="Z149" s="264">
        <v>-1712.5</v>
      </c>
      <c r="AA149" s="423"/>
      <c r="AB149" s="273">
        <f>SUM(OPX_LE3!$T151:$AA151)</f>
        <v>-2712.5</v>
      </c>
      <c r="AC149" s="426">
        <f t="shared" si="2"/>
        <v>-11500</v>
      </c>
      <c r="AD149" s="426"/>
      <c r="AE149" s="417">
        <v>0</v>
      </c>
      <c r="AF149" s="417">
        <v>0</v>
      </c>
      <c r="AG149" s="417">
        <v>0</v>
      </c>
      <c r="AH149" s="417">
        <v>0</v>
      </c>
      <c r="AI149" s="417">
        <v>0</v>
      </c>
      <c r="AJ149" s="317">
        <f>SUM(OPX_LE3!$AC151:$AI151)</f>
        <v>0</v>
      </c>
      <c r="AK149" s="424">
        <v>0</v>
      </c>
      <c r="AL149" s="276">
        <f>SUM(OPX_LE3!$J151,OPX_LE3!$AB151,OPX_LE3!$S151,OPX_LE3!$AJ151,OPX_LE3!$R151,OPX_LE3!$AK151)</f>
        <v>-232912.5</v>
      </c>
      <c r="AM149" s="427">
        <v>0</v>
      </c>
    </row>
    <row r="150" spans="1:39" ht="15" hidden="1">
      <c r="A150" s="244" t="s">
        <v>482</v>
      </c>
      <c r="B150" s="232" t="str">
        <f>VLOOKUP(OPX_LE3!$A152,Tableau106[],3,FALSE)</f>
        <v>A418</v>
      </c>
      <c r="C150" s="232" t="str">
        <f>VLOOKUP(OPX_LE3!$A152,Tableau106[],2,FALSE)</f>
        <v>FR87E03E</v>
      </c>
      <c r="D150" s="232" t="str">
        <f>VLOOKUP(OPX_LE3!$A152,Tableau106[],8,FALSE)</f>
        <v>EOLIEN</v>
      </c>
      <c r="E150" s="233">
        <f>VLOOKUP(OPX_LE3!$A152,Tableau106[],4,FALSE)</f>
        <v>15</v>
      </c>
      <c r="F150" s="232" t="str">
        <f>VLOOKUP(OPX_LE3!$A152,Tableau106[],5,FALSE)</f>
        <v>ROUS</v>
      </c>
      <c r="G150" s="232" t="str">
        <f>VLOOKUP(OPX_LE3!$A152,Tableau106[],7,FALSE)</f>
        <v>GROUPE</v>
      </c>
      <c r="H150" s="232" t="str">
        <f>VLOOKUP(OPX_LE3!$A152,Tableau106[],6,FALSE)</f>
        <v>S</v>
      </c>
      <c r="I150" s="232" t="str">
        <f>VLOOKUP(OPX_LE3!$A152,Tableau106[],9,FALSE)</f>
        <v>KéC</v>
      </c>
      <c r="J150" s="254">
        <v>0</v>
      </c>
      <c r="K150" s="228"/>
      <c r="L150" s="228"/>
      <c r="M150" s="229">
        <f>+VLOOKUP(Tableau163[[#This Row],[CODE PI]],Tableau15[[CODE PI]:[Prestations diverses  &amp; accompagnements interne (1,6 k€ par jour d''acc)]],8,FALSE)</f>
        <v>0</v>
      </c>
      <c r="N150" s="229">
        <f>+VLOOKUP(Tableau163[[#This Row],[CODE PI]],Tableau15[[CODE PI]:[Prestations diverses  &amp; accompagnements interne (1,6 k€ par jour d''acc)]],9,FALSE)</f>
        <v>0</v>
      </c>
      <c r="O150" s="229">
        <f>+VLOOKUP(Tableau163[[#This Row],[CODE PI]],Tableau15[[CODE PI]:[Prestations diverses  &amp; accompagnements interne (1,6 k€ par jour d''acc)]],10,FALSE)</f>
        <v>0</v>
      </c>
      <c r="P150" s="229">
        <f>+VLOOKUP(Tableau163[[#This Row],[CODE PI]],Tableau15[[CODE PI]:[Prestations diverses  &amp; accompagnements interne (1,6 k€ par jour d''acc)]],11,FALSE)</f>
        <v>-5250</v>
      </c>
      <c r="Q150" s="230">
        <f>-250*OPX_LE3!$E152</f>
        <v>-3750</v>
      </c>
      <c r="R150" s="311">
        <f>SUM(OPX_LE3!$K152:$Q152)</f>
        <v>-10822</v>
      </c>
      <c r="S150" s="337">
        <v>-198247</v>
      </c>
      <c r="T150" s="361">
        <v>0</v>
      </c>
      <c r="U150" s="362">
        <v>0</v>
      </c>
      <c r="V150" s="361">
        <v>0</v>
      </c>
      <c r="W150" s="361">
        <v>-1000</v>
      </c>
      <c r="X150" s="361">
        <v>0</v>
      </c>
      <c r="Y150" s="361">
        <v>0</v>
      </c>
      <c r="Z150" s="264">
        <v>-3750</v>
      </c>
      <c r="AA150" s="423"/>
      <c r="AB150" s="273">
        <f>SUM(OPX_LE3!$T152:$AA152)</f>
        <v>-19957.254133308001</v>
      </c>
      <c r="AC150" s="426">
        <f t="shared" si="2"/>
        <v>-11500</v>
      </c>
      <c r="AD150" s="426"/>
      <c r="AE150" s="417">
        <v>0</v>
      </c>
      <c r="AF150" s="417">
        <v>-26198</v>
      </c>
      <c r="AG150" s="417">
        <v>-20244</v>
      </c>
      <c r="AH150" s="417">
        <v>0</v>
      </c>
      <c r="AI150" s="417">
        <v>0</v>
      </c>
      <c r="AJ150" s="317">
        <f>SUM(OPX_LE3!$AC152:$AI152)</f>
        <v>-68459.03</v>
      </c>
      <c r="AK150" s="424">
        <v>0</v>
      </c>
      <c r="AL150" s="276">
        <f>SUM(OPX_LE3!$J152,OPX_LE3!$AB152,OPX_LE3!$S152,OPX_LE3!$AJ152,OPX_LE3!$R152,OPX_LE3!$AK152)</f>
        <v>-326541.28413330799</v>
      </c>
      <c r="AM150" s="427">
        <v>0</v>
      </c>
    </row>
    <row r="151" spans="1:39" ht="15" hidden="1">
      <c r="A151" s="325" t="s">
        <v>573</v>
      </c>
      <c r="B151" s="322" t="str">
        <f>VLOOKUP(OPX_LE3!$A153,Tableau106[],3,FALSE)</f>
        <v>F037</v>
      </c>
      <c r="C151" s="322" t="str">
        <f>VLOOKUP(OPX_LE3!$A153,Tableau106[],2,FALSE)</f>
        <v>FR14E05E</v>
      </c>
      <c r="D151" s="322" t="str">
        <f>VLOOKUP(OPX_LE3!$A153,Tableau106[],8,FALSE)</f>
        <v>EOLIEN</v>
      </c>
      <c r="E151" s="324">
        <f>VLOOKUP(OPX_LE3!$A153,Tableau106[],4,FALSE)</f>
        <v>10</v>
      </c>
      <c r="F151" s="322" t="str">
        <f>VLOOKUP(OPX_LE3!$A153,Tableau106[],5,FALSE)</f>
        <v>SABL</v>
      </c>
      <c r="G151" s="322" t="str">
        <f>VLOOKUP(OPX_LE3!$A153,Tableau106[],7,FALSE)</f>
        <v>FUTUREN</v>
      </c>
      <c r="H151" s="322" t="str">
        <f>VLOOKUP(OPX_LE3!$A153,Tableau106[],6,FALSE)</f>
        <v>N</v>
      </c>
      <c r="I151" s="322" t="str">
        <f>VLOOKUP(OPX_LE3!$A153,Tableau106[],9,FALSE)</f>
        <v>AnN</v>
      </c>
      <c r="J151" s="254">
        <f>-107787-(0.00633*(CA_LE3!J89*1000))</f>
        <v>-233098.12380199999</v>
      </c>
      <c r="K151" s="228"/>
      <c r="L151" s="228"/>
      <c r="M151" s="229">
        <v>-1600</v>
      </c>
      <c r="N151" s="229">
        <f>+VLOOKUP(Tableau163[[#This Row],[CODE PI]],Tableau15[[CODE PI]:[Prestations diverses  &amp; accompagnements interne (1,6 k€ par jour d''acc)]],9,FALSE)</f>
        <v>0</v>
      </c>
      <c r="O151" s="229">
        <f>+VLOOKUP(Tableau163[[#This Row],[CODE PI]],Tableau15[[CODE PI]:[Prestations diverses  &amp; accompagnements interne (1,6 k€ par jour d''acc)]],10,FALSE)</f>
        <v>0</v>
      </c>
      <c r="P151" s="229">
        <f>+VLOOKUP(Tableau163[[#This Row],[CODE PI]],Tableau15[[CODE PI]:[Prestations diverses  &amp; accompagnements interne (1,6 k€ par jour d''acc)]],11,FALSE)</f>
        <v>0</v>
      </c>
      <c r="Q151" s="230">
        <f>-250*OPX_LE3!$E153</f>
        <v>-2500</v>
      </c>
      <c r="R151" s="311">
        <f>SUM(OPX_LE3!$K153:$Q153)</f>
        <v>-69100</v>
      </c>
      <c r="S151" s="337">
        <v>0</v>
      </c>
      <c r="T151" s="361">
        <v>0</v>
      </c>
      <c r="U151" s="362">
        <v>0</v>
      </c>
      <c r="V151" s="361">
        <f>-1600-1500</f>
        <v>-3100</v>
      </c>
      <c r="W151" s="361">
        <v>-1000</v>
      </c>
      <c r="X151" s="361">
        <v>0</v>
      </c>
      <c r="Y151" s="361">
        <v>0</v>
      </c>
      <c r="Z151" s="264">
        <v>-2500</v>
      </c>
      <c r="AA151" s="423"/>
      <c r="AB151" s="273">
        <f>SUM(OPX_LE3!$T153:$AA153)</f>
        <v>-6600</v>
      </c>
      <c r="AC151" s="426">
        <f t="shared" si="2"/>
        <v>-11500</v>
      </c>
      <c r="AD151" s="426"/>
      <c r="AE151" s="417">
        <v>0</v>
      </c>
      <c r="AF151" s="417">
        <v>0</v>
      </c>
      <c r="AG151" s="417">
        <v>0</v>
      </c>
      <c r="AH151" s="417">
        <v>0</v>
      </c>
      <c r="AI151" s="417">
        <v>0</v>
      </c>
      <c r="AJ151" s="317">
        <f>SUM(OPX_LE3!$AC153:$AI153)</f>
        <v>0</v>
      </c>
      <c r="AK151" s="424">
        <v>0</v>
      </c>
      <c r="AL151" s="276">
        <f>SUM(OPX_LE3!$J153,OPX_LE3!$AB153,OPX_LE3!$S153,OPX_LE3!$AJ153,OPX_LE3!$R153,OPX_LE3!$AK153)</f>
        <v>-308798.12380199996</v>
      </c>
      <c r="AM151" s="427">
        <v>0</v>
      </c>
    </row>
    <row r="152" spans="1:39" ht="15" hidden="1">
      <c r="A152" s="244" t="s">
        <v>578</v>
      </c>
      <c r="B152" s="232" t="str">
        <f>VLOOKUP(OPX_LE3!$A154,Tableau106[],3,FALSE)</f>
        <v>A544</v>
      </c>
      <c r="C152" s="232" t="str">
        <f>VLOOKUP(OPX_LE3!$A154,Tableau106[],2,FALSE)</f>
        <v>FR55E07E</v>
      </c>
      <c r="D152" s="232" t="str">
        <f>VLOOKUP(OPX_LE3!$A154,Tableau106[],8,FALSE)</f>
        <v>EOLIEN</v>
      </c>
      <c r="E152" s="233">
        <f>VLOOKUP(OPX_LE3!$A154,Tableau106[],4,FALSE)</f>
        <v>12</v>
      </c>
      <c r="F152" s="232" t="str">
        <f>VLOOKUP(OPX_LE3!$A154,Tableau106[],5,FALSE)</f>
        <v>STAU</v>
      </c>
      <c r="G152" s="232" t="str">
        <f>VLOOKUP(OPX_LE3!$A154,Tableau106[],7,FALSE)</f>
        <v>EGM</v>
      </c>
      <c r="H152" s="232" t="str">
        <f>VLOOKUP(OPX_LE3!$A154,Tableau106[],6,FALSE)</f>
        <v>N</v>
      </c>
      <c r="I152" s="232" t="str">
        <f>VLOOKUP(OPX_LE3!$A154,Tableau106[],9,FALSE)</f>
        <v>NoS</v>
      </c>
      <c r="J152" s="254">
        <v>-309549</v>
      </c>
      <c r="K152" s="228"/>
      <c r="L152" s="228"/>
      <c r="M152" s="229">
        <f>+VLOOKUP(Tableau163[[#This Row],[CODE PI]],Tableau15[[CODE PI]:[Prestations diverses  &amp; accompagnements interne (1,6 k€ par jour d''acc)]],8,FALSE)</f>
        <v>0</v>
      </c>
      <c r="N152" s="229">
        <f>+VLOOKUP(Tableau163[[#This Row],[CODE PI]],Tableau15[[CODE PI]:[Prestations diverses  &amp; accompagnements interne (1,6 k€ par jour d''acc)]],9,FALSE)</f>
        <v>0</v>
      </c>
      <c r="O152" s="229">
        <f>+VLOOKUP(Tableau163[[#This Row],[CODE PI]],Tableau15[[CODE PI]:[Prestations diverses  &amp; accompagnements interne (1,6 k€ par jour d''acc)]],10,FALSE)</f>
        <v>0</v>
      </c>
      <c r="P152" s="229">
        <f>+VLOOKUP(Tableau163[[#This Row],[CODE PI]],Tableau15[[CODE PI]:[Prestations diverses  &amp; accompagnements interne (1,6 k€ par jour d''acc)]],11,FALSE)</f>
        <v>-4200</v>
      </c>
      <c r="Q152" s="230">
        <f>-250*OPX_LE3!$E154</f>
        <v>-3000</v>
      </c>
      <c r="R152" s="311">
        <f>SUM(OPX_LE3!$K154:$Q154)</f>
        <v>-107200</v>
      </c>
      <c r="S152" s="337">
        <v>0</v>
      </c>
      <c r="T152" s="361">
        <v>0</v>
      </c>
      <c r="U152" s="362">
        <v>0</v>
      </c>
      <c r="V152" s="361">
        <v>-2000</v>
      </c>
      <c r="W152" s="361">
        <v>0</v>
      </c>
      <c r="X152" s="361">
        <v>0</v>
      </c>
      <c r="Y152" s="361">
        <v>0</v>
      </c>
      <c r="Z152" s="264">
        <v>-3000</v>
      </c>
      <c r="AA152" s="423"/>
      <c r="AB152" s="273">
        <f>SUM(OPX_LE3!$T154:$AA154)</f>
        <v>-5000</v>
      </c>
      <c r="AC152" s="426">
        <f t="shared" si="2"/>
        <v>-11500</v>
      </c>
      <c r="AD152" s="426"/>
      <c r="AE152" s="417">
        <v>0</v>
      </c>
      <c r="AF152" s="417">
        <v>0</v>
      </c>
      <c r="AG152" s="417">
        <v>0</v>
      </c>
      <c r="AH152" s="417">
        <v>0</v>
      </c>
      <c r="AI152" s="417">
        <v>0</v>
      </c>
      <c r="AJ152" s="317">
        <f>SUM(OPX_LE3!$AC154:$AI154)</f>
        <v>0</v>
      </c>
      <c r="AK152" s="424">
        <v>0</v>
      </c>
      <c r="AL152" s="276">
        <f>SUM(OPX_LE3!$J154,OPX_LE3!$AB154,OPX_LE3!$S154,OPX_LE3!$AJ154,OPX_LE3!$R154,OPX_LE3!$AK154)</f>
        <v>-421749</v>
      </c>
      <c r="AM152" s="427">
        <v>0</v>
      </c>
    </row>
    <row r="153" spans="1:39" ht="15" hidden="1">
      <c r="A153" s="325" t="s">
        <v>612</v>
      </c>
      <c r="B153" s="322" t="str">
        <f>VLOOKUP(OPX_LE3!$A155,Tableau106[],3,FALSE)</f>
        <v>A540</v>
      </c>
      <c r="C153" s="322" t="str">
        <f>VLOOKUP(OPX_LE3!$A155,Tableau106[],2,FALSE)</f>
        <v>FR56E07E</v>
      </c>
      <c r="D153" s="322" t="str">
        <f>VLOOKUP(OPX_LE3!$A155,Tableau106[],8,FALSE)</f>
        <v>EOLIEN</v>
      </c>
      <c r="E153" s="324">
        <f>VLOOKUP(OPX_LE3!$A155,Tableau106[],4,FALSE)</f>
        <v>8</v>
      </c>
      <c r="F153" s="322" t="str">
        <f>VLOOKUP(OPX_LE3!$A155,Tableau106[],5,FALSE)</f>
        <v>STME</v>
      </c>
      <c r="G153" s="322" t="str">
        <f>VLOOKUP(OPX_LE3!$A155,Tableau106[],7,FALSE)</f>
        <v>EGM</v>
      </c>
      <c r="H153" s="322" t="str">
        <f>VLOOKUP(OPX_LE3!$A155,Tableau106[],6,FALSE)</f>
        <v>N</v>
      </c>
      <c r="I153" s="322" t="str">
        <f>VLOOKUP(OPX_LE3!$A155,Tableau106[],9,FALSE)</f>
        <v>DeN</v>
      </c>
      <c r="J153" s="254">
        <v>-206499</v>
      </c>
      <c r="K153" s="228"/>
      <c r="L153" s="228"/>
      <c r="M153" s="229">
        <f>+VLOOKUP(Tableau163[[#This Row],[CODE PI]],Tableau15[[CODE PI]:[Prestations diverses  &amp; accompagnements interne (1,6 k€ par jour d''acc)]],8,FALSE)</f>
        <v>0</v>
      </c>
      <c r="N153" s="229">
        <f>+VLOOKUP(Tableau163[[#This Row],[CODE PI]],Tableau15[[CODE PI]:[Prestations diverses  &amp; accompagnements interne (1,6 k€ par jour d''acc)]],9,FALSE)</f>
        <v>0</v>
      </c>
      <c r="O153" s="229">
        <f>+VLOOKUP(Tableau163[[#This Row],[CODE PI]],Tableau15[[CODE PI]:[Prestations diverses  &amp; accompagnements interne (1,6 k€ par jour d''acc)]],10,FALSE)</f>
        <v>0</v>
      </c>
      <c r="P153" s="229">
        <f>+VLOOKUP(Tableau163[[#This Row],[CODE PI]],Tableau15[[CODE PI]:[Prestations diverses  &amp; accompagnements interne (1,6 k€ par jour d''acc)]],11,FALSE)</f>
        <v>-2800</v>
      </c>
      <c r="Q153" s="230">
        <f>-250*OPX_LE3!$E155</f>
        <v>-2000</v>
      </c>
      <c r="R153" s="311">
        <f>SUM(OPX_LE3!$K155:$Q155)</f>
        <v>-39310</v>
      </c>
      <c r="S153" s="337">
        <v>0</v>
      </c>
      <c r="T153" s="361">
        <v>0</v>
      </c>
      <c r="U153" s="362">
        <v>0</v>
      </c>
      <c r="V153" s="361">
        <v>-1000</v>
      </c>
      <c r="W153" s="361">
        <v>0</v>
      </c>
      <c r="X153" s="361">
        <v>0</v>
      </c>
      <c r="Y153" s="361">
        <v>0</v>
      </c>
      <c r="Z153" s="264">
        <v>-2000</v>
      </c>
      <c r="AA153" s="423"/>
      <c r="AB153" s="273">
        <f>SUM(OPX_LE3!$T155:$AA155)</f>
        <v>-3000</v>
      </c>
      <c r="AC153" s="426">
        <f t="shared" si="2"/>
        <v>-11500</v>
      </c>
      <c r="AD153" s="426"/>
      <c r="AE153" s="417">
        <v>0</v>
      </c>
      <c r="AF153" s="417">
        <v>0</v>
      </c>
      <c r="AG153" s="417">
        <v>0</v>
      </c>
      <c r="AH153" s="417">
        <v>0</v>
      </c>
      <c r="AI153" s="417">
        <v>0</v>
      </c>
      <c r="AJ153" s="317">
        <f>SUM(OPX_LE3!$AC155:$AI155)</f>
        <v>0</v>
      </c>
      <c r="AK153" s="424">
        <v>0</v>
      </c>
      <c r="AL153" s="276">
        <f>SUM(OPX_LE3!$J155,OPX_LE3!$AB155,OPX_LE3!$S155,OPX_LE3!$AJ155,OPX_LE3!$R155,OPX_LE3!$AK155)</f>
        <v>-248809</v>
      </c>
      <c r="AM153" s="427">
        <v>0</v>
      </c>
    </row>
    <row r="154" spans="1:39" ht="15" hidden="1">
      <c r="A154" s="244" t="s">
        <v>589</v>
      </c>
      <c r="B154" s="232" t="str">
        <f>VLOOKUP(OPX_LE3!$A156,Tableau106[],3,FALSE)</f>
        <v>A135</v>
      </c>
      <c r="C154" s="232" t="str">
        <f>VLOOKUP(OPX_LE3!$A156,Tableau106[],2,FALSE)</f>
        <v>FR04S98E</v>
      </c>
      <c r="D154" s="232" t="str">
        <f>VLOOKUP(OPX_LE3!$A156,Tableau106[],8,FALSE)</f>
        <v>SOLAIRE</v>
      </c>
      <c r="E154" s="233">
        <f>VLOOKUP(OPX_LE3!$A156,Tableau106[],4,FALSE)</f>
        <v>5.2350000000000003</v>
      </c>
      <c r="F154" s="232" t="str">
        <f>VLOOKUP(OPX_LE3!$A156,Tableau106[],5,FALSE)</f>
        <v>STUL</v>
      </c>
      <c r="G154" s="232" t="str">
        <f>VLOOKUP(OPX_LE3!$A156,Tableau106[],7,FALSE)</f>
        <v>GROUPE</v>
      </c>
      <c r="H154" s="232" t="str">
        <f>VLOOKUP(OPX_LE3!$A156,Tableau106[],6,FALSE)</f>
        <v>S</v>
      </c>
      <c r="I154" s="232" t="str">
        <f>VLOOKUP(OPX_LE3!$A156,Tableau106[],9,FALSE)</f>
        <v>ArB</v>
      </c>
      <c r="J154" s="254">
        <v>-131526</v>
      </c>
      <c r="K154" s="228">
        <v>-16500</v>
      </c>
      <c r="L154" s="228"/>
      <c r="M154" s="229">
        <f>+VLOOKUP(Tableau163[[#This Row],[CODE PI]],Tableau15[[CODE PI]:[Prestations diverses  &amp; accompagnements interne (1,6 k€ par jour d''acc)]],8,FALSE)</f>
        <v>0</v>
      </c>
      <c r="N154" s="229">
        <f>+VLOOKUP(Tableau163[[#This Row],[CODE PI]],Tableau15[[CODE PI]:[Prestations diverses  &amp; accompagnements interne (1,6 k€ par jour d''acc)]],9,FALSE)</f>
        <v>0</v>
      </c>
      <c r="O154" s="229">
        <f>+VLOOKUP(Tableau163[[#This Row],[CODE PI]],Tableau15[[CODE PI]:[Prestations diverses  &amp; accompagnements interne (1,6 k€ par jour d''acc)]],10,FALSE)</f>
        <v>0</v>
      </c>
      <c r="P154" s="229">
        <f>+VLOOKUP(Tableau163[[#This Row],[CODE PI]],Tableau15[[CODE PI]:[Prestations diverses  &amp; accompagnements interne (1,6 k€ par jour d''acc)]],11,FALSE)</f>
        <v>0</v>
      </c>
      <c r="Q154" s="230">
        <f>-250*OPX_LE3!$E156</f>
        <v>-1308.75</v>
      </c>
      <c r="R154" s="311">
        <f>SUM(OPX_LE3!$K156:$Q156)</f>
        <v>-16858.75</v>
      </c>
      <c r="S154" s="337"/>
      <c r="T154" s="361">
        <v>0</v>
      </c>
      <c r="U154" s="362">
        <v>0</v>
      </c>
      <c r="V154" s="361">
        <v>0</v>
      </c>
      <c r="W154" s="361">
        <v>0</v>
      </c>
      <c r="X154" s="361">
        <v>0</v>
      </c>
      <c r="Y154" s="361">
        <v>0</v>
      </c>
      <c r="Z154" s="264">
        <v>-1308.75</v>
      </c>
      <c r="AA154" s="423">
        <v>-5000</v>
      </c>
      <c r="AB154" s="273">
        <f>SUM(OPX_LE3!$T156:$AA156)</f>
        <v>-6308.75</v>
      </c>
      <c r="AC154" s="426">
        <f t="shared" si="2"/>
        <v>-11500</v>
      </c>
      <c r="AD154" s="426"/>
      <c r="AE154" s="417">
        <v>0</v>
      </c>
      <c r="AF154" s="417">
        <v>0</v>
      </c>
      <c r="AG154" s="417">
        <v>0</v>
      </c>
      <c r="AH154" s="417">
        <v>-5000</v>
      </c>
      <c r="AI154" s="417">
        <v>-2000</v>
      </c>
      <c r="AJ154" s="317">
        <f>SUM(OPX_LE3!$AC156:$AI156)</f>
        <v>0</v>
      </c>
      <c r="AK154" s="424">
        <v>-13000</v>
      </c>
      <c r="AL154" s="276">
        <f>SUM(OPX_LE3!$J156,OPX_LE3!$AB156,OPX_LE3!$S156,OPX_LE3!$AJ156,OPX_LE3!$R156,OPX_LE3!$AK156)</f>
        <v>-208177.5</v>
      </c>
      <c r="AM154" s="427">
        <v>0</v>
      </c>
    </row>
    <row r="155" spans="1:39" ht="15" hidden="1">
      <c r="A155" s="325" t="s">
        <v>317</v>
      </c>
      <c r="B155" s="322" t="str">
        <f>VLOOKUP(OPX_LE3!$A157,Tableau106[],3,FALSE)</f>
        <v>F040</v>
      </c>
      <c r="C155" s="322" t="str">
        <f>VLOOKUP(OPX_LE3!$A157,Tableau106[],2,FALSE)</f>
        <v>FR14E04E</v>
      </c>
      <c r="D155" s="322" t="str">
        <f>VLOOKUP(OPX_LE3!$A157,Tableau106[],8,FALSE)</f>
        <v>EOLIEN</v>
      </c>
      <c r="E155" s="324">
        <f>VLOOKUP(OPX_LE3!$A157,Tableau106[],4,FALSE)</f>
        <v>8</v>
      </c>
      <c r="F155" s="322" t="str">
        <f>VLOOKUP(OPX_LE3!$A157,Tableau106[],5,FALSE)</f>
        <v>SALL</v>
      </c>
      <c r="G155" s="322" t="str">
        <f>VLOOKUP(OPX_LE3!$A157,Tableau106[],7,FALSE)</f>
        <v>FUTUREN</v>
      </c>
      <c r="H155" s="322" t="str">
        <f>VLOOKUP(OPX_LE3!$A157,Tableau106[],6,FALSE)</f>
        <v>N</v>
      </c>
      <c r="I155" s="322" t="str">
        <f>VLOOKUP(OPX_LE3!$A157,Tableau106[],9,FALSE)</f>
        <v>MéS</v>
      </c>
      <c r="J155" s="254">
        <v>-9112</v>
      </c>
      <c r="K155" s="228"/>
      <c r="L155" s="228"/>
      <c r="M155" s="229">
        <f>+VLOOKUP(Tableau163[[#This Row],[CODE PI]],Tableau15[[CODE PI]:[Prestations diverses  &amp; accompagnements interne (1,6 k€ par jour d''acc)]],8,FALSE)</f>
        <v>0</v>
      </c>
      <c r="N155" s="229">
        <f>+VLOOKUP(Tableau163[[#This Row],[CODE PI]],Tableau15[[CODE PI]:[Prestations diverses  &amp; accompagnements interne (1,6 k€ par jour d''acc)]],9,FALSE)</f>
        <v>0</v>
      </c>
      <c r="O155" s="229">
        <f>+VLOOKUP(Tableau163[[#This Row],[CODE PI]],Tableau15[[CODE PI]:[Prestations diverses  &amp; accompagnements interne (1,6 k€ par jour d''acc)]],10,FALSE)</f>
        <v>0</v>
      </c>
      <c r="P155" s="229">
        <f>+VLOOKUP(Tableau163[[#This Row],[CODE PI]],Tableau15[[CODE PI]:[Prestations diverses  &amp; accompagnements interne (1,6 k€ par jour d''acc)]],11,FALSE)</f>
        <v>0</v>
      </c>
      <c r="Q155" s="230">
        <f>-250*OPX_LE3!$E157</f>
        <v>-2000</v>
      </c>
      <c r="R155" s="311">
        <f>SUM(OPX_LE3!$K157:$Q157)</f>
        <v>-8780</v>
      </c>
      <c r="S155" s="337">
        <v>-182000</v>
      </c>
      <c r="T155" s="361">
        <v>0</v>
      </c>
      <c r="U155" s="362">
        <v>0</v>
      </c>
      <c r="V155" s="361">
        <v>-2400</v>
      </c>
      <c r="W155" s="361">
        <v>0</v>
      </c>
      <c r="X155" s="361">
        <v>0</v>
      </c>
      <c r="Y155" s="361">
        <v>0</v>
      </c>
      <c r="Z155" s="264">
        <v>-2000</v>
      </c>
      <c r="AA155" s="423"/>
      <c r="AB155" s="273">
        <f>SUM(OPX_LE3!$T157:$AA157)</f>
        <v>-5013</v>
      </c>
      <c r="AC155" s="426">
        <f t="shared" si="2"/>
        <v>-11500</v>
      </c>
      <c r="AD155" s="426"/>
      <c r="AE155" s="417">
        <v>0</v>
      </c>
      <c r="AF155" s="417">
        <v>0</v>
      </c>
      <c r="AG155" s="417">
        <v>0</v>
      </c>
      <c r="AH155" s="417">
        <v>0</v>
      </c>
      <c r="AI155" s="417">
        <v>0</v>
      </c>
      <c r="AJ155" s="317">
        <f>SUM(OPX_LE3!$AC157:$AI157)</f>
        <v>0</v>
      </c>
      <c r="AK155" s="424">
        <v>0</v>
      </c>
      <c r="AL155" s="276">
        <f>SUM(OPX_LE3!$J157,OPX_LE3!$AB157,OPX_LE3!$S157,OPX_LE3!$AJ157,OPX_LE3!$R157,OPX_LE3!$AK157)</f>
        <v>-204905</v>
      </c>
      <c r="AM155" s="427">
        <v>0</v>
      </c>
    </row>
    <row r="156" spans="1:39" ht="15" hidden="1">
      <c r="A156" s="244" t="s">
        <v>641</v>
      </c>
      <c r="B156" s="232" t="str">
        <f>VLOOKUP(OPX_LE3!$A158,Tableau106[],3,FALSE)</f>
        <v>A269</v>
      </c>
      <c r="C156" s="232" t="str">
        <f>VLOOKUP(OPX_LE3!$A158,Tableau106[],2,FALSE)</f>
        <v>FR13S17E</v>
      </c>
      <c r="D156" s="232" t="str">
        <f>VLOOKUP(OPX_LE3!$A158,Tableau106[],8,FALSE)</f>
        <v>SOLAIRE</v>
      </c>
      <c r="E156" s="233">
        <f>VLOOKUP(OPX_LE3!$A158,Tableau106[],4,FALSE)</f>
        <v>3.4</v>
      </c>
      <c r="F156" s="232" t="str">
        <f>VLOOKUP(OPX_LE3!$A158,Tableau106[],5,FALSE)</f>
        <v>SALP</v>
      </c>
      <c r="G156" s="232" t="str">
        <f>VLOOKUP(OPX_LE3!$A158,Tableau106[],7,FALSE)</f>
        <v>GROUPE</v>
      </c>
      <c r="H156" s="232" t="str">
        <f>VLOOKUP(OPX_LE3!$A158,Tableau106[],6,FALSE)</f>
        <v>S</v>
      </c>
      <c r="I156" s="232" t="str">
        <f>VLOOKUP(OPX_LE3!$A158,Tableau106[],9,FALSE)</f>
        <v>BaA</v>
      </c>
      <c r="J156" s="254"/>
      <c r="K156" s="228"/>
      <c r="L156" s="228"/>
      <c r="M156" s="229">
        <f>+VLOOKUP(Tableau163[[#This Row],[CODE PI]],Tableau15[[CODE PI]:[Prestations diverses  &amp; accompagnements interne (1,6 k€ par jour d''acc)]],8,FALSE)</f>
        <v>0</v>
      </c>
      <c r="N156" s="229">
        <f>+VLOOKUP(Tableau163[[#This Row],[CODE PI]],Tableau15[[CODE PI]:[Prestations diverses  &amp; accompagnements interne (1,6 k€ par jour d''acc)]],9,FALSE)</f>
        <v>0</v>
      </c>
      <c r="O156" s="229">
        <f>+VLOOKUP(Tableau163[[#This Row],[CODE PI]],Tableau15[[CODE PI]:[Prestations diverses  &amp; accompagnements interne (1,6 k€ par jour d''acc)]],10,FALSE)</f>
        <v>0</v>
      </c>
      <c r="P156" s="229">
        <f>+VLOOKUP(Tableau163[[#This Row],[CODE PI]],Tableau15[[CODE PI]:[Prestations diverses  &amp; accompagnements interne (1,6 k€ par jour d''acc)]],11,FALSE)</f>
        <v>0</v>
      </c>
      <c r="Q156" s="230">
        <f>-250*OPX_LE3!$E158</f>
        <v>-850</v>
      </c>
      <c r="R156" s="311">
        <f>SUM(OPX_LE3!$K158:$Q158)</f>
        <v>-850</v>
      </c>
      <c r="S156" s="337"/>
      <c r="T156" s="361">
        <v>0</v>
      </c>
      <c r="U156" s="362">
        <v>0</v>
      </c>
      <c r="V156" s="361">
        <v>0</v>
      </c>
      <c r="W156" s="361">
        <v>0</v>
      </c>
      <c r="X156" s="361">
        <v>0</v>
      </c>
      <c r="Y156" s="361">
        <v>0</v>
      </c>
      <c r="Z156" s="264">
        <v>-850</v>
      </c>
      <c r="AA156" s="423"/>
      <c r="AB156" s="273">
        <f>SUM(OPX_LE3!$T158:$AA158)</f>
        <v>-850</v>
      </c>
      <c r="AC156" s="426">
        <f t="shared" si="2"/>
        <v>-11500</v>
      </c>
      <c r="AD156" s="426"/>
      <c r="AE156" s="417">
        <v>0</v>
      </c>
      <c r="AF156" s="417">
        <v>0</v>
      </c>
      <c r="AG156" s="417">
        <v>0</v>
      </c>
      <c r="AH156" s="417">
        <v>0</v>
      </c>
      <c r="AI156" s="417">
        <v>0</v>
      </c>
      <c r="AJ156" s="317">
        <f>SUM(OPX_LE3!$AC158:$AI158)</f>
        <v>0</v>
      </c>
      <c r="AK156" s="424">
        <v>0</v>
      </c>
      <c r="AL156" s="276">
        <f>SUM(OPX_LE3!$J158,OPX_LE3!$AB158,OPX_LE3!$S158,OPX_LE3!$AJ158,OPX_LE3!$R158,OPX_LE3!$AK158)</f>
        <v>-28900</v>
      </c>
      <c r="AM156" s="427">
        <v>0</v>
      </c>
    </row>
    <row r="157" spans="1:39" ht="15" hidden="1">
      <c r="A157" s="325" t="s">
        <v>591</v>
      </c>
      <c r="B157" s="322" t="str">
        <f>VLOOKUP(OPX_LE3!$A159,Tableau106[],3,FALSE)</f>
        <v>A272</v>
      </c>
      <c r="C157" s="322" t="str">
        <f>VLOOKUP(OPX_LE3!$A159,Tableau106[],2,FALSE)</f>
        <v>FR43S03E</v>
      </c>
      <c r="D157" s="322" t="str">
        <f>VLOOKUP(OPX_LE3!$A159,Tableau106[],8,FALSE)</f>
        <v>SOLAIRE</v>
      </c>
      <c r="E157" s="324">
        <f>VLOOKUP(OPX_LE3!$A159,Tableau106[],4,FALSE)</f>
        <v>4.2</v>
      </c>
      <c r="F157" s="322" t="str">
        <f>VLOOKUP(OPX_LE3!$A159,Tableau106[],5,FALSE)</f>
        <v>SALZ</v>
      </c>
      <c r="G157" s="322" t="str">
        <f>VLOOKUP(OPX_LE3!$A159,Tableau106[],7,FALSE)</f>
        <v>GROUPE</v>
      </c>
      <c r="H157" s="322" t="str">
        <f>VLOOKUP(OPX_LE3!$A159,Tableau106[],6,FALSE)</f>
        <v>S</v>
      </c>
      <c r="I157" s="322" t="str">
        <f>VLOOKUP(OPX_LE3!$A159,Tableau106[],9,FALSE)</f>
        <v>ArB</v>
      </c>
      <c r="J157" s="254">
        <v>-35290</v>
      </c>
      <c r="K157" s="228"/>
      <c r="L157" s="228"/>
      <c r="M157" s="229">
        <f>+VLOOKUP(Tableau163[[#This Row],[CODE PI]],Tableau15[[CODE PI]:[Prestations diverses  &amp; accompagnements interne (1,6 k€ par jour d''acc)]],8,FALSE)</f>
        <v>0</v>
      </c>
      <c r="N157" s="229">
        <f>+VLOOKUP(Tableau163[[#This Row],[CODE PI]],Tableau15[[CODE PI]:[Prestations diverses  &amp; accompagnements interne (1,6 k€ par jour d''acc)]],9,FALSE)</f>
        <v>0</v>
      </c>
      <c r="O157" s="229">
        <f>+VLOOKUP(Tableau163[[#This Row],[CODE PI]],Tableau15[[CODE PI]:[Prestations diverses  &amp; accompagnements interne (1,6 k€ par jour d''acc)]],10,FALSE)</f>
        <v>0</v>
      </c>
      <c r="P157" s="229">
        <f>+VLOOKUP(Tableau163[[#This Row],[CODE PI]],Tableau15[[CODE PI]:[Prestations diverses  &amp; accompagnements interne (1,6 k€ par jour d''acc)]],11,FALSE)</f>
        <v>0</v>
      </c>
      <c r="Q157" s="230">
        <f>-250*OPX_LE3!$E159</f>
        <v>-1050</v>
      </c>
      <c r="R157" s="311">
        <f>SUM(OPX_LE3!$K159:$Q159)</f>
        <v>-6780</v>
      </c>
      <c r="S157" s="337">
        <v>0</v>
      </c>
      <c r="T157" s="361">
        <v>0</v>
      </c>
      <c r="U157" s="362">
        <v>0</v>
      </c>
      <c r="V157" s="361">
        <v>-15000</v>
      </c>
      <c r="W157" s="361">
        <v>0</v>
      </c>
      <c r="X157" s="361">
        <v>0</v>
      </c>
      <c r="Y157" s="361">
        <v>0</v>
      </c>
      <c r="Z157" s="264">
        <v>-1050</v>
      </c>
      <c r="AA157" s="423">
        <v>-600</v>
      </c>
      <c r="AB157" s="273">
        <f>SUM(OPX_LE3!$T159:$AA159)</f>
        <v>-16650</v>
      </c>
      <c r="AC157" s="426">
        <f t="shared" si="2"/>
        <v>-11500</v>
      </c>
      <c r="AD157" s="426"/>
      <c r="AE157" s="417">
        <v>0</v>
      </c>
      <c r="AF157" s="417">
        <v>0</v>
      </c>
      <c r="AG157" s="417">
        <v>0</v>
      </c>
      <c r="AH157" s="417">
        <v>0</v>
      </c>
      <c r="AI157" s="417">
        <v>0</v>
      </c>
      <c r="AJ157" s="317">
        <f>SUM(OPX_LE3!$AC159:$AI159)</f>
        <v>0</v>
      </c>
      <c r="AK157" s="424">
        <v>0</v>
      </c>
      <c r="AL157" s="276">
        <f>SUM(OPX_LE3!$J159,OPX_LE3!$AB159,OPX_LE3!$S159,OPX_LE3!$AJ159,OPX_LE3!$R159,OPX_LE3!$AK159)</f>
        <v>-61720</v>
      </c>
      <c r="AM157" s="427">
        <v>0</v>
      </c>
    </row>
    <row r="158" spans="1:39" ht="15" hidden="1">
      <c r="A158" s="244" t="s">
        <v>592</v>
      </c>
      <c r="B158" s="232" t="str">
        <f>VLOOKUP(OPX_LE3!$A160,Tableau106[],3,FALSE)</f>
        <v>A257</v>
      </c>
      <c r="C158" s="232" t="str">
        <f>VLOOKUP(OPX_LE3!$A160,Tableau106[],2,FALSE)</f>
        <v>FR01S03E</v>
      </c>
      <c r="D158" s="232" t="str">
        <f>VLOOKUP(OPX_LE3!$A160,Tableau106[],8,FALSE)</f>
        <v>SOLAIRE</v>
      </c>
      <c r="E158" s="233">
        <f>VLOOKUP(OPX_LE3!$A160,Tableau106[],4,FALSE)</f>
        <v>3.6</v>
      </c>
      <c r="F158" s="232" t="str">
        <f>VLOOKUP(OPX_LE3!$A160,Tableau106[],5,FALSE)</f>
        <v>SAMO</v>
      </c>
      <c r="G158" s="232" t="str">
        <f>VLOOKUP(OPX_LE3!$A160,Tableau106[],7,FALSE)</f>
        <v>GROUPE</v>
      </c>
      <c r="H158" s="232" t="str">
        <f>VLOOKUP(OPX_LE3!$A160,Tableau106[],6,FALSE)</f>
        <v>S</v>
      </c>
      <c r="I158" s="232" t="str">
        <f>VLOOKUP(OPX_LE3!$A160,Tableau106[],9,FALSE)</f>
        <v>ArB</v>
      </c>
      <c r="J158" s="254">
        <v>0</v>
      </c>
      <c r="K158" s="228"/>
      <c r="L158" s="228"/>
      <c r="M158" s="229">
        <f>+VLOOKUP(Tableau163[[#This Row],[CODE PI]],Tableau15[[CODE PI]:[Prestations diverses  &amp; accompagnements interne (1,6 k€ par jour d''acc)]],8,FALSE)</f>
        <v>0</v>
      </c>
      <c r="N158" s="229">
        <f>+VLOOKUP(Tableau163[[#This Row],[CODE PI]],Tableau15[[CODE PI]:[Prestations diverses  &amp; accompagnements interne (1,6 k€ par jour d''acc)]],9,FALSE)</f>
        <v>0</v>
      </c>
      <c r="O158" s="229">
        <f>+VLOOKUP(Tableau163[[#This Row],[CODE PI]],Tableau15[[CODE PI]:[Prestations diverses  &amp; accompagnements interne (1,6 k€ par jour d''acc)]],10,FALSE)</f>
        <v>0</v>
      </c>
      <c r="P158" s="229">
        <f>+VLOOKUP(Tableau163[[#This Row],[CODE PI]],Tableau15[[CODE PI]:[Prestations diverses  &amp; accompagnements interne (1,6 k€ par jour d''acc)]],11,FALSE)</f>
        <v>0</v>
      </c>
      <c r="Q158" s="230">
        <f>-250*OPX_LE3!$E160</f>
        <v>-900</v>
      </c>
      <c r="R158" s="311">
        <f>SUM(OPX_LE3!$K160:$Q160)</f>
        <v>-900</v>
      </c>
      <c r="S158" s="337">
        <v>-23750</v>
      </c>
      <c r="T158" s="361">
        <v>0</v>
      </c>
      <c r="U158" s="362">
        <v>0</v>
      </c>
      <c r="V158" s="361">
        <v>0</v>
      </c>
      <c r="W158" s="361">
        <v>0</v>
      </c>
      <c r="X158" s="361">
        <v>0</v>
      </c>
      <c r="Y158" s="361">
        <v>0</v>
      </c>
      <c r="Z158" s="264">
        <v>-900</v>
      </c>
      <c r="AA158" s="423">
        <v>-500</v>
      </c>
      <c r="AB158" s="273">
        <f>SUM(OPX_LE3!$T160:$AA160)</f>
        <v>-7081</v>
      </c>
      <c r="AC158" s="426">
        <f t="shared" si="2"/>
        <v>-11500</v>
      </c>
      <c r="AD158" s="426"/>
      <c r="AE158" s="417">
        <v>0</v>
      </c>
      <c r="AF158" s="417">
        <v>0</v>
      </c>
      <c r="AG158" s="417">
        <v>0</v>
      </c>
      <c r="AH158" s="417">
        <v>0</v>
      </c>
      <c r="AI158" s="417">
        <v>0</v>
      </c>
      <c r="AJ158" s="317">
        <f>SUM(OPX_LE3!$AC160:$AI160)</f>
        <v>0</v>
      </c>
      <c r="AK158" s="424">
        <v>0</v>
      </c>
      <c r="AL158" s="276">
        <f>SUM(OPX_LE3!$J160,OPX_LE3!$AB160,OPX_LE3!$S160,OPX_LE3!$AJ160,OPX_LE3!$R160,OPX_LE3!$AK160)</f>
        <v>-31731</v>
      </c>
      <c r="AM158" s="427">
        <v>0</v>
      </c>
    </row>
    <row r="159" spans="1:39" ht="15" hidden="1">
      <c r="A159" s="325" t="s">
        <v>593</v>
      </c>
      <c r="B159" s="322" t="str">
        <f>VLOOKUP(OPX_LE3!$A161,Tableau106[],3,FALSE)</f>
        <v>A258</v>
      </c>
      <c r="C159" s="322" t="str">
        <f>VLOOKUP(OPX_LE3!$A161,Tableau106[],2,FALSE)</f>
        <v>FR49S01E</v>
      </c>
      <c r="D159" s="322" t="str">
        <f>VLOOKUP(OPX_LE3!$A161,Tableau106[],8,FALSE)</f>
        <v>SOLAIRE</v>
      </c>
      <c r="E159" s="324">
        <f>VLOOKUP(OPX_LE3!$A161,Tableau106[],4,FALSE)</f>
        <v>10.3</v>
      </c>
      <c r="F159" s="322" t="str">
        <f>VLOOKUP(OPX_LE3!$A161,Tableau106[],5,FALSE)</f>
        <v>SAUM</v>
      </c>
      <c r="G159" s="322" t="str">
        <f>VLOOKUP(OPX_LE3!$A161,Tableau106[],7,FALSE)</f>
        <v>GROUPE</v>
      </c>
      <c r="H159" s="322" t="str">
        <f>VLOOKUP(OPX_LE3!$A161,Tableau106[],6,FALSE)</f>
        <v>N</v>
      </c>
      <c r="I159" s="322" t="str">
        <f>VLOOKUP(OPX_LE3!$A161,Tableau106[],9,FALSE)</f>
        <v>ZaA</v>
      </c>
      <c r="J159" s="254">
        <v>0</v>
      </c>
      <c r="K159" s="228"/>
      <c r="L159" s="228"/>
      <c r="M159" s="229">
        <f>+VLOOKUP(Tableau163[[#This Row],[CODE PI]],Tableau15[[CODE PI]:[Prestations diverses  &amp; accompagnements interne (1,6 k€ par jour d''acc)]],8,FALSE)</f>
        <v>0</v>
      </c>
      <c r="N159" s="229">
        <f>+VLOOKUP(Tableau163[[#This Row],[CODE PI]],Tableau15[[CODE PI]:[Prestations diverses  &amp; accompagnements interne (1,6 k€ par jour d''acc)]],9,FALSE)</f>
        <v>0</v>
      </c>
      <c r="O159" s="229">
        <f>+VLOOKUP(Tableau163[[#This Row],[CODE PI]],Tableau15[[CODE PI]:[Prestations diverses  &amp; accompagnements interne (1,6 k€ par jour d''acc)]],10,FALSE)</f>
        <v>0</v>
      </c>
      <c r="P159" s="229">
        <f>+VLOOKUP(Tableau163[[#This Row],[CODE PI]],Tableau15[[CODE PI]:[Prestations diverses  &amp; accompagnements interne (1,6 k€ par jour d''acc)]],11,FALSE)</f>
        <v>0</v>
      </c>
      <c r="Q159" s="230">
        <f>-250*OPX_LE3!$E161</f>
        <v>-2575</v>
      </c>
      <c r="R159" s="311">
        <f>SUM(OPX_LE3!$K161:$Q161)</f>
        <v>-11865</v>
      </c>
      <c r="S159" s="337">
        <v>-79100</v>
      </c>
      <c r="T159" s="361">
        <v>0</v>
      </c>
      <c r="U159" s="362">
        <v>0</v>
      </c>
      <c r="V159" s="361">
        <v>0</v>
      </c>
      <c r="W159" s="361">
        <v>0</v>
      </c>
      <c r="X159" s="361">
        <v>0</v>
      </c>
      <c r="Y159" s="361">
        <v>0</v>
      </c>
      <c r="Z159" s="264">
        <v>-2575</v>
      </c>
      <c r="AA159" s="423"/>
      <c r="AB159" s="273">
        <f>SUM(OPX_LE3!$T161:$AA161)</f>
        <v>-3090</v>
      </c>
      <c r="AC159" s="426">
        <f t="shared" si="2"/>
        <v>-11500</v>
      </c>
      <c r="AD159" s="426"/>
      <c r="AE159" s="417">
        <v>0</v>
      </c>
      <c r="AF159" s="417">
        <v>0</v>
      </c>
      <c r="AG159" s="417">
        <v>0</v>
      </c>
      <c r="AH159" s="417">
        <v>-5000</v>
      </c>
      <c r="AI159" s="417">
        <v>0</v>
      </c>
      <c r="AJ159" s="317">
        <f>SUM(OPX_LE3!$AC161:$AI161)</f>
        <v>-4450</v>
      </c>
      <c r="AK159" s="424">
        <v>0</v>
      </c>
      <c r="AL159" s="276">
        <f>SUM(OPX_LE3!$J161,OPX_LE3!$AB161,OPX_LE3!$S161,OPX_LE3!$AJ161,OPX_LE3!$R161,OPX_LE3!$AK161)</f>
        <v>-98505</v>
      </c>
      <c r="AM159" s="427">
        <v>0</v>
      </c>
    </row>
    <row r="160" spans="1:39" ht="15" hidden="1">
      <c r="A160" s="244" t="s">
        <v>517</v>
      </c>
      <c r="B160" s="232" t="str">
        <f>VLOOKUP(OPX_LE3!$A162,Tableau106[],3,FALSE)</f>
        <v>A125</v>
      </c>
      <c r="C160" s="232" t="str">
        <f>VLOOKUP(OPX_LE3!$A162,Tableau106[],2,FALSE)</f>
        <v>FR81E99E</v>
      </c>
      <c r="D160" s="232" t="str">
        <f>VLOOKUP(OPX_LE3!$A162,Tableau106[],8,FALSE)</f>
        <v>EOLIEN</v>
      </c>
      <c r="E160" s="233">
        <f>VLOOKUP(OPX_LE3!$A162,Tableau106[],4,FALSE)</f>
        <v>12</v>
      </c>
      <c r="F160" s="232" t="str">
        <f>VLOOKUP(OPX_LE3!$A162,Tableau106[],5,FALSE)</f>
        <v>SAUV</v>
      </c>
      <c r="G160" s="232" t="str">
        <f>VLOOKUP(OPX_LE3!$A162,Tableau106[],7,FALSE)</f>
        <v>GROUPE</v>
      </c>
      <c r="H160" s="232" t="str">
        <f>VLOOKUP(OPX_LE3!$A162,Tableau106[],6,FALSE)</f>
        <v>S</v>
      </c>
      <c r="I160" s="232" t="str">
        <f>VLOOKUP(OPX_LE3!$A162,Tableau106[],9,FALSE)</f>
        <v>ThC</v>
      </c>
      <c r="J160" s="254">
        <v>-10234</v>
      </c>
      <c r="K160" s="228"/>
      <c r="L160" s="228"/>
      <c r="M160" s="229">
        <f>+VLOOKUP(Tableau163[[#This Row],[CODE PI]],Tableau15[[CODE PI]:[Prestations diverses  &amp; accompagnements interne (1,6 k€ par jour d''acc)]],8,FALSE)</f>
        <v>0</v>
      </c>
      <c r="N160" s="229">
        <f>+VLOOKUP(Tableau163[[#This Row],[CODE PI]],Tableau15[[CODE PI]:[Prestations diverses  &amp; accompagnements interne (1,6 k€ par jour d''acc)]],9,FALSE)</f>
        <v>0</v>
      </c>
      <c r="O160" s="229">
        <f>+VLOOKUP(Tableau163[[#This Row],[CODE PI]],Tableau15[[CODE PI]:[Prestations diverses  &amp; accompagnements interne (1,6 k€ par jour d''acc)]],10,FALSE)</f>
        <v>-1300</v>
      </c>
      <c r="P160" s="229">
        <f>+VLOOKUP(Tableau163[[#This Row],[CODE PI]],Tableau15[[CODE PI]:[Prestations diverses  &amp; accompagnements interne (1,6 k€ par jour d''acc)]],11,FALSE)</f>
        <v>-4200</v>
      </c>
      <c r="Q160" s="230">
        <f>-250*OPX_LE3!$E162</f>
        <v>-3000</v>
      </c>
      <c r="R160" s="311">
        <f>SUM(OPX_LE3!$K162:$Q162)</f>
        <v>-22080</v>
      </c>
      <c r="S160" s="337">
        <v>-502654</v>
      </c>
      <c r="T160" s="361">
        <v>-24000</v>
      </c>
      <c r="U160" s="362">
        <v>0</v>
      </c>
      <c r="V160" s="361">
        <v>-56500</v>
      </c>
      <c r="W160" s="361">
        <v>0</v>
      </c>
      <c r="X160" s="361">
        <v>0</v>
      </c>
      <c r="Y160" s="361">
        <v>0</v>
      </c>
      <c r="Z160" s="264">
        <v>-3000</v>
      </c>
      <c r="AA160" s="423"/>
      <c r="AB160" s="273">
        <f>SUM(OPX_LE3!$T162:$AA162)</f>
        <v>-88200</v>
      </c>
      <c r="AC160" s="426">
        <f t="shared" si="2"/>
        <v>-11500</v>
      </c>
      <c r="AD160" s="426"/>
      <c r="AE160" s="417">
        <v>0</v>
      </c>
      <c r="AF160" s="417">
        <v>0</v>
      </c>
      <c r="AG160" s="417">
        <v>-12000</v>
      </c>
      <c r="AH160" s="417">
        <v>0</v>
      </c>
      <c r="AI160" s="417">
        <v>0</v>
      </c>
      <c r="AJ160" s="317">
        <f>SUM(OPX_LE3!$AC162:$AI162)</f>
        <v>-40000</v>
      </c>
      <c r="AK160" s="424">
        <v>0</v>
      </c>
      <c r="AL160" s="276">
        <f>SUM(OPX_LE3!$J162,OPX_LE3!$AB162,OPX_LE3!$S162,OPX_LE3!$AJ162,OPX_LE3!$R162,OPX_LE3!$AK162)</f>
        <v>-662949</v>
      </c>
      <c r="AM160" s="427">
        <v>0</v>
      </c>
    </row>
    <row r="161" spans="1:39" ht="15" hidden="1">
      <c r="A161" s="325" t="s">
        <v>462</v>
      </c>
      <c r="B161" s="322" t="str">
        <f>VLOOKUP(OPX_LE3!$A163,Tableau106[],3,FALSE)</f>
        <v>A080</v>
      </c>
      <c r="C161" s="322" t="str">
        <f>VLOOKUP(OPX_LE3!$A163,Tableau106[],2,FALSE)</f>
        <v>FR12E98E</v>
      </c>
      <c r="D161" s="322" t="str">
        <f>VLOOKUP(OPX_LE3!$A163,Tableau106[],8,FALSE)</f>
        <v>EOLIEN</v>
      </c>
      <c r="E161" s="324">
        <f>VLOOKUP(OPX_LE3!$A163,Tableau106[],4,FALSE)</f>
        <v>60</v>
      </c>
      <c r="F161" s="322" t="str">
        <f>VLOOKUP(OPX_LE3!$A163,Tableau106[],5,FALSE)</f>
        <v>SACU</v>
      </c>
      <c r="G161" s="322" t="str">
        <f>VLOOKUP(OPX_LE3!$A163,Tableau106[],7,FALSE)</f>
        <v>GROUPE</v>
      </c>
      <c r="H161" s="322" t="str">
        <f>VLOOKUP(OPX_LE3!$A163,Tableau106[],6,FALSE)</f>
        <v>N</v>
      </c>
      <c r="I161" s="322" t="str">
        <f>VLOOKUP(OPX_LE3!$A163,Tableau106[],9,FALSE)</f>
        <v>AuE</v>
      </c>
      <c r="J161" s="254">
        <v>-1507668</v>
      </c>
      <c r="K161" s="228">
        <v>-16500</v>
      </c>
      <c r="L161" s="228"/>
      <c r="M161" s="229">
        <f>+VLOOKUP(Tableau163[[#This Row],[CODE PI]],Tableau15[[CODE PI]:[Prestations diverses  &amp; accompagnements interne (1,6 k€ par jour d''acc)]],8,FALSE)</f>
        <v>0</v>
      </c>
      <c r="N161" s="229">
        <f>+VLOOKUP(Tableau163[[#This Row],[CODE PI]],Tableau15[[CODE PI]:[Prestations diverses  &amp; accompagnements interne (1,6 k€ par jour d''acc)]],9,FALSE)</f>
        <v>0</v>
      </c>
      <c r="O161" s="229">
        <f>+VLOOKUP(Tableau163[[#This Row],[CODE PI]],Tableau15[[CODE PI]:[Prestations diverses  &amp; accompagnements interne (1,6 k€ par jour d''acc)]],10,FALSE)</f>
        <v>-3000</v>
      </c>
      <c r="P161" s="229">
        <f>+VLOOKUP(Tableau163[[#This Row],[CODE PI]],Tableau15[[CODE PI]:[Prestations diverses  &amp; accompagnements interne (1,6 k€ par jour d''acc)]],11,FALSE)</f>
        <v>-4200</v>
      </c>
      <c r="Q161" s="230">
        <f>-250*OPX_LE3!$E163</f>
        <v>-15000</v>
      </c>
      <c r="R161" s="311">
        <f>SUM(OPX_LE3!$K163:$Q163)</f>
        <v>-103320</v>
      </c>
      <c r="S161" s="337">
        <v>0</v>
      </c>
      <c r="T161" s="361">
        <v>0</v>
      </c>
      <c r="U161" s="362">
        <v>0</v>
      </c>
      <c r="V161" s="361">
        <v>-15000</v>
      </c>
      <c r="W161" s="361">
        <v>0</v>
      </c>
      <c r="X161" s="361">
        <v>-4000</v>
      </c>
      <c r="Y161" s="361">
        <v>0</v>
      </c>
      <c r="Z161" s="264">
        <v>-15000</v>
      </c>
      <c r="AA161" s="423">
        <f>-(0.2*CA_LE3!M153)/100</f>
        <v>-29266.218983159997</v>
      </c>
      <c r="AB161" s="273">
        <f>SUM(OPX_LE3!$T163:$AA163)</f>
        <v>-63955.874155573794</v>
      </c>
      <c r="AC161" s="426"/>
      <c r="AD161" s="426"/>
      <c r="AE161" s="417">
        <v>0</v>
      </c>
      <c r="AF161" s="417">
        <v>0</v>
      </c>
      <c r="AG161" s="417">
        <v>-20000</v>
      </c>
      <c r="AH161" s="417">
        <v>0</v>
      </c>
      <c r="AI161" s="417">
        <v>0</v>
      </c>
      <c r="AJ161" s="317">
        <f>SUM(OPX_LE3!$AC163:$AI163)</f>
        <v>-25071.72</v>
      </c>
      <c r="AK161" s="424">
        <v>0</v>
      </c>
      <c r="AL161" s="276">
        <f>SUM(OPX_LE3!$J163,OPX_LE3!$AB163,OPX_LE3!$S163,OPX_LE3!$AJ163,OPX_LE3!$R163,OPX_LE3!$AK163)</f>
        <v>-1780015.5941555738</v>
      </c>
      <c r="AM161" s="427">
        <v>0</v>
      </c>
    </row>
    <row r="162" spans="1:39" ht="15" hidden="1">
      <c r="A162" s="244" t="s">
        <v>460</v>
      </c>
      <c r="B162" s="232" t="str">
        <f>VLOOKUP(OPX_LE3!$A164,Tableau106[],3,FALSE)</f>
        <v>A081</v>
      </c>
      <c r="C162" s="232" t="str">
        <f>VLOOKUP(OPX_LE3!$A164,Tableau106[],2,FALSE)</f>
        <v>FR12E97E</v>
      </c>
      <c r="D162" s="232" t="str">
        <f>VLOOKUP(OPX_LE3!$A164,Tableau106[],8,FALSE)</f>
        <v>EOLIEN</v>
      </c>
      <c r="E162" s="233">
        <f>VLOOKUP(OPX_LE3!$A164,Tableau106[],4,FALSE)</f>
        <v>9</v>
      </c>
      <c r="F162" s="232" t="str">
        <f>VLOOKUP(OPX_LE3!$A164,Tableau106[],5,FALSE)</f>
        <v>SAPN</v>
      </c>
      <c r="G162" s="232" t="str">
        <f>VLOOKUP(OPX_LE3!$A164,Tableau106[],7,FALSE)</f>
        <v>GROUPE</v>
      </c>
      <c r="H162" s="232" t="str">
        <f>VLOOKUP(OPX_LE3!$A164,Tableau106[],6,FALSE)</f>
        <v>N</v>
      </c>
      <c r="I162" s="232" t="str">
        <f>VLOOKUP(OPX_LE3!$A164,Tableau106[],9,FALSE)</f>
        <v>AuE</v>
      </c>
      <c r="J162" s="254">
        <v>-211990</v>
      </c>
      <c r="K162" s="228"/>
      <c r="L162" s="228"/>
      <c r="M162" s="229">
        <f>+VLOOKUP(Tableau163[[#This Row],[CODE PI]],Tableau15[[CODE PI]:[Prestations diverses  &amp; accompagnements interne (1,6 k€ par jour d''acc)]],8,FALSE)</f>
        <v>0</v>
      </c>
      <c r="N162" s="229">
        <f>+VLOOKUP(Tableau163[[#This Row],[CODE PI]],Tableau15[[CODE PI]:[Prestations diverses  &amp; accompagnements interne (1,6 k€ par jour d''acc)]],9,FALSE)</f>
        <v>0</v>
      </c>
      <c r="O162" s="229">
        <f>+VLOOKUP(Tableau163[[#This Row],[CODE PI]],Tableau15[[CODE PI]:[Prestations diverses  &amp; accompagnements interne (1,6 k€ par jour d''acc)]],10,FALSE)</f>
        <v>0</v>
      </c>
      <c r="P162" s="229">
        <f>+VLOOKUP(Tableau163[[#This Row],[CODE PI]],Tableau15[[CODE PI]:[Prestations diverses  &amp; accompagnements interne (1,6 k€ par jour d''acc)]],11,FALSE)</f>
        <v>-3150</v>
      </c>
      <c r="Q162" s="230">
        <f>-250*OPX_LE3!$E164</f>
        <v>-2250</v>
      </c>
      <c r="R162" s="311">
        <f>SUM(OPX_LE3!$K164:$Q164)</f>
        <v>-16310</v>
      </c>
      <c r="S162" s="337">
        <v>0</v>
      </c>
      <c r="T162" s="361">
        <v>0</v>
      </c>
      <c r="U162" s="362">
        <v>0</v>
      </c>
      <c r="V162" s="361">
        <v>-3500</v>
      </c>
      <c r="W162" s="361">
        <v>0</v>
      </c>
      <c r="X162" s="361">
        <v>0</v>
      </c>
      <c r="Y162" s="361">
        <v>0</v>
      </c>
      <c r="Z162" s="264">
        <v>-2250</v>
      </c>
      <c r="AA162" s="423">
        <f>-(0.2*CA_LE3!M15)/100</f>
        <v>-5032.3928431083341</v>
      </c>
      <c r="AB162" s="273">
        <f>SUM(OPX_LE3!$T164:$AA164)</f>
        <v>-10885.841118970402</v>
      </c>
      <c r="AC162" s="426"/>
      <c r="AD162" s="426"/>
      <c r="AE162" s="417">
        <v>0</v>
      </c>
      <c r="AF162" s="417">
        <v>0</v>
      </c>
      <c r="AG162" s="417">
        <v>0</v>
      </c>
      <c r="AH162" s="417">
        <v>0</v>
      </c>
      <c r="AI162" s="417">
        <v>0</v>
      </c>
      <c r="AJ162" s="317">
        <f>SUM(OPX_LE3!$AC164:$AI164)</f>
        <v>-5071.72</v>
      </c>
      <c r="AK162" s="424">
        <v>0</v>
      </c>
      <c r="AL162" s="276">
        <f>SUM(OPX_LE3!$J164,OPX_LE3!$AB164,OPX_LE3!$S164,OPX_LE3!$AJ164,OPX_LE3!$R164,OPX_LE3!$AK164)</f>
        <v>-264257.56111897039</v>
      </c>
      <c r="AM162" s="427">
        <v>0</v>
      </c>
    </row>
    <row r="163" spans="1:39" ht="15" hidden="1">
      <c r="A163" s="325" t="s">
        <v>339</v>
      </c>
      <c r="B163" s="322" t="str">
        <f>VLOOKUP(OPX_LE3!$A165,Tableau106[],3,FALSE)</f>
        <v>F033</v>
      </c>
      <c r="C163" s="322" t="str">
        <f>VLOOKUP(OPX_LE3!$A165,Tableau106[],2,FALSE)</f>
        <v>FR56E10E</v>
      </c>
      <c r="D163" s="322" t="str">
        <f>VLOOKUP(OPX_LE3!$A165,Tableau106[],8,FALSE)</f>
        <v>EOLIEN</v>
      </c>
      <c r="E163" s="324">
        <f>VLOOKUP(OPX_LE3!$A165,Tableau106[],4,FALSE)</f>
        <v>9</v>
      </c>
      <c r="F163" s="322" t="str">
        <f>VLOOKUP(OPX_LE3!$A165,Tableau106[],5,FALSE)</f>
        <v>SAMI</v>
      </c>
      <c r="G163" s="322" t="str">
        <f>VLOOKUP(OPX_LE3!$A165,Tableau106[],7,FALSE)</f>
        <v>FUTUREN</v>
      </c>
      <c r="H163" s="322" t="str">
        <f>VLOOKUP(OPX_LE3!$A165,Tableau106[],6,FALSE)</f>
        <v>N</v>
      </c>
      <c r="I163" s="322" t="str">
        <f>VLOOKUP(OPX_LE3!$A165,Tableau106[],9,FALSE)</f>
        <v>AnN</v>
      </c>
      <c r="J163" s="254">
        <f>-129344-(0.00792*(CA_LE3!J155*1000))</f>
        <v>-257253.38550500001</v>
      </c>
      <c r="K163" s="228"/>
      <c r="L163" s="228"/>
      <c r="M163" s="229">
        <v>-1500</v>
      </c>
      <c r="N163" s="229">
        <f>+VLOOKUP(Tableau163[[#This Row],[CODE PI]],Tableau15[[CODE PI]:[Prestations diverses  &amp; accompagnements interne (1,6 k€ par jour d''acc)]],9,FALSE)</f>
        <v>0</v>
      </c>
      <c r="O163" s="229">
        <f>+VLOOKUP(Tableau163[[#This Row],[CODE PI]],Tableau15[[CODE PI]:[Prestations diverses  &amp; accompagnements interne (1,6 k€ par jour d''acc)]],10,FALSE)</f>
        <v>0</v>
      </c>
      <c r="P163" s="229">
        <f>+VLOOKUP(Tableau163[[#This Row],[CODE PI]],Tableau15[[CODE PI]:[Prestations diverses  &amp; accompagnements interne (1,6 k€ par jour d''acc)]],11,FALSE)</f>
        <v>-3150</v>
      </c>
      <c r="Q163" s="230">
        <f>-250*OPX_LE3!$E165</f>
        <v>-2250</v>
      </c>
      <c r="R163" s="311">
        <f>SUM(OPX_LE3!$K165:$Q165)</f>
        <v>-12160</v>
      </c>
      <c r="S163" s="337">
        <v>0</v>
      </c>
      <c r="T163" s="361">
        <v>0</v>
      </c>
      <c r="U163" s="362">
        <v>-500</v>
      </c>
      <c r="V163" s="361">
        <v>-1500</v>
      </c>
      <c r="W163" s="361">
        <v>0</v>
      </c>
      <c r="X163" s="361">
        <v>0</v>
      </c>
      <c r="Y163" s="361">
        <v>0</v>
      </c>
      <c r="Z163" s="264">
        <v>-2250</v>
      </c>
      <c r="AA163" s="423"/>
      <c r="AB163" s="273">
        <f>SUM(OPX_LE3!$T165:$AA165)</f>
        <v>-4250</v>
      </c>
      <c r="AC163" s="426">
        <f t="shared" si="2"/>
        <v>-11500</v>
      </c>
      <c r="AD163" s="426"/>
      <c r="AE163" s="417">
        <v>0</v>
      </c>
      <c r="AF163" s="417">
        <v>0</v>
      </c>
      <c r="AG163" s="417">
        <v>0</v>
      </c>
      <c r="AH163" s="417">
        <v>0</v>
      </c>
      <c r="AI163" s="417">
        <v>0</v>
      </c>
      <c r="AJ163" s="317">
        <f>SUM(OPX_LE3!$AC165:$AI165)</f>
        <v>0</v>
      </c>
      <c r="AK163" s="424">
        <v>0</v>
      </c>
      <c r="AL163" s="276">
        <f>SUM(OPX_LE3!$J165,OPX_LE3!$AB165,OPX_LE3!$S165,OPX_LE3!$AJ165,OPX_LE3!$R165,OPX_LE3!$AK165)</f>
        <v>-273663.38550500001</v>
      </c>
      <c r="AM163" s="427">
        <v>0</v>
      </c>
    </row>
    <row r="164" spans="1:39" ht="15" hidden="1">
      <c r="A164" s="244" t="s">
        <v>342</v>
      </c>
      <c r="B164" s="232" t="str">
        <f>VLOOKUP(OPX_LE3!$A166,Tableau106[],3,FALSE)</f>
        <v>A540</v>
      </c>
      <c r="C164" s="232" t="str">
        <f>VLOOKUP(OPX_LE3!$A166,Tableau106[],2,FALSE)</f>
        <v>FR02E05E</v>
      </c>
      <c r="D164" s="232" t="str">
        <f>VLOOKUP(OPX_LE3!$A166,Tableau106[],8,FALSE)</f>
        <v>EOLIEN</v>
      </c>
      <c r="E164" s="233">
        <f>VLOOKUP(OPX_LE3!$A166,Tableau106[],4,FALSE)</f>
        <v>8</v>
      </c>
      <c r="F164" s="232" t="str">
        <f>VLOOKUP(OPX_LE3!$A166,Tableau106[],5,FALSE)</f>
        <v>SERY</v>
      </c>
      <c r="G164" s="232" t="str">
        <f>VLOOKUP(OPX_LE3!$A166,Tableau106[],7,FALSE)</f>
        <v>EGM</v>
      </c>
      <c r="H164" s="232" t="str">
        <f>VLOOKUP(OPX_LE3!$A166,Tableau106[],6,FALSE)</f>
        <v>N</v>
      </c>
      <c r="I164" s="232" t="str">
        <f>VLOOKUP(OPX_LE3!$A166,Tableau106[],9,FALSE)</f>
        <v>NoS</v>
      </c>
      <c r="J164" s="254">
        <v>-206499</v>
      </c>
      <c r="K164" s="228"/>
      <c r="L164" s="228"/>
      <c r="M164" s="229">
        <f>+VLOOKUP(Tableau163[[#This Row],[CODE PI]],Tableau15[[CODE PI]:[Prestations diverses  &amp; accompagnements interne (1,6 k€ par jour d''acc)]],8,FALSE)</f>
        <v>0</v>
      </c>
      <c r="N164" s="229">
        <f>+VLOOKUP(Tableau163[[#This Row],[CODE PI]],Tableau15[[CODE PI]:[Prestations diverses  &amp; accompagnements interne (1,6 k€ par jour d''acc)]],9,FALSE)</f>
        <v>0</v>
      </c>
      <c r="O164" s="229">
        <f>+VLOOKUP(Tableau163[[#This Row],[CODE PI]],Tableau15[[CODE PI]:[Prestations diverses  &amp; accompagnements interne (1,6 k€ par jour d''acc)]],10,FALSE)</f>
        <v>-3000</v>
      </c>
      <c r="P164" s="229">
        <f>+VLOOKUP(Tableau163[[#This Row],[CODE PI]],Tableau15[[CODE PI]:[Prestations diverses  &amp; accompagnements interne (1,6 k€ par jour d''acc)]],11,FALSE)</f>
        <v>-2800</v>
      </c>
      <c r="Q164" s="230">
        <f>-250*OPX_LE3!$E166</f>
        <v>-2000</v>
      </c>
      <c r="R164" s="311">
        <f>SUM(OPX_LE3!$K166:$Q166)</f>
        <v>-190800</v>
      </c>
      <c r="S164" s="337">
        <v>0</v>
      </c>
      <c r="T164" s="361">
        <v>0</v>
      </c>
      <c r="U164" s="362">
        <v>0</v>
      </c>
      <c r="V164" s="361">
        <v>-1000</v>
      </c>
      <c r="W164" s="361">
        <v>0</v>
      </c>
      <c r="X164" s="361">
        <v>-4000</v>
      </c>
      <c r="Y164" s="361">
        <v>0</v>
      </c>
      <c r="Z164" s="264">
        <v>-2000</v>
      </c>
      <c r="AA164" s="423"/>
      <c r="AB164" s="273">
        <f>SUM(OPX_LE3!$T166:$AA166)</f>
        <v>-10240</v>
      </c>
      <c r="AC164" s="426">
        <f t="shared" si="2"/>
        <v>-11500</v>
      </c>
      <c r="AD164" s="426"/>
      <c r="AE164" s="417">
        <v>0</v>
      </c>
      <c r="AF164" s="417">
        <v>0</v>
      </c>
      <c r="AG164" s="417">
        <v>0</v>
      </c>
      <c r="AH164" s="417">
        <v>0</v>
      </c>
      <c r="AI164" s="417">
        <v>0</v>
      </c>
      <c r="AJ164" s="317">
        <f>SUM(OPX_LE3!$AC166:$AI166)</f>
        <v>0</v>
      </c>
      <c r="AK164" s="424">
        <v>0</v>
      </c>
      <c r="AL164" s="276">
        <f>SUM(OPX_LE3!$J166,OPX_LE3!$AB166,OPX_LE3!$S166,OPX_LE3!$AJ166,OPX_LE3!$R166,OPX_LE3!$AK166)</f>
        <v>-407539</v>
      </c>
      <c r="AM164" s="427">
        <v>0</v>
      </c>
    </row>
    <row r="165" spans="1:39" ht="15" hidden="1">
      <c r="A165" s="325" t="s">
        <v>600</v>
      </c>
      <c r="B165" s="322" t="str">
        <f>VLOOKUP(OPX_LE3!$A167,Tableau106[],3,FALSE)</f>
        <v>A065</v>
      </c>
      <c r="C165" s="322" t="str">
        <f>VLOOKUP(OPX_LE3!$A167,Tableau106[],2,FALSE)</f>
        <v>FR97S90E</v>
      </c>
      <c r="D165" s="322" t="str">
        <f>VLOOKUP(OPX_LE3!$A167,Tableau106[],8,FALSE)</f>
        <v>SOLAIRE DOM</v>
      </c>
      <c r="E165" s="324">
        <f>VLOOKUP(OPX_LE3!$A167,Tableau106[],4,FALSE)</f>
        <v>1.2569999999999999</v>
      </c>
      <c r="F165" s="322" t="str">
        <f>VLOOKUP(OPX_LE3!$A167,Tableau106[],5,FALSE)</f>
        <v>SIOU</v>
      </c>
      <c r="G165" s="322" t="str">
        <f>VLOOKUP(OPX_LE3!$A167,Tableau106[],7,FALSE)</f>
        <v>GROUPE</v>
      </c>
      <c r="H165" s="322" t="str">
        <f>VLOOKUP(OPX_LE3!$A167,Tableau106[],6,FALSE)</f>
        <v>DOM</v>
      </c>
      <c r="I165" s="322" t="str">
        <f>VLOOKUP(OPX_LE3!$A167,Tableau106[],9,FALSE)</f>
        <v>DoJ</v>
      </c>
      <c r="J165" s="254">
        <v>0</v>
      </c>
      <c r="K165" s="228"/>
      <c r="L165" s="228"/>
      <c r="M165" s="229">
        <f>+VLOOKUP(Tableau163[[#This Row],[CODE PI]],Tableau15[[CODE PI]:[Prestations diverses  &amp; accompagnements interne (1,6 k€ par jour d''acc)]],8,FALSE)</f>
        <v>0</v>
      </c>
      <c r="N165" s="229">
        <f>+VLOOKUP(Tableau163[[#This Row],[CODE PI]],Tableau15[[CODE PI]:[Prestations diverses  &amp; accompagnements interne (1,6 k€ par jour d''acc)]],9,FALSE)</f>
        <v>0</v>
      </c>
      <c r="O165" s="229">
        <f>+VLOOKUP(Tableau163[[#This Row],[CODE PI]],Tableau15[[CODE PI]:[Prestations diverses  &amp; accompagnements interne (1,6 k€ par jour d''acc)]],10,FALSE)</f>
        <v>0</v>
      </c>
      <c r="P165" s="229">
        <f>+VLOOKUP(Tableau163[[#This Row],[CODE PI]],Tableau15[[CODE PI]:[Prestations diverses  &amp; accompagnements interne (1,6 k€ par jour d''acc)]],11,FALSE)</f>
        <v>0</v>
      </c>
      <c r="Q165" s="230">
        <f>-250*OPX_LE3!$E167</f>
        <v>-314.25</v>
      </c>
      <c r="R165" s="311">
        <f>SUM(OPX_LE3!$K167:$Q167)</f>
        <v>-314.25</v>
      </c>
      <c r="S165" s="337">
        <v>-73620</v>
      </c>
      <c r="T165" s="361">
        <v>-6000</v>
      </c>
      <c r="U165" s="362">
        <v>0</v>
      </c>
      <c r="V165" s="361">
        <v>0</v>
      </c>
      <c r="W165" s="361">
        <v>-1220</v>
      </c>
      <c r="X165" s="361">
        <v>0</v>
      </c>
      <c r="Y165" s="361">
        <v>0</v>
      </c>
      <c r="Z165" s="264">
        <v>-314.25</v>
      </c>
      <c r="AA165" s="423"/>
      <c r="AB165" s="273">
        <f>SUM(OPX_LE3!$T167:$AA167)</f>
        <v>-76468.995999999999</v>
      </c>
      <c r="AC165" s="426">
        <f t="shared" si="2"/>
        <v>-11500</v>
      </c>
      <c r="AD165" s="426"/>
      <c r="AE165" s="417">
        <v>0</v>
      </c>
      <c r="AF165" s="417">
        <v>0</v>
      </c>
      <c r="AG165" s="417">
        <v>0</v>
      </c>
      <c r="AH165" s="417">
        <v>0</v>
      </c>
      <c r="AI165" s="417">
        <v>0</v>
      </c>
      <c r="AJ165" s="317">
        <f>SUM(OPX_LE3!$AC167:$AI167)</f>
        <v>0</v>
      </c>
      <c r="AK165" s="424">
        <v>0</v>
      </c>
      <c r="AL165" s="276">
        <f>SUM(OPX_LE3!$J167,OPX_LE3!$AB167,OPX_LE3!$S167,OPX_LE3!$AJ167,OPX_LE3!$R167,OPX_LE3!$AK167)</f>
        <v>-150403.24599999998</v>
      </c>
      <c r="AM165" s="427">
        <v>0</v>
      </c>
    </row>
    <row r="166" spans="1:39" ht="15" hidden="1">
      <c r="A166" s="244" t="s">
        <v>349</v>
      </c>
      <c r="B166" s="232" t="str">
        <f>VLOOKUP(OPX_LE3!$A168,Tableau106[],3,FALSE)</f>
        <v>F099</v>
      </c>
      <c r="C166" s="232" t="str">
        <f>VLOOKUP(OPX_LE3!$A168,Tableau106[],2,FALSE)</f>
        <v>FR12E93E</v>
      </c>
      <c r="D166" s="232" t="str">
        <f>VLOOKUP(OPX_LE3!$A168,Tableau106[],8,FALSE)</f>
        <v>EOLIEN</v>
      </c>
      <c r="E166" s="233">
        <f>VLOOKUP(OPX_LE3!$A168,Tableau106[],4,FALSE)</f>
        <v>13.8</v>
      </c>
      <c r="F166" s="232" t="str">
        <f>VLOOKUP(OPX_LE3!$A168,Tableau106[],5,FALSE)</f>
        <v>FAYD</v>
      </c>
      <c r="G166" s="232" t="str">
        <f>VLOOKUP(OPX_LE3!$A168,Tableau106[],7,FALSE)</f>
        <v>FUTUREN</v>
      </c>
      <c r="H166" s="232" t="str">
        <f>VLOOKUP(OPX_LE3!$A168,Tableau106[],6,FALSE)</f>
        <v>S</v>
      </c>
      <c r="I166" s="232" t="str">
        <f>VLOOKUP(OPX_LE3!$A168,Tableau106[],9,FALSE)</f>
        <v>OdP</v>
      </c>
      <c r="J166" s="254">
        <v>-9526</v>
      </c>
      <c r="K166" s="228"/>
      <c r="L166" s="228"/>
      <c r="M166" s="229">
        <f>+VLOOKUP(Tableau163[[#This Row],[CODE PI]],Tableau15[[CODE PI]:[Prestations diverses  &amp; accompagnements interne (1,6 k€ par jour d''acc)]],8,FALSE)</f>
        <v>0</v>
      </c>
      <c r="N166" s="229">
        <f>+VLOOKUP(Tableau163[[#This Row],[CODE PI]],Tableau15[[CODE PI]:[Prestations diverses  &amp; accompagnements interne (1,6 k€ par jour d''acc)]],9,FALSE)</f>
        <v>0</v>
      </c>
      <c r="O166" s="229">
        <f>+VLOOKUP(Tableau163[[#This Row],[CODE PI]],Tableau15[[CODE PI]:[Prestations diverses  &amp; accompagnements interne (1,6 k€ par jour d''acc)]],10,FALSE)</f>
        <v>0</v>
      </c>
      <c r="P166" s="229">
        <f>+VLOOKUP(Tableau163[[#This Row],[CODE PI]],Tableau15[[CODE PI]:[Prestations diverses  &amp; accompagnements interne (1,6 k€ par jour d''acc)]],11,FALSE)</f>
        <v>0</v>
      </c>
      <c r="Q166" s="230">
        <f>-250*OPX_LE3!$E168</f>
        <v>-3450</v>
      </c>
      <c r="R166" s="311">
        <f>SUM(OPX_LE3!$K168:$Q168)</f>
        <v>-12320</v>
      </c>
      <c r="S166" s="337">
        <v>-130000</v>
      </c>
      <c r="T166" s="361">
        <v>-2000</v>
      </c>
      <c r="U166" s="362">
        <v>0</v>
      </c>
      <c r="V166" s="361">
        <v>-3500</v>
      </c>
      <c r="W166" s="361">
        <v>0</v>
      </c>
      <c r="X166" s="361">
        <v>0</v>
      </c>
      <c r="Y166" s="361">
        <v>0</v>
      </c>
      <c r="Z166" s="264">
        <v>-3450</v>
      </c>
      <c r="AA166" s="423"/>
      <c r="AB166" s="273">
        <f>SUM(OPX_LE3!$T168:$AA168)</f>
        <v>-19500</v>
      </c>
      <c r="AC166" s="426">
        <f t="shared" si="2"/>
        <v>-11500</v>
      </c>
      <c r="AD166" s="426"/>
      <c r="AE166" s="417">
        <v>-10000</v>
      </c>
      <c r="AF166" s="417">
        <v>0</v>
      </c>
      <c r="AG166" s="417">
        <v>0</v>
      </c>
      <c r="AH166" s="417">
        <v>0</v>
      </c>
      <c r="AI166" s="417">
        <v>0</v>
      </c>
      <c r="AJ166" s="317">
        <f>SUM(OPX_LE3!$AC168:$AI168)</f>
        <v>-67835.72</v>
      </c>
      <c r="AK166" s="424">
        <v>0</v>
      </c>
      <c r="AL166" s="276">
        <f>SUM(OPX_LE3!$J168,OPX_LE3!$AB168,OPX_LE3!$S168,OPX_LE3!$AJ168,OPX_LE3!$R168,OPX_LE3!$AK168)</f>
        <v>-239181.72</v>
      </c>
      <c r="AM166" s="427">
        <v>0</v>
      </c>
    </row>
    <row r="167" spans="1:39" ht="15" hidden="1">
      <c r="A167" s="325" t="s">
        <v>603</v>
      </c>
      <c r="B167" s="322" t="str">
        <f>VLOOKUP(OPX_LE3!$A169,Tableau106[],3,FALSE)</f>
        <v>A295</v>
      </c>
      <c r="C167" s="322" t="str">
        <f>VLOOKUP(OPX_LE3!$A169,Tableau106[],2,FALSE)</f>
        <v>FR18S01E</v>
      </c>
      <c r="D167" s="322" t="str">
        <f>VLOOKUP(OPX_LE3!$A169,Tableau106[],8,FALSE)</f>
        <v>SOLAIRE</v>
      </c>
      <c r="E167" s="324">
        <f>VLOOKUP(OPX_LE3!$A169,Tableau106[],4,FALSE)</f>
        <v>5</v>
      </c>
      <c r="F167" s="322" t="str">
        <f>VLOOKUP(OPX_LE3!$A169,Tableau106[],5,FALSE)</f>
        <v>SAMM</v>
      </c>
      <c r="G167" s="322" t="str">
        <f>VLOOKUP(OPX_LE3!$A169,Tableau106[],7,FALSE)</f>
        <v>GROUPE</v>
      </c>
      <c r="H167" s="322" t="str">
        <f>VLOOKUP(OPX_LE3!$A169,Tableau106[],6,FALSE)</f>
        <v>N</v>
      </c>
      <c r="I167" s="322" t="str">
        <f>VLOOKUP(OPX_LE3!$A169,Tableau106[],9,FALSE)</f>
        <v>ArB</v>
      </c>
      <c r="J167" s="254">
        <v>0</v>
      </c>
      <c r="K167" s="228"/>
      <c r="L167" s="228"/>
      <c r="M167" s="229">
        <f>+VLOOKUP(Tableau163[[#This Row],[CODE PI]],Tableau15[[CODE PI]:[Prestations diverses  &amp; accompagnements interne (1,6 k€ par jour d''acc)]],8,FALSE)</f>
        <v>0</v>
      </c>
      <c r="N167" s="229">
        <f>+VLOOKUP(Tableau163[[#This Row],[CODE PI]],Tableau15[[CODE PI]:[Prestations diverses  &amp; accompagnements interne (1,6 k€ par jour d''acc)]],9,FALSE)</f>
        <v>0</v>
      </c>
      <c r="O167" s="229">
        <f>+VLOOKUP(Tableau163[[#This Row],[CODE PI]],Tableau15[[CODE PI]:[Prestations diverses  &amp; accompagnements interne (1,6 k€ par jour d''acc)]],10,FALSE)</f>
        <v>0</v>
      </c>
      <c r="P167" s="229">
        <f>+VLOOKUP(Tableau163[[#This Row],[CODE PI]],Tableau15[[CODE PI]:[Prestations diverses  &amp; accompagnements interne (1,6 k€ par jour d''acc)]],11,FALSE)</f>
        <v>0</v>
      </c>
      <c r="Q167" s="230">
        <f>-250*OPX_LE3!$E169</f>
        <v>-1250</v>
      </c>
      <c r="R167" s="311">
        <f>SUM(OPX_LE3!$K169:$Q169)</f>
        <v>-1250</v>
      </c>
      <c r="S167" s="337">
        <v>-39900</v>
      </c>
      <c r="T167" s="361">
        <v>0</v>
      </c>
      <c r="U167" s="362">
        <v>0</v>
      </c>
      <c r="V167" s="361">
        <v>0</v>
      </c>
      <c r="W167" s="361">
        <v>0</v>
      </c>
      <c r="X167" s="361">
        <v>0</v>
      </c>
      <c r="Y167" s="361">
        <v>0</v>
      </c>
      <c r="Z167" s="264">
        <v>-1250</v>
      </c>
      <c r="AA167" s="423">
        <v>-1500</v>
      </c>
      <c r="AB167" s="273">
        <f>SUM(OPX_LE3!$T169:$AA169)</f>
        <v>-5350</v>
      </c>
      <c r="AC167" s="426">
        <f t="shared" si="2"/>
        <v>-11500</v>
      </c>
      <c r="AD167" s="426"/>
      <c r="AE167" s="417">
        <v>0</v>
      </c>
      <c r="AF167" s="417">
        <v>0</v>
      </c>
      <c r="AG167" s="417">
        <v>0</v>
      </c>
      <c r="AH167" s="417">
        <v>0</v>
      </c>
      <c r="AI167" s="417">
        <v>0</v>
      </c>
      <c r="AJ167" s="317">
        <f>SUM(OPX_LE3!$AC169:$AI169)</f>
        <v>0</v>
      </c>
      <c r="AK167" s="424">
        <v>0</v>
      </c>
      <c r="AL167" s="276">
        <f>SUM(OPX_LE3!$J169,OPX_LE3!$AB169,OPX_LE3!$S169,OPX_LE3!$AJ169,OPX_LE3!$R169,OPX_LE3!$AK169)</f>
        <v>-46500</v>
      </c>
      <c r="AM167" s="427">
        <v>0</v>
      </c>
    </row>
    <row r="168" spans="1:39" ht="15" hidden="1">
      <c r="A168" s="244" t="s">
        <v>604</v>
      </c>
      <c r="B168" s="232" t="str">
        <f>VLOOKUP(OPX_LE3!$A170,Tableau106[],3,FALSE)</f>
        <v>A066</v>
      </c>
      <c r="C168" s="232" t="str">
        <f>VLOOKUP(OPX_LE3!$A170,Tableau106[],2,FALSE)</f>
        <v>FR97S99E</v>
      </c>
      <c r="D168" s="232" t="str">
        <f>VLOOKUP(OPX_LE3!$A170,Tableau106[],8,FALSE)</f>
        <v>SOLAIRE DOM</v>
      </c>
      <c r="E168" s="233">
        <f>VLOOKUP(OPX_LE3!$A170,Tableau106[],4,FALSE)</f>
        <v>3.6</v>
      </c>
      <c r="F168" s="232" t="str">
        <f>VLOOKUP(OPX_LE3!$A170,Tableau106[],5,FALSE)</f>
        <v>SFR1</v>
      </c>
      <c r="G168" s="232" t="str">
        <f>VLOOKUP(OPX_LE3!$A170,Tableau106[],7,FALSE)</f>
        <v>GROUPE</v>
      </c>
      <c r="H168" s="232" t="str">
        <f>VLOOKUP(OPX_LE3!$A170,Tableau106[],6,FALSE)</f>
        <v>DOM</v>
      </c>
      <c r="I168" s="232" t="str">
        <f>VLOOKUP(OPX_LE3!$A170,Tableau106[],9,FALSE)</f>
        <v>DoJ</v>
      </c>
      <c r="J168" s="254">
        <v>0</v>
      </c>
      <c r="K168" s="228"/>
      <c r="L168" s="228"/>
      <c r="M168" s="229">
        <f>+VLOOKUP(Tableau163[[#This Row],[CODE PI]],Tableau15[[CODE PI]:[Prestations diverses  &amp; accompagnements interne (1,6 k€ par jour d''acc)]],8,FALSE)</f>
        <v>0</v>
      </c>
      <c r="N168" s="229">
        <f>+VLOOKUP(Tableau163[[#This Row],[CODE PI]],Tableau15[[CODE PI]:[Prestations diverses  &amp; accompagnements interne (1,6 k€ par jour d''acc)]],9,FALSE)</f>
        <v>0</v>
      </c>
      <c r="O168" s="229">
        <f>+VLOOKUP(Tableau163[[#This Row],[CODE PI]],Tableau15[[CODE PI]:[Prestations diverses  &amp; accompagnements interne (1,6 k€ par jour d''acc)]],10,FALSE)</f>
        <v>0</v>
      </c>
      <c r="P168" s="229">
        <f>+VLOOKUP(Tableau163[[#This Row],[CODE PI]],Tableau15[[CODE PI]:[Prestations diverses  &amp; accompagnements interne (1,6 k€ par jour d''acc)]],11,FALSE)</f>
        <v>0</v>
      </c>
      <c r="Q168" s="230">
        <f>-250*OPX_LE3!$E170</f>
        <v>-900</v>
      </c>
      <c r="R168" s="311">
        <f>SUM(OPX_LE3!$K170:$Q170)</f>
        <v>-900</v>
      </c>
      <c r="S168" s="337">
        <v>-80519</v>
      </c>
      <c r="T168" s="361">
        <v>-51000</v>
      </c>
      <c r="U168" s="362">
        <v>0</v>
      </c>
      <c r="V168" s="361">
        <v>0</v>
      </c>
      <c r="W168" s="361">
        <v>-1220</v>
      </c>
      <c r="X168" s="361">
        <v>0</v>
      </c>
      <c r="Y168" s="361">
        <v>0</v>
      </c>
      <c r="Z168" s="264">
        <v>-900</v>
      </c>
      <c r="AA168" s="423"/>
      <c r="AB168" s="273">
        <f>SUM(OPX_LE3!$T170:$AA170)</f>
        <v>-62886.201999999997</v>
      </c>
      <c r="AC168" s="426">
        <f t="shared" si="2"/>
        <v>-11500</v>
      </c>
      <c r="AD168" s="426"/>
      <c r="AE168" s="417">
        <v>0</v>
      </c>
      <c r="AF168" s="417">
        <v>0</v>
      </c>
      <c r="AG168" s="417">
        <v>0</v>
      </c>
      <c r="AH168" s="417">
        <v>0</v>
      </c>
      <c r="AI168" s="417">
        <v>0</v>
      </c>
      <c r="AJ168" s="317">
        <f>SUM(OPX_LE3!$AC170:$AI170)</f>
        <v>0</v>
      </c>
      <c r="AK168" s="424">
        <v>0</v>
      </c>
      <c r="AL168" s="276">
        <f>SUM(OPX_LE3!$J170,OPX_LE3!$AB170,OPX_LE3!$S170,OPX_LE3!$AJ170,OPX_LE3!$R170,OPX_LE3!$AK170)</f>
        <v>-192986.20199999999</v>
      </c>
      <c r="AM168" s="427">
        <v>-10000</v>
      </c>
    </row>
    <row r="169" spans="1:39" ht="15" hidden="1">
      <c r="A169" s="325" t="s">
        <v>605</v>
      </c>
      <c r="B169" s="322" t="str">
        <f>VLOOKUP(OPX_LE3!$A171,Tableau106[],3,FALSE)</f>
        <v>A257</v>
      </c>
      <c r="C169" s="322" t="str">
        <f>VLOOKUP(OPX_LE3!$A171,Tableau106[],2,FALSE)</f>
        <v>FR01S07E</v>
      </c>
      <c r="D169" s="322" t="str">
        <f>VLOOKUP(OPX_LE3!$A171,Tableau106[],8,FALSE)</f>
        <v>SOLAIRE</v>
      </c>
      <c r="E169" s="324">
        <f>VLOOKUP(OPX_LE3!$A171,Tableau106[],4,FALSE)</f>
        <v>2.7</v>
      </c>
      <c r="F169" s="322" t="str">
        <f>VLOOKUP(OPX_LE3!$A171,Tableau106[],5,FALSE)</f>
        <v>SJLV</v>
      </c>
      <c r="G169" s="322" t="str">
        <f>VLOOKUP(OPX_LE3!$A171,Tableau106[],7,FALSE)</f>
        <v>GROUPE</v>
      </c>
      <c r="H169" s="322" t="str">
        <f>VLOOKUP(OPX_LE3!$A171,Tableau106[],6,FALSE)</f>
        <v>S</v>
      </c>
      <c r="I169" s="322" t="str">
        <f>VLOOKUP(OPX_LE3!$A171,Tableau106[],9,FALSE)</f>
        <v>ArB</v>
      </c>
      <c r="J169" s="254">
        <v>0</v>
      </c>
      <c r="K169" s="228"/>
      <c r="L169" s="228"/>
      <c r="M169" s="229">
        <f>+VLOOKUP(Tableau163[[#This Row],[CODE PI]],Tableau15[[CODE PI]:[Prestations diverses  &amp; accompagnements interne (1,6 k€ par jour d''acc)]],8,FALSE)</f>
        <v>0</v>
      </c>
      <c r="N169" s="229">
        <f>+VLOOKUP(Tableau163[[#This Row],[CODE PI]],Tableau15[[CODE PI]:[Prestations diverses  &amp; accompagnements interne (1,6 k€ par jour d''acc)]],9,FALSE)</f>
        <v>0</v>
      </c>
      <c r="O169" s="229">
        <f>+VLOOKUP(Tableau163[[#This Row],[CODE PI]],Tableau15[[CODE PI]:[Prestations diverses  &amp; accompagnements interne (1,6 k€ par jour d''acc)]],10,FALSE)</f>
        <v>0</v>
      </c>
      <c r="P169" s="229">
        <f>+VLOOKUP(Tableau163[[#This Row],[CODE PI]],Tableau15[[CODE PI]:[Prestations diverses  &amp; accompagnements interne (1,6 k€ par jour d''acc)]],11,FALSE)</f>
        <v>0</v>
      </c>
      <c r="Q169" s="230">
        <f>-250*OPX_LE3!$E171</f>
        <v>-675</v>
      </c>
      <c r="R169" s="311">
        <f>SUM(OPX_LE3!$K171:$Q171)</f>
        <v>-675</v>
      </c>
      <c r="S169" s="337">
        <v>-21480</v>
      </c>
      <c r="T169" s="361">
        <v>0</v>
      </c>
      <c r="U169" s="362">
        <v>0</v>
      </c>
      <c r="V169" s="361">
        <v>0</v>
      </c>
      <c r="W169" s="361">
        <v>0</v>
      </c>
      <c r="X169" s="361">
        <v>0</v>
      </c>
      <c r="Y169" s="361">
        <v>0</v>
      </c>
      <c r="Z169" s="264">
        <v>-675</v>
      </c>
      <c r="AA169" s="423">
        <v>-800</v>
      </c>
      <c r="AB169" s="273">
        <f>SUM(OPX_LE3!$T171:$AA171)</f>
        <v>-6582</v>
      </c>
      <c r="AC169" s="426">
        <f t="shared" si="2"/>
        <v>-11500</v>
      </c>
      <c r="AD169" s="426"/>
      <c r="AE169" s="417">
        <v>0</v>
      </c>
      <c r="AF169" s="417">
        <v>0</v>
      </c>
      <c r="AG169" s="417">
        <v>0</v>
      </c>
      <c r="AH169" s="417">
        <v>0</v>
      </c>
      <c r="AI169" s="417">
        <v>0</v>
      </c>
      <c r="AJ169" s="317">
        <f>SUM(OPX_LE3!$AC171:$AI171)</f>
        <v>0</v>
      </c>
      <c r="AK169" s="424">
        <v>0</v>
      </c>
      <c r="AL169" s="276">
        <f>SUM(OPX_LE3!$J171,OPX_LE3!$AB171,OPX_LE3!$S171,OPX_LE3!$AJ171,OPX_LE3!$R171,OPX_LE3!$AK171)</f>
        <v>-28737</v>
      </c>
      <c r="AM169" s="427">
        <v>0</v>
      </c>
    </row>
    <row r="170" spans="1:39" ht="15" hidden="1">
      <c r="A170" s="244" t="s">
        <v>528</v>
      </c>
      <c r="B170" s="232" t="str">
        <f>VLOOKUP(OPX_LE3!$A172,Tableau106[],3,FALSE)</f>
        <v>A894</v>
      </c>
      <c r="C170" s="232" t="str">
        <f>VLOOKUP(OPX_LE3!$A172,Tableau106[],2,FALSE)</f>
        <v>FR14E99E</v>
      </c>
      <c r="D170" s="232" t="str">
        <f>VLOOKUP(OPX_LE3!$A172,Tableau106[],8,FALSE)</f>
        <v>EOLIEN</v>
      </c>
      <c r="E170" s="233">
        <f>VLOOKUP(OPX_LE3!$A172,Tableau106[],4,FALSE)</f>
        <v>6</v>
      </c>
      <c r="F170" s="232" t="str">
        <f>VLOOKUP(OPX_LE3!$A172,Tableau106[],5,FALSE)</f>
        <v>STMB</v>
      </c>
      <c r="G170" s="232" t="str">
        <f>VLOOKUP(OPX_LE3!$A172,Tableau106[],7,FALSE)</f>
        <v>GROUPE</v>
      </c>
      <c r="H170" s="232" t="str">
        <f>VLOOKUP(OPX_LE3!$A172,Tableau106[],6,FALSE)</f>
        <v>N</v>
      </c>
      <c r="I170" s="232" t="str">
        <f>VLOOKUP(OPX_LE3!$A172,Tableau106[],9,FALSE)</f>
        <v>AnN</v>
      </c>
      <c r="J170" s="254">
        <v>-68007</v>
      </c>
      <c r="K170" s="228"/>
      <c r="L170" s="228"/>
      <c r="M170" s="229">
        <f>+VLOOKUP(Tableau163[[#This Row],[CODE PI]],Tableau15[[CODE PI]:[Prestations diverses  &amp; accompagnements interne (1,6 k€ par jour d''acc)]],8,FALSE)</f>
        <v>0</v>
      </c>
      <c r="N170" s="229">
        <f>+VLOOKUP(Tableau163[[#This Row],[CODE PI]],Tableau15[[CODE PI]:[Prestations diverses  &amp; accompagnements interne (1,6 k€ par jour d''acc)]],9,FALSE)</f>
        <v>0</v>
      </c>
      <c r="O170" s="229">
        <f>+VLOOKUP(Tableau163[[#This Row],[CODE PI]],Tableau15[[CODE PI]:[Prestations diverses  &amp; accompagnements interne (1,6 k€ par jour d''acc)]],10,FALSE)</f>
        <v>0</v>
      </c>
      <c r="P170" s="229">
        <f>+VLOOKUP(Tableau163[[#This Row],[CODE PI]],Tableau15[[CODE PI]:[Prestations diverses  &amp; accompagnements interne (1,6 k€ par jour d''acc)]],11,FALSE)</f>
        <v>-2100</v>
      </c>
      <c r="Q170" s="230">
        <f>-250*OPX_LE3!$E172</f>
        <v>-1500</v>
      </c>
      <c r="R170" s="311">
        <f>SUM(OPX_LE3!$K172:$Q172)</f>
        <v>-103600</v>
      </c>
      <c r="S170" s="337">
        <v>0</v>
      </c>
      <c r="T170" s="361">
        <v>-84000</v>
      </c>
      <c r="U170" s="362">
        <v>0</v>
      </c>
      <c r="V170" s="361">
        <v>-1000</v>
      </c>
      <c r="W170" s="361">
        <v>0</v>
      </c>
      <c r="X170" s="361">
        <v>0</v>
      </c>
      <c r="Y170" s="361">
        <v>0</v>
      </c>
      <c r="Z170" s="264">
        <v>-1500</v>
      </c>
      <c r="AA170" s="423"/>
      <c r="AB170" s="273">
        <f>SUM(OPX_LE3!$T172:$AA172)</f>
        <v>-4720</v>
      </c>
      <c r="AC170" s="426">
        <f t="shared" si="2"/>
        <v>-11500</v>
      </c>
      <c r="AD170" s="426"/>
      <c r="AE170" s="417">
        <v>0</v>
      </c>
      <c r="AF170" s="417">
        <v>0</v>
      </c>
      <c r="AG170" s="417">
        <v>0</v>
      </c>
      <c r="AH170" s="417">
        <v>0</v>
      </c>
      <c r="AI170" s="417">
        <v>0</v>
      </c>
      <c r="AJ170" s="317">
        <f>SUM(OPX_LE3!$AC172:$AI172)</f>
        <v>0</v>
      </c>
      <c r="AK170" s="424">
        <v>0</v>
      </c>
      <c r="AL170" s="276">
        <f>SUM(OPX_LE3!$J172,OPX_LE3!$AB172,OPX_LE3!$S172,OPX_LE3!$AJ172,OPX_LE3!$R172,OPX_LE3!$AK172)</f>
        <v>-176327</v>
      </c>
      <c r="AM170" s="427">
        <v>0</v>
      </c>
    </row>
    <row r="171" spans="1:39" ht="15" hidden="1">
      <c r="A171" s="325" t="s">
        <v>353</v>
      </c>
      <c r="B171" s="322" t="str">
        <f>VLOOKUP(OPX_LE3!$A173,Tableau106[],3,FALSE)</f>
        <v>A257</v>
      </c>
      <c r="C171" s="322" t="str">
        <f>VLOOKUP(OPX_LE3!$A173,Tableau106[],2,FALSE)</f>
        <v>FR11S06E</v>
      </c>
      <c r="D171" s="322" t="str">
        <f>VLOOKUP(OPX_LE3!$A173,Tableau106[],8,FALSE)</f>
        <v>SOLAIRE</v>
      </c>
      <c r="E171" s="324">
        <f>VLOOKUP(OPX_LE3!$A173,Tableau106[],4,FALSE)</f>
        <v>4.5999999999999996</v>
      </c>
      <c r="F171" s="322" t="str">
        <f>VLOOKUP(OPX_LE3!$A173,Tableau106[],5,FALSE)</f>
        <v>STPA</v>
      </c>
      <c r="G171" s="322" t="str">
        <f>VLOOKUP(OPX_LE3!$A173,Tableau106[],7,FALSE)</f>
        <v>GROUPE</v>
      </c>
      <c r="H171" s="322" t="str">
        <f>VLOOKUP(OPX_LE3!$A173,Tableau106[],6,FALSE)</f>
        <v>S</v>
      </c>
      <c r="I171" s="322" t="str">
        <f>VLOOKUP(OPX_LE3!$A173,Tableau106[],9,FALSE)</f>
        <v>BaA</v>
      </c>
      <c r="J171" s="254">
        <v>-25644</v>
      </c>
      <c r="K171" s="228"/>
      <c r="L171" s="228"/>
      <c r="M171" s="229">
        <f>+VLOOKUP(Tableau163[[#This Row],[CODE PI]],Tableau15[[CODE PI]:[Prestations diverses  &amp; accompagnements interne (1,6 k€ par jour d''acc)]],8,FALSE)</f>
        <v>0</v>
      </c>
      <c r="N171" s="229">
        <f>+VLOOKUP(Tableau163[[#This Row],[CODE PI]],Tableau15[[CODE PI]:[Prestations diverses  &amp; accompagnements interne (1,6 k€ par jour d''acc)]],9,FALSE)</f>
        <v>0</v>
      </c>
      <c r="O171" s="229">
        <f>+VLOOKUP(Tableau163[[#This Row],[CODE PI]],Tableau15[[CODE PI]:[Prestations diverses  &amp; accompagnements interne (1,6 k€ par jour d''acc)]],10,FALSE)</f>
        <v>0</v>
      </c>
      <c r="P171" s="229">
        <f>+VLOOKUP(Tableau163[[#This Row],[CODE PI]],Tableau15[[CODE PI]:[Prestations diverses  &amp; accompagnements interne (1,6 k€ par jour d''acc)]],11,FALSE)</f>
        <v>0</v>
      </c>
      <c r="Q171" s="230">
        <f>-250*OPX_LE3!$E173</f>
        <v>-1150</v>
      </c>
      <c r="R171" s="311">
        <f>SUM(OPX_LE3!$K173:$Q173)</f>
        <v>-7550</v>
      </c>
      <c r="S171" s="337">
        <v>0</v>
      </c>
      <c r="T171" s="361">
        <v>0</v>
      </c>
      <c r="U171" s="362">
        <v>0</v>
      </c>
      <c r="V171" s="361">
        <v>0</v>
      </c>
      <c r="W171" s="361">
        <v>0</v>
      </c>
      <c r="X171" s="361">
        <v>0</v>
      </c>
      <c r="Y171" s="361">
        <v>0</v>
      </c>
      <c r="Z171" s="264">
        <v>-1150</v>
      </c>
      <c r="AA171" s="423"/>
      <c r="AB171" s="273">
        <f>SUM(OPX_LE3!$T173:$AA173)</f>
        <v>-32100</v>
      </c>
      <c r="AC171" s="426">
        <f t="shared" si="2"/>
        <v>-11500</v>
      </c>
      <c r="AD171" s="426"/>
      <c r="AE171" s="417">
        <v>0</v>
      </c>
      <c r="AF171" s="417">
        <v>0</v>
      </c>
      <c r="AG171" s="417">
        <v>0</v>
      </c>
      <c r="AH171" s="417">
        <v>-2160</v>
      </c>
      <c r="AI171" s="417">
        <v>0</v>
      </c>
      <c r="AJ171" s="317">
        <f>SUM(OPX_LE3!$AC173:$AI173)</f>
        <v>-2160</v>
      </c>
      <c r="AK171" s="424">
        <v>0</v>
      </c>
      <c r="AL171" s="276">
        <f>SUM(OPX_LE3!$J173,OPX_LE3!$AB173,OPX_LE3!$S173,OPX_LE3!$AJ173,OPX_LE3!$R173,OPX_LE3!$AK173)</f>
        <v>-67454</v>
      </c>
      <c r="AM171" s="427">
        <v>0</v>
      </c>
    </row>
    <row r="172" spans="1:39" ht="15" hidden="1">
      <c r="A172" s="244" t="s">
        <v>607</v>
      </c>
      <c r="B172" s="232" t="str">
        <f>VLOOKUP(OPX_LE3!$A174,Tableau106[],3,FALSE)</f>
        <v>A353</v>
      </c>
      <c r="C172" s="232" t="str">
        <f>VLOOKUP(OPX_LE3!$A174,Tableau106[],2,FALSE)</f>
        <v>FR34S01E</v>
      </c>
      <c r="D172" s="232" t="str">
        <f>VLOOKUP(OPX_LE3!$A174,Tableau106[],8,FALSE)</f>
        <v>SOLAIRE</v>
      </c>
      <c r="E172" s="233">
        <f>VLOOKUP(OPX_LE3!$A174,Tableau106[],4,FALSE)</f>
        <v>10.664</v>
      </c>
      <c r="F172" s="232" t="str">
        <f>VLOOKUP(OPX_LE3!$A174,Tableau106[],5,FALSE)</f>
        <v>SPAR</v>
      </c>
      <c r="G172" s="232" t="str">
        <f>VLOOKUP(OPX_LE3!$A174,Tableau106[],7,FALSE)</f>
        <v>GROUPE</v>
      </c>
      <c r="H172" s="232" t="str">
        <f>VLOOKUP(OPX_LE3!$A174,Tableau106[],6,FALSE)</f>
        <v>S</v>
      </c>
      <c r="I172" s="232" t="str">
        <f>VLOOKUP(OPX_LE3!$A174,Tableau106[],9,FALSE)</f>
        <v>BaA</v>
      </c>
      <c r="J172" s="254">
        <v>-122542</v>
      </c>
      <c r="K172" s="228"/>
      <c r="L172" s="228"/>
      <c r="M172" s="229">
        <f>+VLOOKUP(Tableau163[[#This Row],[CODE PI]],Tableau15[[CODE PI]:[Prestations diverses  &amp; accompagnements interne (1,6 k€ par jour d''acc)]],8,FALSE)</f>
        <v>0</v>
      </c>
      <c r="N172" s="229">
        <f>+VLOOKUP(Tableau163[[#This Row],[CODE PI]],Tableau15[[CODE PI]:[Prestations diverses  &amp; accompagnements interne (1,6 k€ par jour d''acc)]],9,FALSE)</f>
        <v>0</v>
      </c>
      <c r="O172" s="229">
        <f>+VLOOKUP(Tableau163[[#This Row],[CODE PI]],Tableau15[[CODE PI]:[Prestations diverses  &amp; accompagnements interne (1,6 k€ par jour d''acc)]],10,FALSE)</f>
        <v>0</v>
      </c>
      <c r="P172" s="229">
        <f>+VLOOKUP(Tableau163[[#This Row],[CODE PI]],Tableau15[[CODE PI]:[Prestations diverses  &amp; accompagnements interne (1,6 k€ par jour d''acc)]],11,FALSE)</f>
        <v>0</v>
      </c>
      <c r="Q172" s="230">
        <f>-250*OPX_LE3!$E174</f>
        <v>-2666</v>
      </c>
      <c r="R172" s="311">
        <f>SUM(OPX_LE3!$K174:$Q174)</f>
        <v>-58326.000000000007</v>
      </c>
      <c r="S172" s="337">
        <v>0</v>
      </c>
      <c r="T172" s="361">
        <v>0</v>
      </c>
      <c r="U172" s="362">
        <v>0</v>
      </c>
      <c r="V172" s="361">
        <v>0</v>
      </c>
      <c r="W172" s="361">
        <v>0</v>
      </c>
      <c r="X172" s="361">
        <v>0</v>
      </c>
      <c r="Y172" s="361">
        <v>0</v>
      </c>
      <c r="Z172" s="264">
        <v>-2666</v>
      </c>
      <c r="AA172" s="423"/>
      <c r="AB172" s="273">
        <f>SUM(OPX_LE3!$T174:$AA174)</f>
        <v>-5000</v>
      </c>
      <c r="AC172" s="426">
        <f t="shared" si="2"/>
        <v>-11500</v>
      </c>
      <c r="AD172" s="426"/>
      <c r="AE172" s="417">
        <v>0</v>
      </c>
      <c r="AF172" s="417">
        <v>0</v>
      </c>
      <c r="AG172" s="417">
        <v>0</v>
      </c>
      <c r="AH172" s="417">
        <v>0</v>
      </c>
      <c r="AI172" s="417">
        <v>0</v>
      </c>
      <c r="AJ172" s="317">
        <f>SUM(OPX_LE3!$AC174:$AI174)</f>
        <v>0</v>
      </c>
      <c r="AK172" s="424">
        <v>-5327</v>
      </c>
      <c r="AL172" s="276">
        <f>SUM(OPX_LE3!$J174,OPX_LE3!$AB174,OPX_LE3!$S174,OPX_LE3!$AJ174,OPX_LE3!$R174,OPX_LE3!$AK174)</f>
        <v>-185868</v>
      </c>
      <c r="AM172" s="427">
        <v>0</v>
      </c>
    </row>
    <row r="173" spans="1:39" ht="15" hidden="1">
      <c r="A173" s="325" t="s">
        <v>608</v>
      </c>
      <c r="B173" s="322" t="str">
        <f>VLOOKUP(OPX_LE3!$A175,Tableau106[],3,FALSE)</f>
        <v>A257</v>
      </c>
      <c r="C173" s="322" t="str">
        <f>VLOOKUP(OPX_LE3!$A175,Tableau106[],2,FALSE)</f>
        <v>FR69S05E</v>
      </c>
      <c r="D173" s="322" t="str">
        <f>VLOOKUP(OPX_LE3!$A175,Tableau106[],8,FALSE)</f>
        <v>SOLAIRE</v>
      </c>
      <c r="E173" s="324">
        <f>VLOOKUP(OPX_LE3!$A175,Tableau106[],4,FALSE)</f>
        <v>5</v>
      </c>
      <c r="F173" s="322" t="str">
        <f>VLOOKUP(OPX_LE3!$A175,Tableau106[],5,FALSE)</f>
        <v>SREG</v>
      </c>
      <c r="G173" s="322" t="str">
        <f>VLOOKUP(OPX_LE3!$A175,Tableau106[],7,FALSE)</f>
        <v>GROUPE</v>
      </c>
      <c r="H173" s="322" t="str">
        <f>VLOOKUP(OPX_LE3!$A175,Tableau106[],6,FALSE)</f>
        <v>S</v>
      </c>
      <c r="I173" s="322" t="str">
        <f>VLOOKUP(OPX_LE3!$A175,Tableau106[],9,FALSE)</f>
        <v>ArB</v>
      </c>
      <c r="J173" s="254"/>
      <c r="K173" s="228"/>
      <c r="L173" s="228"/>
      <c r="M173" s="229">
        <f>+VLOOKUP(Tableau163[[#This Row],[CODE PI]],Tableau15[[CODE PI]:[Prestations diverses  &amp; accompagnements interne (1,6 k€ par jour d''acc)]],8,FALSE)</f>
        <v>0</v>
      </c>
      <c r="N173" s="229">
        <f>+VLOOKUP(Tableau163[[#This Row],[CODE PI]],Tableau15[[CODE PI]:[Prestations diverses  &amp; accompagnements interne (1,6 k€ par jour d''acc)]],9,FALSE)</f>
        <v>0</v>
      </c>
      <c r="O173" s="229">
        <f>+VLOOKUP(Tableau163[[#This Row],[CODE PI]],Tableau15[[CODE PI]:[Prestations diverses  &amp; accompagnements interne (1,6 k€ par jour d''acc)]],10,FALSE)</f>
        <v>0</v>
      </c>
      <c r="P173" s="229">
        <f>+VLOOKUP(Tableau163[[#This Row],[CODE PI]],Tableau15[[CODE PI]:[Prestations diverses  &amp; accompagnements interne (1,6 k€ par jour d''acc)]],11,FALSE)</f>
        <v>0</v>
      </c>
      <c r="Q173" s="230">
        <f>-250*OPX_LE3!$E175</f>
        <v>-1250</v>
      </c>
      <c r="R173" s="311">
        <f>SUM(OPX_LE3!$K175:$Q175)</f>
        <v>-1250</v>
      </c>
      <c r="S173" s="337">
        <v>-40000</v>
      </c>
      <c r="T173" s="361">
        <v>0</v>
      </c>
      <c r="U173" s="362">
        <v>0</v>
      </c>
      <c r="V173" s="361">
        <v>0</v>
      </c>
      <c r="W173" s="361">
        <v>0</v>
      </c>
      <c r="X173" s="361">
        <v>0</v>
      </c>
      <c r="Y173" s="361">
        <v>0</v>
      </c>
      <c r="Z173" s="264">
        <v>-1250</v>
      </c>
      <c r="AA173" s="423">
        <v>-1500</v>
      </c>
      <c r="AB173" s="273">
        <f>SUM(OPX_LE3!$T175:$AA175)</f>
        <v>-4850</v>
      </c>
      <c r="AC173" s="426">
        <f t="shared" si="2"/>
        <v>-11500</v>
      </c>
      <c r="AD173" s="426"/>
      <c r="AE173" s="417">
        <v>0</v>
      </c>
      <c r="AF173" s="417">
        <v>0</v>
      </c>
      <c r="AG173" s="417">
        <v>0</v>
      </c>
      <c r="AH173" s="417">
        <v>0</v>
      </c>
      <c r="AI173" s="417">
        <v>0</v>
      </c>
      <c r="AJ173" s="317">
        <f>SUM(OPX_LE3!$AC175:$AI175)</f>
        <v>0</v>
      </c>
      <c r="AK173" s="424">
        <v>0</v>
      </c>
      <c r="AL173" s="276">
        <f>SUM(OPX_LE3!$J175,OPX_LE3!$AB175,OPX_LE3!$S175,OPX_LE3!$AJ175,OPX_LE3!$R175,OPX_LE3!$AK175)</f>
        <v>-46100</v>
      </c>
      <c r="AM173" s="427">
        <v>0</v>
      </c>
    </row>
    <row r="174" spans="1:39" ht="15" hidden="1">
      <c r="A174" s="244" t="s">
        <v>625</v>
      </c>
      <c r="B174" s="232" t="str">
        <f>VLOOKUP(OPX_LE3!$A176,Tableau106[],3,FALSE)</f>
        <v>A892</v>
      </c>
      <c r="C174" s="232" t="str">
        <f>VLOOKUP(OPX_LE3!$A176,Tableau106[],2,FALSE)</f>
        <v>FR02E99E</v>
      </c>
      <c r="D174" s="232" t="str">
        <f>VLOOKUP(OPX_LE3!$A176,Tableau106[],8,FALSE)</f>
        <v>EOLIEN</v>
      </c>
      <c r="E174" s="233">
        <f>VLOOKUP(OPX_LE3!$A176,Tableau106[],4,FALSE)</f>
        <v>10.119999999999999</v>
      </c>
      <c r="F174" s="232" t="str">
        <f>VLOOKUP(OPX_LE3!$A176,Tableau106[],5,FALSE)</f>
        <v>STSI</v>
      </c>
      <c r="G174" s="232" t="str">
        <f>VLOOKUP(OPX_LE3!$A176,Tableau106[],7,FALSE)</f>
        <v>GROUPE</v>
      </c>
      <c r="H174" s="232" t="str">
        <f>VLOOKUP(OPX_LE3!$A176,Tableau106[],6,FALSE)</f>
        <v>N</v>
      </c>
      <c r="I174" s="232" t="str">
        <f>VLOOKUP(OPX_LE3!$A176,Tableau106[],9,FALSE)</f>
        <v>AyB</v>
      </c>
      <c r="J174" s="254">
        <v>-75492</v>
      </c>
      <c r="K174" s="228"/>
      <c r="L174" s="228"/>
      <c r="M174" s="229">
        <f>+VLOOKUP(Tableau163[[#This Row],[CODE PI]],Tableau15[[CODE PI]:[Prestations diverses  &amp; accompagnements interne (1,6 k€ par jour d''acc)]],8,FALSE)</f>
        <v>0</v>
      </c>
      <c r="N174" s="229">
        <f>+VLOOKUP(Tableau163[[#This Row],[CODE PI]],Tableau15[[CODE PI]:[Prestations diverses  &amp; accompagnements interne (1,6 k€ par jour d''acc)]],9,FALSE)</f>
        <v>0</v>
      </c>
      <c r="O174" s="229">
        <f>+VLOOKUP(Tableau163[[#This Row],[CODE PI]],Tableau15[[CODE PI]:[Prestations diverses  &amp; accompagnements interne (1,6 k€ par jour d''acc)]],10,FALSE)</f>
        <v>0</v>
      </c>
      <c r="P174" s="229">
        <f>+VLOOKUP(Tableau163[[#This Row],[CODE PI]],Tableau15[[CODE PI]:[Prestations diverses  &amp; accompagnements interne (1,6 k€ par jour d''acc)]],11,FALSE)</f>
        <v>-17570</v>
      </c>
      <c r="Q174" s="230">
        <f>-250*OPX_LE3!$E176</f>
        <v>-2530</v>
      </c>
      <c r="R174" s="311">
        <f>SUM(OPX_LE3!$K176:$Q176)</f>
        <v>-107530</v>
      </c>
      <c r="S174" s="337">
        <v>0</v>
      </c>
      <c r="T174" s="361">
        <v>0</v>
      </c>
      <c r="U174" s="362">
        <v>0</v>
      </c>
      <c r="V174" s="361">
        <v>-10000</v>
      </c>
      <c r="W174" s="361">
        <v>-25000</v>
      </c>
      <c r="X174" s="361">
        <v>0</v>
      </c>
      <c r="Y174" s="361">
        <v>0</v>
      </c>
      <c r="Z174" s="264">
        <v>-2530</v>
      </c>
      <c r="AA174" s="423"/>
      <c r="AB174" s="273">
        <f>SUM(OPX_LE3!$T176:$AA176)</f>
        <v>-52530</v>
      </c>
      <c r="AC174" s="426">
        <f t="shared" si="2"/>
        <v>-11500</v>
      </c>
      <c r="AD174" s="426"/>
      <c r="AE174" s="417">
        <v>-31144</v>
      </c>
      <c r="AF174" s="417">
        <v>0</v>
      </c>
      <c r="AG174" s="417">
        <v>0</v>
      </c>
      <c r="AH174" s="417">
        <v>0</v>
      </c>
      <c r="AI174" s="417">
        <v>0</v>
      </c>
      <c r="AJ174" s="317">
        <f>SUM(OPX_LE3!$AC176:$AI176)</f>
        <v>-31144</v>
      </c>
      <c r="AK174" s="424">
        <v>0</v>
      </c>
      <c r="AL174" s="276">
        <f>SUM(OPX_LE3!$J176,OPX_LE3!$AB176,OPX_LE3!$S176,OPX_LE3!$AJ176,OPX_LE3!$R176,OPX_LE3!$AK176)</f>
        <v>-248204</v>
      </c>
      <c r="AM174" s="427">
        <v>0</v>
      </c>
    </row>
    <row r="175" spans="1:39" ht="15" hidden="1">
      <c r="A175" s="325" t="s">
        <v>642</v>
      </c>
      <c r="B175" s="322" t="str">
        <f>VLOOKUP(OPX_LE3!$A178,Tableau106[],3,FALSE)</f>
        <v>A235</v>
      </c>
      <c r="C175" s="322" t="str">
        <f>VLOOKUP(OPX_LE3!$A178,Tableau106[],2,FALSE)</f>
        <v>FR87S02E</v>
      </c>
      <c r="D175" s="322" t="str">
        <f>VLOOKUP(OPX_LE3!$A178,Tableau106[],8,FALSE)</f>
        <v>SOLAIRE</v>
      </c>
      <c r="E175" s="324">
        <f>VLOOKUP(OPX_LE3!$A178,Tableau106[],4,FALSE)</f>
        <v>3.6</v>
      </c>
      <c r="F175" s="322" t="str">
        <f>VLOOKUP(OPX_LE3!$A178,Tableau106[],5,FALSE)</f>
        <v>SOLE</v>
      </c>
      <c r="G175" s="322" t="str">
        <f>VLOOKUP(OPX_LE3!$A178,Tableau106[],7,FALSE)</f>
        <v>GROUPE</v>
      </c>
      <c r="H175" s="322" t="str">
        <f>VLOOKUP(OPX_LE3!$A178,Tableau106[],6,FALSE)</f>
        <v>N</v>
      </c>
      <c r="I175" s="322" t="str">
        <f>VLOOKUP(OPX_LE3!$A178,Tableau106[],9,FALSE)</f>
        <v>ArB</v>
      </c>
      <c r="J175" s="254"/>
      <c r="K175" s="228"/>
      <c r="L175" s="228"/>
      <c r="M175" s="229">
        <f>+VLOOKUP(Tableau163[[#This Row],[CODE PI]],Tableau15[[CODE PI]:[Prestations diverses  &amp; accompagnements interne (1,6 k€ par jour d''acc)]],8,FALSE)</f>
        <v>0</v>
      </c>
      <c r="N175" s="229">
        <f>+VLOOKUP(Tableau163[[#This Row],[CODE PI]],Tableau15[[CODE PI]:[Prestations diverses  &amp; accompagnements interne (1,6 k€ par jour d''acc)]],9,FALSE)</f>
        <v>-7800</v>
      </c>
      <c r="O175" s="229">
        <f>+VLOOKUP(Tableau163[[#This Row],[CODE PI]],Tableau15[[CODE PI]:[Prestations diverses  &amp; accompagnements interne (1,6 k€ par jour d''acc)]],10,FALSE)</f>
        <v>0</v>
      </c>
      <c r="P175" s="229">
        <f>+VLOOKUP(Tableau163[[#This Row],[CODE PI]],Tableau15[[CODE PI]:[Prestations diverses  &amp; accompagnements interne (1,6 k€ par jour d''acc)]],11,FALSE)</f>
        <v>0</v>
      </c>
      <c r="Q175" s="230">
        <f>-250*OPX_LE3!$E178</f>
        <v>-900</v>
      </c>
      <c r="R175" s="311">
        <f>SUM(OPX_LE3!$K178:$Q178)</f>
        <v>-11900</v>
      </c>
      <c r="S175" s="337"/>
      <c r="T175" s="361">
        <v>0</v>
      </c>
      <c r="U175" s="362">
        <v>0</v>
      </c>
      <c r="V175" s="361">
        <v>0</v>
      </c>
      <c r="W175" s="361">
        <v>0</v>
      </c>
      <c r="X175" s="361">
        <v>0</v>
      </c>
      <c r="Y175" s="361">
        <v>0</v>
      </c>
      <c r="Z175" s="264">
        <v>-900</v>
      </c>
      <c r="AA175" s="423"/>
      <c r="AB175" s="273">
        <f>SUM(OPX_LE3!$T178:$AA178)</f>
        <v>-900</v>
      </c>
      <c r="AC175" s="426">
        <f t="shared" si="2"/>
        <v>-11500</v>
      </c>
      <c r="AD175" s="426"/>
      <c r="AE175" s="417">
        <v>0</v>
      </c>
      <c r="AF175" s="417">
        <v>-10000</v>
      </c>
      <c r="AG175" s="417">
        <v>-35000</v>
      </c>
      <c r="AH175" s="417">
        <v>0</v>
      </c>
      <c r="AI175" s="417">
        <v>0</v>
      </c>
      <c r="AJ175" s="317">
        <f>SUM(OPX_LE3!$AC178:$AI178)</f>
        <v>0</v>
      </c>
      <c r="AK175" s="424">
        <v>0</v>
      </c>
      <c r="AL175" s="276">
        <f>SUM(OPX_LE3!$J178,OPX_LE3!$AB178,OPX_LE3!$S178,OPX_LE3!$AJ178,OPX_LE3!$R178,OPX_LE3!$AK178)</f>
        <v>-44800</v>
      </c>
      <c r="AM175" s="427">
        <v>0</v>
      </c>
    </row>
    <row r="176" spans="1:39" ht="15" hidden="1">
      <c r="A176" s="244" t="s">
        <v>610</v>
      </c>
      <c r="B176" s="232" t="str">
        <f>VLOOKUP(OPX_LE3!$A179,Tableau106[],3,FALSE)</f>
        <v>A295</v>
      </c>
      <c r="C176" s="232" t="str">
        <f>VLOOKUP(OPX_LE3!$A179,Tableau106[],2,FALSE)</f>
        <v>FR01S05E</v>
      </c>
      <c r="D176" s="232" t="str">
        <f>VLOOKUP(OPX_LE3!$A179,Tableau106[],8,FALSE)</f>
        <v>SOLAIRE</v>
      </c>
      <c r="E176" s="233">
        <f>VLOOKUP(OPX_LE3!$A179,Tableau106[],4,FALSE)</f>
        <v>2.7</v>
      </c>
      <c r="F176" s="232" t="str">
        <f>VLOOKUP(OPX_LE3!$A179,Tableau106[],5,FALSE)</f>
        <v>STJU</v>
      </c>
      <c r="G176" s="232" t="str">
        <f>VLOOKUP(OPX_LE3!$A179,Tableau106[],7,FALSE)</f>
        <v>GROUPE</v>
      </c>
      <c r="H176" s="232" t="str">
        <f>VLOOKUP(OPX_LE3!$A179,Tableau106[],6,FALSE)</f>
        <v>S</v>
      </c>
      <c r="I176" s="232" t="str">
        <f>VLOOKUP(OPX_LE3!$A179,Tableau106[],9,FALSE)</f>
        <v>ArB</v>
      </c>
      <c r="J176" s="254">
        <v>0</v>
      </c>
      <c r="K176" s="228"/>
      <c r="L176" s="228"/>
      <c r="M176" s="229">
        <f>+VLOOKUP(Tableau163[[#This Row],[CODE PI]],Tableau15[[CODE PI]:[Prestations diverses  &amp; accompagnements interne (1,6 k€ par jour d''acc)]],8,FALSE)</f>
        <v>0</v>
      </c>
      <c r="N176" s="229">
        <f>+VLOOKUP(Tableau163[[#This Row],[CODE PI]],Tableau15[[CODE PI]:[Prestations diverses  &amp; accompagnements interne (1,6 k€ par jour d''acc)]],9,FALSE)</f>
        <v>0</v>
      </c>
      <c r="O176" s="229">
        <f>+VLOOKUP(Tableau163[[#This Row],[CODE PI]],Tableau15[[CODE PI]:[Prestations diverses  &amp; accompagnements interne (1,6 k€ par jour d''acc)]],10,FALSE)</f>
        <v>0</v>
      </c>
      <c r="P176" s="229">
        <f>+VLOOKUP(Tableau163[[#This Row],[CODE PI]],Tableau15[[CODE PI]:[Prestations diverses  &amp; accompagnements interne (1,6 k€ par jour d''acc)]],11,FALSE)</f>
        <v>0</v>
      </c>
      <c r="Q176" s="230">
        <f>-250*OPX_LE3!$E179</f>
        <v>-675</v>
      </c>
      <c r="R176" s="311">
        <f>SUM(OPX_LE3!$K179:$Q179)</f>
        <v>-675</v>
      </c>
      <c r="S176" s="337">
        <v>-70434</v>
      </c>
      <c r="T176" s="361">
        <v>0</v>
      </c>
      <c r="U176" s="362">
        <v>0</v>
      </c>
      <c r="V176" s="361">
        <v>0</v>
      </c>
      <c r="W176" s="361">
        <v>0</v>
      </c>
      <c r="X176" s="361">
        <v>0</v>
      </c>
      <c r="Y176" s="361">
        <v>0</v>
      </c>
      <c r="Z176" s="264">
        <v>-675</v>
      </c>
      <c r="AA176" s="423">
        <v>-800</v>
      </c>
      <c r="AB176" s="273">
        <f>SUM(OPX_LE3!$T179:$AA179)</f>
        <v>-3075</v>
      </c>
      <c r="AC176" s="426">
        <f t="shared" si="2"/>
        <v>-11500</v>
      </c>
      <c r="AD176" s="426"/>
      <c r="AE176" s="417">
        <v>0</v>
      </c>
      <c r="AF176" s="417">
        <v>0</v>
      </c>
      <c r="AG176" s="417">
        <v>0</v>
      </c>
      <c r="AH176" s="417">
        <v>0</v>
      </c>
      <c r="AI176" s="417">
        <v>0</v>
      </c>
      <c r="AJ176" s="317">
        <f>SUM(OPX_LE3!$AC179:$AI179)</f>
        <v>-5000</v>
      </c>
      <c r="AK176" s="424">
        <v>0</v>
      </c>
      <c r="AL176" s="276">
        <f>SUM(OPX_LE3!$J179,OPX_LE3!$AB179,OPX_LE3!$S179,OPX_LE3!$AJ179,OPX_LE3!$R179,OPX_LE3!$AK179)</f>
        <v>-79184</v>
      </c>
      <c r="AM176" s="427">
        <v>0</v>
      </c>
    </row>
    <row r="177" spans="1:39" ht="15" hidden="1">
      <c r="A177" s="325" t="s">
        <v>611</v>
      </c>
      <c r="B177" s="322" t="str">
        <f>VLOOKUP(OPX_LE3!$A180,Tableau106[],3,FALSE)</f>
        <v>A307</v>
      </c>
      <c r="C177" s="322" t="str">
        <f>VLOOKUP(OPX_LE3!$A180,Tableau106[],2,FALSE)</f>
        <v>FR04S07E</v>
      </c>
      <c r="D177" s="322" t="str">
        <f>VLOOKUP(OPX_LE3!$A180,Tableau106[],8,FALSE)</f>
        <v>SOLAIRE</v>
      </c>
      <c r="E177" s="324">
        <f>VLOOKUP(OPX_LE3!$A180,Tableau106[],4,FALSE)</f>
        <v>2.8</v>
      </c>
      <c r="F177" s="322" t="str">
        <f>VLOOKUP(OPX_LE3!$A180,Tableau106[],5,FALSE)</f>
        <v>STLM</v>
      </c>
      <c r="G177" s="322" t="str">
        <f>VLOOKUP(OPX_LE3!$A180,Tableau106[],7,FALSE)</f>
        <v>GROUPE</v>
      </c>
      <c r="H177" s="322" t="str">
        <f>VLOOKUP(OPX_LE3!$A180,Tableau106[],6,FALSE)</f>
        <v>S</v>
      </c>
      <c r="I177" s="322" t="str">
        <f>VLOOKUP(OPX_LE3!$A180,Tableau106[],9,FALSE)</f>
        <v>BaA</v>
      </c>
      <c r="J177" s="254"/>
      <c r="K177" s="228"/>
      <c r="L177" s="228"/>
      <c r="M177" s="229">
        <f>+VLOOKUP(Tableau163[[#This Row],[CODE PI]],Tableau15[[CODE PI]:[Prestations diverses  &amp; accompagnements interne (1,6 k€ par jour d''acc)]],8,FALSE)</f>
        <v>0</v>
      </c>
      <c r="N177" s="229">
        <f>+VLOOKUP(Tableau163[[#This Row],[CODE PI]],Tableau15[[CODE PI]:[Prestations diverses  &amp; accompagnements interne (1,6 k€ par jour d''acc)]],9,FALSE)</f>
        <v>0</v>
      </c>
      <c r="O177" s="229">
        <f>+VLOOKUP(Tableau163[[#This Row],[CODE PI]],Tableau15[[CODE PI]:[Prestations diverses  &amp; accompagnements interne (1,6 k€ par jour d''acc)]],10,FALSE)</f>
        <v>0</v>
      </c>
      <c r="P177" s="229">
        <f>+VLOOKUP(Tableau163[[#This Row],[CODE PI]],Tableau15[[CODE PI]:[Prestations diverses  &amp; accompagnements interne (1,6 k€ par jour d''acc)]],11,FALSE)</f>
        <v>0</v>
      </c>
      <c r="Q177" s="230">
        <f>-250*OPX_LE3!$E180</f>
        <v>-700</v>
      </c>
      <c r="R177" s="311">
        <f>SUM(OPX_LE3!$K180:$Q180)</f>
        <v>-700</v>
      </c>
      <c r="S177" s="337"/>
      <c r="T177" s="361">
        <v>0</v>
      </c>
      <c r="U177" s="362">
        <v>0</v>
      </c>
      <c r="V177" s="361">
        <v>0</v>
      </c>
      <c r="W177" s="361">
        <v>0</v>
      </c>
      <c r="X177" s="361">
        <v>0</v>
      </c>
      <c r="Y177" s="361">
        <v>0</v>
      </c>
      <c r="Z177" s="264">
        <v>-700</v>
      </c>
      <c r="AA177" s="423"/>
      <c r="AB177" s="273">
        <f>SUM(OPX_LE3!$T180:$AA180)</f>
        <v>-700</v>
      </c>
      <c r="AC177" s="426">
        <f t="shared" si="2"/>
        <v>-11500</v>
      </c>
      <c r="AD177" s="426"/>
      <c r="AE177" s="417">
        <v>0</v>
      </c>
      <c r="AF177" s="417">
        <v>0</v>
      </c>
      <c r="AG177" s="417">
        <v>0</v>
      </c>
      <c r="AH177" s="417">
        <v>0</v>
      </c>
      <c r="AI177" s="417">
        <v>0</v>
      </c>
      <c r="AJ177" s="317">
        <f>SUM(OPX_LE3!$AC180:$AI180)</f>
        <v>-4850</v>
      </c>
      <c r="AK177" s="424">
        <v>0</v>
      </c>
      <c r="AL177" s="276">
        <f>SUM(OPX_LE3!$J180,OPX_LE3!$AB180,OPX_LE3!$S180,OPX_LE3!$AJ180,OPX_LE3!$R180,OPX_LE3!$AK180)</f>
        <v>-30250</v>
      </c>
      <c r="AM177" s="427">
        <v>0</v>
      </c>
    </row>
    <row r="178" spans="1:39" ht="15" hidden="1">
      <c r="A178" s="244" t="s">
        <v>557</v>
      </c>
      <c r="B178" s="232" t="str">
        <f>VLOOKUP(OPX_LE3!$A181,Tableau106[],3,FALSE)</f>
        <v>A541</v>
      </c>
      <c r="C178" s="232" t="str">
        <f>VLOOKUP(OPX_LE3!$A181,Tableau106[],2,FALSE)</f>
        <v>FR55E08E</v>
      </c>
      <c r="D178" s="232" t="str">
        <f>VLOOKUP(OPX_LE3!$A181,Tableau106[],8,FALSE)</f>
        <v>EOLIEN</v>
      </c>
      <c r="E178" s="233">
        <f>VLOOKUP(OPX_LE3!$A181,Tableau106[],4,FALSE)</f>
        <v>11.5</v>
      </c>
      <c r="F178" s="232" t="str">
        <f>VLOOKUP(OPX_LE3!$A181,Tableau106[],5,FALSE)</f>
        <v>STEN</v>
      </c>
      <c r="G178" s="232" t="str">
        <f>VLOOKUP(OPX_LE3!$A181,Tableau106[],7,FALSE)</f>
        <v>EGM</v>
      </c>
      <c r="H178" s="232" t="str">
        <f>VLOOKUP(OPX_LE3!$A181,Tableau106[],6,FALSE)</f>
        <v>N</v>
      </c>
      <c r="I178" s="232" t="str">
        <f>VLOOKUP(OPX_LE3!$A181,Tableau106[],9,FALSE)</f>
        <v>MaA</v>
      </c>
      <c r="J178" s="254">
        <v>-258123</v>
      </c>
      <c r="K178" s="228"/>
      <c r="L178" s="228"/>
      <c r="M178" s="229">
        <f>+VLOOKUP(Tableau163[[#This Row],[CODE PI]],Tableau15[[CODE PI]:[Prestations diverses  &amp; accompagnements interne (1,6 k€ par jour d''acc)]],8,FALSE)</f>
        <v>0</v>
      </c>
      <c r="N178" s="229">
        <f>+VLOOKUP(Tableau163[[#This Row],[CODE PI]],Tableau15[[CODE PI]:[Prestations diverses  &amp; accompagnements interne (1,6 k€ par jour d''acc)]],9,FALSE)</f>
        <v>0</v>
      </c>
      <c r="O178" s="229">
        <f>+VLOOKUP(Tableau163[[#This Row],[CODE PI]],Tableau15[[CODE PI]:[Prestations diverses  &amp; accompagnements interne (1,6 k€ par jour d''acc)]],10,FALSE)</f>
        <v>0</v>
      </c>
      <c r="P178" s="229">
        <f>+VLOOKUP(Tableau163[[#This Row],[CODE PI]],Tableau15[[CODE PI]:[Prestations diverses  &amp; accompagnements interne (1,6 k€ par jour d''acc)]],11,FALSE)</f>
        <v>0</v>
      </c>
      <c r="Q178" s="230">
        <f>-250*OPX_LE3!$E181</f>
        <v>-2875</v>
      </c>
      <c r="R178" s="311">
        <f>SUM(OPX_LE3!$K181:$Q181)</f>
        <v>-156900</v>
      </c>
      <c r="S178" s="337">
        <v>0</v>
      </c>
      <c r="T178" s="361">
        <v>0</v>
      </c>
      <c r="U178" s="362">
        <v>0</v>
      </c>
      <c r="V178" s="361">
        <v>0</v>
      </c>
      <c r="W178" s="361">
        <v>0</v>
      </c>
      <c r="X178" s="361">
        <v>0</v>
      </c>
      <c r="Y178" s="361">
        <v>0</v>
      </c>
      <c r="Z178" s="264">
        <v>-2875</v>
      </c>
      <c r="AA178" s="423"/>
      <c r="AB178" s="273">
        <f>SUM(OPX_LE3!$T181:$AA181)</f>
        <v>-23580</v>
      </c>
      <c r="AC178" s="426">
        <f t="shared" si="2"/>
        <v>-11500</v>
      </c>
      <c r="AD178" s="426"/>
      <c r="AE178" s="417">
        <v>0</v>
      </c>
      <c r="AF178" s="417">
        <v>0</v>
      </c>
      <c r="AG178" s="417">
        <v>0</v>
      </c>
      <c r="AH178" s="417">
        <v>0</v>
      </c>
      <c r="AI178" s="417">
        <v>0</v>
      </c>
      <c r="AJ178" s="317">
        <f>SUM(OPX_LE3!$AC181:$AI181)</f>
        <v>0</v>
      </c>
      <c r="AK178" s="424">
        <v>0</v>
      </c>
      <c r="AL178" s="276">
        <f>SUM(OPX_LE3!$J181,OPX_LE3!$AB181,OPX_LE3!$S181,OPX_LE3!$AJ181,OPX_LE3!$R181,OPX_LE3!$AK181)</f>
        <v>-451689</v>
      </c>
      <c r="AM178" s="427">
        <v>0</v>
      </c>
    </row>
    <row r="179" spans="1:39" ht="15" hidden="1">
      <c r="A179" s="325" t="s">
        <v>613</v>
      </c>
      <c r="B179" s="322" t="str">
        <f>VLOOKUP(OPX_LE3!$A182,Tableau106[],3,FALSE)</f>
        <v>A313</v>
      </c>
      <c r="C179" s="322" t="str">
        <f>VLOOKUP(OPX_LE3!$A182,Tableau106[],2,FALSE)</f>
        <v>FR89S03E</v>
      </c>
      <c r="D179" s="322" t="str">
        <f>VLOOKUP(OPX_LE3!$A182,Tableau106[],8,FALSE)</f>
        <v>SOLAIRE</v>
      </c>
      <c r="E179" s="324">
        <f>VLOOKUP(OPX_LE3!$A182,Tableau106[],4,FALSE)</f>
        <v>10.1</v>
      </c>
      <c r="F179" s="322" t="str">
        <f>VLOOKUP(OPX_LE3!$A182,Tableau106[],5,FALSE)</f>
        <v>SUBL</v>
      </c>
      <c r="G179" s="322" t="str">
        <f>VLOOKUP(OPX_LE3!$A182,Tableau106[],7,FALSE)</f>
        <v>GROUPE</v>
      </c>
      <c r="H179" s="322" t="str">
        <f>VLOOKUP(OPX_LE3!$A182,Tableau106[],6,FALSE)</f>
        <v>N</v>
      </c>
      <c r="I179" s="322" t="str">
        <f>VLOOKUP(OPX_LE3!$A182,Tableau106[],9,FALSE)</f>
        <v>LoG</v>
      </c>
      <c r="J179" s="254">
        <v>-58467</v>
      </c>
      <c r="K179" s="228"/>
      <c r="L179" s="228"/>
      <c r="M179" s="229">
        <f>+VLOOKUP(Tableau163[[#This Row],[CODE PI]],Tableau15[[CODE PI]:[Prestations diverses  &amp; accompagnements interne (1,6 k€ par jour d''acc)]],8,FALSE)</f>
        <v>0</v>
      </c>
      <c r="N179" s="229">
        <f>+VLOOKUP(Tableau163[[#This Row],[CODE PI]],Tableau15[[CODE PI]:[Prestations diverses  &amp; accompagnements interne (1,6 k€ par jour d''acc)]],9,FALSE)</f>
        <v>0</v>
      </c>
      <c r="O179" s="229">
        <f>+VLOOKUP(Tableau163[[#This Row],[CODE PI]],Tableau15[[CODE PI]:[Prestations diverses  &amp; accompagnements interne (1,6 k€ par jour d''acc)]],10,FALSE)</f>
        <v>-3000</v>
      </c>
      <c r="P179" s="229">
        <f>+VLOOKUP(Tableau163[[#This Row],[CODE PI]],Tableau15[[CODE PI]:[Prestations diverses  &amp; accompagnements interne (1,6 k€ par jour d''acc)]],11,FALSE)</f>
        <v>-4025</v>
      </c>
      <c r="Q179" s="230">
        <f>-250*OPX_LE3!$E182</f>
        <v>-2525</v>
      </c>
      <c r="R179" s="311">
        <f>SUM(OPX_LE3!$K182:$Q182)</f>
        <v>-37540</v>
      </c>
      <c r="S179" s="337">
        <v>0</v>
      </c>
      <c r="T179" s="361">
        <v>0</v>
      </c>
      <c r="U179" s="362">
        <v>0</v>
      </c>
      <c r="V179" s="361">
        <v>-2000</v>
      </c>
      <c r="W179" s="361">
        <v>0</v>
      </c>
      <c r="X179" s="361">
        <v>-4000</v>
      </c>
      <c r="Y179" s="361">
        <v>0</v>
      </c>
      <c r="Z179" s="264">
        <v>-2525</v>
      </c>
      <c r="AA179" s="423"/>
      <c r="AB179" s="273">
        <f>SUM(OPX_LE3!$T182:$AA182)</f>
        <v>0</v>
      </c>
      <c r="AC179" s="426">
        <f t="shared" si="2"/>
        <v>-11500</v>
      </c>
      <c r="AD179" s="426"/>
      <c r="AE179" s="417">
        <v>0</v>
      </c>
      <c r="AF179" s="417">
        <v>0</v>
      </c>
      <c r="AG179" s="417">
        <v>0</v>
      </c>
      <c r="AH179" s="417">
        <v>0</v>
      </c>
      <c r="AI179" s="417">
        <v>0</v>
      </c>
      <c r="AJ179" s="317">
        <f>SUM(OPX_LE3!$AC182:$AI182)</f>
        <v>0</v>
      </c>
      <c r="AK179" s="424">
        <v>0</v>
      </c>
      <c r="AL179" s="276">
        <f>SUM(OPX_LE3!$J182,OPX_LE3!$AB182,OPX_LE3!$S182,OPX_LE3!$AJ182,OPX_LE3!$R182,OPX_LE3!$AK182)</f>
        <v>-94540</v>
      </c>
      <c r="AM179" s="427">
        <v>0</v>
      </c>
    </row>
    <row r="180" spans="1:39" ht="15" hidden="1">
      <c r="A180" s="244" t="s">
        <v>663</v>
      </c>
      <c r="B180" s="232" t="str">
        <f>VLOOKUP(OPX_LE3!$A183,Tableau106[],3,FALSE)</f>
        <v>A536</v>
      </c>
      <c r="C180" s="232" t="str">
        <f>VLOOKUP(OPX_LE3!$A183,Tableau106[],2,FALSE)</f>
        <v>FR62E04E</v>
      </c>
      <c r="D180" s="232" t="str">
        <f>VLOOKUP(OPX_LE3!$A183,Tableau106[],8,FALSE)</f>
        <v>EOLIEN</v>
      </c>
      <c r="E180" s="233">
        <f>VLOOKUP(OPX_LE3!$A183,Tableau106[],4,FALSE)</f>
        <v>21.6</v>
      </c>
      <c r="F180" s="232" t="str">
        <f>VLOOKUP(OPX_LE3!$A183,Tableau106[],5,FALSE)</f>
        <v>SARA</v>
      </c>
      <c r="G180" s="232" t="str">
        <f>VLOOKUP(OPX_LE3!$A183,Tableau106[],7,FALSE)</f>
        <v>GROUPE</v>
      </c>
      <c r="H180" s="232" t="str">
        <f>VLOOKUP(OPX_LE3!$A183,Tableau106[],6,FALSE)</f>
        <v>N</v>
      </c>
      <c r="I180" s="232" t="str">
        <f>VLOOKUP(OPX_LE3!$A183,Tableau106[],9,FALSE)</f>
        <v>NiL</v>
      </c>
      <c r="J180" s="254">
        <v>-18484</v>
      </c>
      <c r="K180" s="228"/>
      <c r="L180" s="228"/>
      <c r="M180" s="229">
        <f>+VLOOKUP(Tableau163[[#This Row],[CODE PI]],Tableau15[[CODE PI]:[Prestations diverses  &amp; accompagnements interne (1,6 k€ par jour d''acc)]],8,FALSE)</f>
        <v>0</v>
      </c>
      <c r="N180" s="229">
        <f>+VLOOKUP(Tableau163[[#This Row],[CODE PI]],Tableau15[[CODE PI]:[Prestations diverses  &amp; accompagnements interne (1,6 k€ par jour d''acc)]],9,FALSE)</f>
        <v>0</v>
      </c>
      <c r="O180" s="229">
        <f>+VLOOKUP(Tableau163[[#This Row],[CODE PI]],Tableau15[[CODE PI]:[Prestations diverses  &amp; accompagnements interne (1,6 k€ par jour d''acc)]],10,FALSE)</f>
        <v>0</v>
      </c>
      <c r="P180" s="229">
        <f>+VLOOKUP(Tableau163[[#This Row],[CODE PI]],Tableau15[[CODE PI]:[Prestations diverses  &amp; accompagnements interne (1,6 k€ par jour d''acc)]],11,FALSE)</f>
        <v>0</v>
      </c>
      <c r="Q180" s="230">
        <f>(-250*OPX_LE3!$E183)-1439.29</f>
        <v>-6839.29</v>
      </c>
      <c r="R180" s="311">
        <f>SUM(OPX_LE3!$K183:$Q183)</f>
        <v>-22783.29</v>
      </c>
      <c r="S180" s="337"/>
      <c r="T180" s="361">
        <v>0</v>
      </c>
      <c r="U180" s="362">
        <v>0</v>
      </c>
      <c r="V180" s="361">
        <v>0</v>
      </c>
      <c r="W180" s="361">
        <v>0</v>
      </c>
      <c r="X180" s="361">
        <v>0</v>
      </c>
      <c r="Y180" s="361">
        <v>0</v>
      </c>
      <c r="Z180" s="264">
        <v>-5400</v>
      </c>
      <c r="AA180" s="423">
        <f>-180000</f>
        <v>-180000</v>
      </c>
      <c r="AB180" s="273">
        <f>SUM(OPX_LE3!$T183:$AA183)</f>
        <v>-8700</v>
      </c>
      <c r="AC180" s="426">
        <f t="shared" si="2"/>
        <v>-11500</v>
      </c>
      <c r="AD180" s="426"/>
      <c r="AE180" s="417">
        <v>-7255</v>
      </c>
      <c r="AF180" s="417">
        <v>-14577</v>
      </c>
      <c r="AG180" s="417">
        <v>-38425</v>
      </c>
      <c r="AH180" s="417">
        <v>0</v>
      </c>
      <c r="AI180" s="417">
        <v>0</v>
      </c>
      <c r="AJ180" s="317">
        <f>SUM(OPX_LE3!$AC183:$AI183)</f>
        <v>-65257</v>
      </c>
      <c r="AK180" s="424">
        <v>0</v>
      </c>
      <c r="AL180" s="276">
        <f>SUM(OPX_LE3!$J183,OPX_LE3!$AB183,OPX_LE3!$S183,OPX_LE3!$AJ183,OPX_LE3!$R183,OPX_LE3!$AK183)</f>
        <v>-428424.29</v>
      </c>
      <c r="AM180" s="427">
        <v>0</v>
      </c>
    </row>
    <row r="181" spans="1:39" ht="15" hidden="1">
      <c r="A181" s="325" t="s">
        <v>436</v>
      </c>
      <c r="B181" s="322" t="str">
        <f>VLOOKUP(OPX_LE3!$A184,Tableau106[],3,FALSE)</f>
        <v>A280</v>
      </c>
      <c r="C181" s="322" t="str">
        <f>VLOOKUP(OPX_LE3!$A184,Tableau106[],2,FALSE)</f>
        <v>FR89E08E</v>
      </c>
      <c r="D181" s="322" t="str">
        <f>VLOOKUP(OPX_LE3!$A184,Tableau106[],8,FALSE)</f>
        <v>EOLIEN</v>
      </c>
      <c r="E181" s="324">
        <f>VLOOKUP(OPX_LE3!$A184,Tableau106[],4,FALSE)</f>
        <v>14.4</v>
      </c>
      <c r="F181" s="322" t="str">
        <f>VLOOKUP(OPX_LE3!$A184,Tableau106[],5,FALSE)</f>
        <v>TLGR</v>
      </c>
      <c r="G181" s="322" t="str">
        <f>VLOOKUP(OPX_LE3!$A184,Tableau106[],7,FALSE)</f>
        <v>GROUPE</v>
      </c>
      <c r="H181" s="322" t="str">
        <f>VLOOKUP(OPX_LE3!$A184,Tableau106[],6,FALSE)</f>
        <v>N</v>
      </c>
      <c r="I181" s="322" t="str">
        <f>VLOOKUP(OPX_LE3!$A184,Tableau106[],9,FALSE)</f>
        <v>LoH</v>
      </c>
      <c r="J181" s="254">
        <v>-9230</v>
      </c>
      <c r="K181" s="228"/>
      <c r="L181" s="228"/>
      <c r="M181" s="229">
        <f>+VLOOKUP(Tableau163[[#This Row],[CODE PI]],Tableau15[[CODE PI]:[Prestations diverses  &amp; accompagnements interne (1,6 k€ par jour d''acc)]],8,FALSE)</f>
        <v>0</v>
      </c>
      <c r="N181" s="229">
        <f>+VLOOKUP(Tableau163[[#This Row],[CODE PI]],Tableau15[[CODE PI]:[Prestations diverses  &amp; accompagnements interne (1,6 k€ par jour d''acc)]],9,FALSE)</f>
        <v>0</v>
      </c>
      <c r="O181" s="229">
        <f>+VLOOKUP(Tableau163[[#This Row],[CODE PI]],Tableau15[[CODE PI]:[Prestations diverses  &amp; accompagnements interne (1,6 k€ par jour d''acc)]],10,FALSE)</f>
        <v>0</v>
      </c>
      <c r="P181" s="229">
        <f>+VLOOKUP(Tableau163[[#This Row],[CODE PI]],Tableau15[[CODE PI]:[Prestations diverses  &amp; accompagnements interne (1,6 k€ par jour d''acc)]],11,FALSE)</f>
        <v>0</v>
      </c>
      <c r="Q181" s="230">
        <f>-250*OPX_LE3!$E184</f>
        <v>-3600</v>
      </c>
      <c r="R181" s="311">
        <f>SUM(OPX_LE3!$K184:$Q184)</f>
        <v>-11436</v>
      </c>
      <c r="S181" s="337">
        <v>-220826</v>
      </c>
      <c r="T181" s="361">
        <v>0</v>
      </c>
      <c r="U181" s="362">
        <v>0</v>
      </c>
      <c r="V181" s="361">
        <v>0</v>
      </c>
      <c r="W181" s="361">
        <v>0</v>
      </c>
      <c r="X181" s="361">
        <v>0</v>
      </c>
      <c r="Y181" s="361">
        <v>0</v>
      </c>
      <c r="Z181" s="264">
        <v>-3600</v>
      </c>
      <c r="AA181" s="423"/>
      <c r="AB181" s="273">
        <f>SUM(OPX_LE3!$T184:$AA184)</f>
        <v>-7400</v>
      </c>
      <c r="AC181" s="426">
        <f t="shared" si="2"/>
        <v>-11500</v>
      </c>
      <c r="AD181" s="426"/>
      <c r="AE181" s="417">
        <v>0</v>
      </c>
      <c r="AF181" s="417">
        <v>-12000</v>
      </c>
      <c r="AG181" s="417">
        <v>-30000</v>
      </c>
      <c r="AH181" s="417">
        <v>0</v>
      </c>
      <c r="AI181" s="417">
        <v>0</v>
      </c>
      <c r="AJ181" s="317">
        <f>SUM(OPX_LE3!$AC184:$AI184)</f>
        <v>-42667.880000000005</v>
      </c>
      <c r="AK181" s="424">
        <v>0</v>
      </c>
      <c r="AL181" s="276">
        <f>SUM(OPX_LE3!$J184,OPX_LE3!$AB184,OPX_LE3!$S184,OPX_LE3!$AJ184,OPX_LE3!$R184,OPX_LE3!$AK184)</f>
        <v>-293559.88</v>
      </c>
      <c r="AM181" s="427">
        <v>0</v>
      </c>
    </row>
    <row r="182" spans="1:39" ht="15" hidden="1">
      <c r="A182" s="244" t="s">
        <v>614</v>
      </c>
      <c r="B182" s="232" t="str">
        <f>VLOOKUP(OPX_LE3!$A186,Tableau106[],3,FALSE)</f>
        <v>A168</v>
      </c>
      <c r="C182" s="232" t="str">
        <f>VLOOKUP(OPX_LE3!$A186,Tableau106[],2,FALSE)</f>
        <v>FR97S89E</v>
      </c>
      <c r="D182" s="232" t="str">
        <f>VLOOKUP(OPX_LE3!$A186,Tableau106[],8,FALSE)</f>
        <v>SOLAIRE DOM</v>
      </c>
      <c r="E182" s="233">
        <f>VLOOKUP(OPX_LE3!$A186,Tableau106[],4,FALSE)</f>
        <v>4.9980000000000002</v>
      </c>
      <c r="F182" s="232" t="str">
        <f>VLOOKUP(OPX_LE3!$A186,Tableau106[],5,FALSE)</f>
        <v>TOUC</v>
      </c>
      <c r="G182" s="232" t="str">
        <f>VLOOKUP(OPX_LE3!$A186,Tableau106[],7,FALSE)</f>
        <v>GROUPE</v>
      </c>
      <c r="H182" s="232" t="str">
        <f>VLOOKUP(OPX_LE3!$A186,Tableau106[],6,FALSE)</f>
        <v>DOM</v>
      </c>
      <c r="I182" s="232" t="str">
        <f>VLOOKUP(OPX_LE3!$A186,Tableau106[],9,FALSE)</f>
        <v>DoJ</v>
      </c>
      <c r="J182" s="254">
        <v>0</v>
      </c>
      <c r="K182" s="228"/>
      <c r="L182" s="228"/>
      <c r="M182" s="229">
        <f>+VLOOKUP(Tableau163[[#This Row],[CODE PI]],Tableau15[[CODE PI]:[Prestations diverses  &amp; accompagnements interne (1,6 k€ par jour d''acc)]],8,FALSE)</f>
        <v>0</v>
      </c>
      <c r="N182" s="229">
        <f>+VLOOKUP(Tableau163[[#This Row],[CODE PI]],Tableau15[[CODE PI]:[Prestations diverses  &amp; accompagnements interne (1,6 k€ par jour d''acc)]],9,FALSE)</f>
        <v>0</v>
      </c>
      <c r="O182" s="229">
        <f>+VLOOKUP(Tableau163[[#This Row],[CODE PI]],Tableau15[[CODE PI]:[Prestations diverses  &amp; accompagnements interne (1,6 k€ par jour d''acc)]],10,FALSE)</f>
        <v>0</v>
      </c>
      <c r="P182" s="229">
        <f>+VLOOKUP(Tableau163[[#This Row],[CODE PI]],Tableau15[[CODE PI]:[Prestations diverses  &amp; accompagnements interne (1,6 k€ par jour d''acc)]],11,FALSE)</f>
        <v>-5040</v>
      </c>
      <c r="Q182" s="230">
        <f>-250*OPX_LE3!$E186</f>
        <v>-1249.5</v>
      </c>
      <c r="R182" s="311">
        <f>SUM(OPX_LE3!$K186:$Q186)</f>
        <v>-6289.5</v>
      </c>
      <c r="S182" s="337">
        <v>-521421</v>
      </c>
      <c r="T182" s="361">
        <v>0</v>
      </c>
      <c r="U182" s="362">
        <v>0</v>
      </c>
      <c r="V182" s="361">
        <v>0</v>
      </c>
      <c r="W182" s="361">
        <v>-2100</v>
      </c>
      <c r="X182" s="361">
        <v>0</v>
      </c>
      <c r="Y182" s="361">
        <v>0</v>
      </c>
      <c r="Z182" s="264">
        <v>-1249.5</v>
      </c>
      <c r="AA182" s="423"/>
      <c r="AB182" s="273">
        <f>SUM(OPX_LE3!$T186:$AA186)</f>
        <v>-142906.57</v>
      </c>
      <c r="AC182" s="426">
        <f t="shared" si="2"/>
        <v>-11500</v>
      </c>
      <c r="AD182" s="426"/>
      <c r="AE182" s="417">
        <v>-13920</v>
      </c>
      <c r="AF182" s="417">
        <v>0</v>
      </c>
      <c r="AG182" s="417">
        <v>-10000</v>
      </c>
      <c r="AH182" s="417">
        <v>0</v>
      </c>
      <c r="AI182" s="417">
        <v>0</v>
      </c>
      <c r="AJ182" s="317">
        <f>SUM(OPX_LE3!$AC186:$AI186)</f>
        <v>0</v>
      </c>
      <c r="AK182" s="424">
        <v>0</v>
      </c>
      <c r="AL182" s="276">
        <f>SUM(OPX_LE3!$J186,OPX_LE3!$AB186,OPX_LE3!$S186,OPX_LE3!$AJ186,OPX_LE3!$R186,OPX_LE3!$AK186)</f>
        <v>-670617.07000000007</v>
      </c>
      <c r="AM182" s="427">
        <v>0</v>
      </c>
    </row>
    <row r="183" spans="1:39" ht="15" hidden="1">
      <c r="A183" s="325" t="s">
        <v>367</v>
      </c>
      <c r="B183" s="322" t="str">
        <f>VLOOKUP(OPX_LE3!$A187,Tableau106[],3,FALSE)</f>
        <v>A167</v>
      </c>
      <c r="C183" s="322" t="str">
        <f>VLOOKUP(OPX_LE3!$A187,Tableau106[],2,FALSE)</f>
        <v>FR973S01E</v>
      </c>
      <c r="D183" s="322" t="str">
        <f>VLOOKUP(OPX_LE3!$A187,Tableau106[],8,FALSE)</f>
        <v>SOLAIRE DOM</v>
      </c>
      <c r="E183" s="324">
        <f>VLOOKUP(OPX_LE3!$A187,Tableau106[],4,FALSE)</f>
        <v>5</v>
      </c>
      <c r="F183" s="322" t="str">
        <f>VLOOKUP(OPX_LE3!$A187,Tableau106[],5,FALSE)</f>
        <v>TOC2</v>
      </c>
      <c r="G183" s="322" t="str">
        <f>VLOOKUP(OPX_LE3!$A187,Tableau106[],7,FALSE)</f>
        <v>GROUPE</v>
      </c>
      <c r="H183" s="322" t="str">
        <f>VLOOKUP(OPX_LE3!$A187,Tableau106[],6,FALSE)</f>
        <v>DOM</v>
      </c>
      <c r="I183" s="322" t="str">
        <f>VLOOKUP(OPX_LE3!$A187,Tableau106[],9,FALSE)</f>
        <v>DoJ</v>
      </c>
      <c r="J183" s="254">
        <v>0</v>
      </c>
      <c r="K183" s="228"/>
      <c r="L183" s="228"/>
      <c r="M183" s="229">
        <f>+VLOOKUP(Tableau163[[#This Row],[CODE PI]],Tableau15[[CODE PI]:[Prestations diverses  &amp; accompagnements interne (1,6 k€ par jour d''acc)]],8,FALSE)</f>
        <v>0</v>
      </c>
      <c r="N183" s="229">
        <f>+VLOOKUP(Tableau163[[#This Row],[CODE PI]],Tableau15[[CODE PI]:[Prestations diverses  &amp; accompagnements interne (1,6 k€ par jour d''acc)]],9,FALSE)</f>
        <v>0</v>
      </c>
      <c r="O183" s="229">
        <f>+VLOOKUP(Tableau163[[#This Row],[CODE PI]],Tableau15[[CODE PI]:[Prestations diverses  &amp; accompagnements interne (1,6 k€ par jour d''acc)]],10,FALSE)</f>
        <v>0</v>
      </c>
      <c r="P183" s="229">
        <f>+VLOOKUP(Tableau163[[#This Row],[CODE PI]],Tableau15[[CODE PI]:[Prestations diverses  &amp; accompagnements interne (1,6 k€ par jour d''acc)]],11,FALSE)</f>
        <v>0</v>
      </c>
      <c r="Q183" s="230">
        <f>-250*OPX_LE3!$E187</f>
        <v>-1250</v>
      </c>
      <c r="R183" s="311">
        <f>SUM(OPX_LE3!$K187:$Q187)</f>
        <v>-1250</v>
      </c>
      <c r="S183" s="337">
        <v>-126435</v>
      </c>
      <c r="T183" s="361">
        <v>-15000</v>
      </c>
      <c r="U183" s="362">
        <v>0</v>
      </c>
      <c r="V183" s="361">
        <v>-1000</v>
      </c>
      <c r="W183" s="361">
        <v>-5000</v>
      </c>
      <c r="X183" s="361">
        <v>0</v>
      </c>
      <c r="Y183" s="361">
        <v>0</v>
      </c>
      <c r="Z183" s="264">
        <v>-1250</v>
      </c>
      <c r="AA183" s="423"/>
      <c r="AB183" s="273">
        <f>SUM(OPX_LE3!$T187:$AA187)</f>
        <v>-158105.33600000001</v>
      </c>
      <c r="AC183" s="426">
        <f t="shared" si="2"/>
        <v>-11500</v>
      </c>
      <c r="AD183" s="426"/>
      <c r="AE183" s="417">
        <v>0</v>
      </c>
      <c r="AF183" s="417">
        <v>0</v>
      </c>
      <c r="AG183" s="417">
        <v>0</v>
      </c>
      <c r="AH183" s="417">
        <v>-7150</v>
      </c>
      <c r="AI183" s="417">
        <v>0</v>
      </c>
      <c r="AJ183" s="317">
        <f>SUM(OPX_LE3!$AC187:$AI187)</f>
        <v>-7150</v>
      </c>
      <c r="AK183" s="424">
        <v>0</v>
      </c>
      <c r="AL183" s="276">
        <f>SUM(OPX_LE3!$J187,OPX_LE3!$AB187,OPX_LE3!$S187,OPX_LE3!$AJ187,OPX_LE3!$R187,OPX_LE3!$AK187)</f>
        <v>-292940.33600000001</v>
      </c>
      <c r="AM183" s="427">
        <v>0</v>
      </c>
    </row>
    <row r="184" spans="1:39" ht="15" hidden="1">
      <c r="A184" s="244" t="s">
        <v>615</v>
      </c>
      <c r="B184" s="232" t="str">
        <f>VLOOKUP(OPX_LE3!$A188,Tableau106[],3,FALSE)</f>
        <v>A391</v>
      </c>
      <c r="C184" s="232" t="str">
        <f>VLOOKUP(OPX_LE3!$A188,Tableau106[],2,FALSE)</f>
        <v>FR54S01E</v>
      </c>
      <c r="D184" s="232" t="str">
        <f>VLOOKUP(OPX_LE3!$A188,Tableau106[],8,FALSE)</f>
        <v>SOLAIRE</v>
      </c>
      <c r="E184" s="233">
        <f>VLOOKUP(OPX_LE3!$A188,Tableau106[],4,FALSE)</f>
        <v>54.93</v>
      </c>
      <c r="F184" s="232" t="str">
        <f>VLOOKUP(OPX_LE3!$A188,Tableau106[],5,FALSE)</f>
        <v>TOUL</v>
      </c>
      <c r="G184" s="232" t="str">
        <f>VLOOKUP(OPX_LE3!$A188,Tableau106[],7,FALSE)</f>
        <v>GROUPE</v>
      </c>
      <c r="H184" s="232" t="str">
        <f>VLOOKUP(OPX_LE3!$A188,Tableau106[],6,FALSE)</f>
        <v>S</v>
      </c>
      <c r="I184" s="232" t="str">
        <f>VLOOKUP(OPX_LE3!$A188,Tableau106[],9,FALSE)</f>
        <v>LoG</v>
      </c>
      <c r="J184" s="254">
        <v>-1107734</v>
      </c>
      <c r="K184" s="228"/>
      <c r="L184" s="228"/>
      <c r="M184" s="229">
        <f>+VLOOKUP(Tableau163[[#This Row],[CODE PI]],Tableau15[[CODE PI]:[Prestations diverses  &amp; accompagnements interne (1,6 k€ par jour d''acc)]],8,FALSE)</f>
        <v>0</v>
      </c>
      <c r="N184" s="229">
        <f>+VLOOKUP(Tableau163[[#This Row],[CODE PI]],Tableau15[[CODE PI]:[Prestations diverses  &amp; accompagnements interne (1,6 k€ par jour d''acc)]],9,FALSE)</f>
        <v>0</v>
      </c>
      <c r="O184" s="229">
        <f>+VLOOKUP(Tableau163[[#This Row],[CODE PI]],Tableau15[[CODE PI]:[Prestations diverses  &amp; accompagnements interne (1,6 k€ par jour d''acc)]],10,FALSE)</f>
        <v>0</v>
      </c>
      <c r="P184" s="229">
        <f>+VLOOKUP(Tableau163[[#This Row],[CODE PI]],Tableau15[[CODE PI]:[Prestations diverses  &amp; accompagnements interne (1,6 k€ par jour d''acc)]],11,FALSE)</f>
        <v>0</v>
      </c>
      <c r="Q184" s="230">
        <f>-250*OPX_LE3!$E188</f>
        <v>-13732.5</v>
      </c>
      <c r="R184" s="311">
        <f>SUM(OPX_LE3!$K188:$Q188)</f>
        <v>-93532.5</v>
      </c>
      <c r="S184" s="337">
        <v>0</v>
      </c>
      <c r="T184" s="361">
        <v>-19800</v>
      </c>
      <c r="U184" s="362">
        <v>0</v>
      </c>
      <c r="V184" s="361">
        <v>-10000</v>
      </c>
      <c r="W184" s="361">
        <v>-5000</v>
      </c>
      <c r="X184" s="361">
        <v>0</v>
      </c>
      <c r="Y184" s="361">
        <v>0</v>
      </c>
      <c r="Z184" s="264">
        <v>-13732.5</v>
      </c>
      <c r="AA184" s="423"/>
      <c r="AB184" s="273">
        <f>SUM(OPX_LE3!$T188:$AA188)</f>
        <v>-87932.5</v>
      </c>
      <c r="AC184" s="426">
        <f t="shared" si="2"/>
        <v>-11500</v>
      </c>
      <c r="AD184" s="426"/>
      <c r="AE184" s="417">
        <v>-8000</v>
      </c>
      <c r="AF184" s="417">
        <v>0</v>
      </c>
      <c r="AG184" s="417">
        <v>0</v>
      </c>
      <c r="AH184" s="417">
        <v>0</v>
      </c>
      <c r="AI184" s="417">
        <v>0</v>
      </c>
      <c r="AJ184" s="317">
        <f>SUM(OPX_LE3!$AC188:$AI188)</f>
        <v>-8000</v>
      </c>
      <c r="AK184" s="424">
        <v>0</v>
      </c>
      <c r="AL184" s="276">
        <f>SUM(OPX_LE3!$J188,OPX_LE3!$AB188,OPX_LE3!$S188,OPX_LE3!$AJ188,OPX_LE3!$R188,OPX_LE3!$AK188)</f>
        <v>-1327199</v>
      </c>
      <c r="AM184" s="427">
        <v>0</v>
      </c>
    </row>
    <row r="185" spans="1:39" ht="15" hidden="1">
      <c r="A185" s="325" t="s">
        <v>451</v>
      </c>
      <c r="B185" s="322" t="str">
        <f>VLOOKUP(OPX_LE3!$A189,Tableau106[],3,FALSE)</f>
        <v>A541</v>
      </c>
      <c r="C185" s="322" t="str">
        <f>VLOOKUP(OPX_LE3!$A189,Tableau106[],2,FALSE)</f>
        <v>FR79E02E</v>
      </c>
      <c r="D185" s="322" t="str">
        <f>VLOOKUP(OPX_LE3!$A189,Tableau106[],8,FALSE)</f>
        <v>EOLIEN</v>
      </c>
      <c r="E185" s="324">
        <f>VLOOKUP(OPX_LE3!$A189,Tableau106[],4,FALSE)</f>
        <v>10</v>
      </c>
      <c r="F185" s="322" t="str">
        <f>VLOOKUP(OPX_LE3!$A189,Tableau106[],5,FALSE)</f>
        <v>TRAY</v>
      </c>
      <c r="G185" s="322" t="str">
        <f>VLOOKUP(OPX_LE3!$A189,Tableau106[],7,FALSE)</f>
        <v>EGM</v>
      </c>
      <c r="H185" s="322" t="str">
        <f>VLOOKUP(OPX_LE3!$A189,Tableau106[],6,FALSE)</f>
        <v>N</v>
      </c>
      <c r="I185" s="322" t="str">
        <f>VLOOKUP(OPX_LE3!$A189,Tableau106[],9,FALSE)</f>
        <v>BoK</v>
      </c>
      <c r="J185" s="254">
        <v>-258123</v>
      </c>
      <c r="K185" s="228"/>
      <c r="L185" s="228"/>
      <c r="M185" s="229">
        <f>+VLOOKUP(Tableau163[[#This Row],[CODE PI]],Tableau15[[CODE PI]:[Prestations diverses  &amp; accompagnements interne (1,6 k€ par jour d''acc)]],8,FALSE)</f>
        <v>-40000</v>
      </c>
      <c r="N185" s="229">
        <f>+VLOOKUP(Tableau163[[#This Row],[CODE PI]],Tableau15[[CODE PI]:[Prestations diverses  &amp; accompagnements interne (1,6 k€ par jour d''acc)]],9,FALSE)</f>
        <v>0</v>
      </c>
      <c r="O185" s="229">
        <f>+VLOOKUP(Tableau163[[#This Row],[CODE PI]],Tableau15[[CODE PI]:[Prestations diverses  &amp; accompagnements interne (1,6 k€ par jour d''acc)]],10,FALSE)</f>
        <v>0</v>
      </c>
      <c r="P185" s="229">
        <f>+VLOOKUP(Tableau163[[#This Row],[CODE PI]],Tableau15[[CODE PI]:[Prestations diverses  &amp; accompagnements interne (1,6 k€ par jour d''acc)]],11,FALSE)</f>
        <v>0</v>
      </c>
      <c r="Q185" s="230">
        <f>-250*OPX_LE3!$E189</f>
        <v>-2500</v>
      </c>
      <c r="R185" s="311">
        <f>SUM(OPX_LE3!$K189:$Q189)</f>
        <v>-409500</v>
      </c>
      <c r="S185" s="337">
        <v>0</v>
      </c>
      <c r="T185" s="361">
        <v>0</v>
      </c>
      <c r="U185" s="362">
        <v>0</v>
      </c>
      <c r="V185" s="361">
        <v>-40000</v>
      </c>
      <c r="W185" s="361">
        <v>0</v>
      </c>
      <c r="X185" s="361">
        <v>0</v>
      </c>
      <c r="Y185" s="361">
        <v>0</v>
      </c>
      <c r="Z185" s="264">
        <v>-2500</v>
      </c>
      <c r="AA185" s="423"/>
      <c r="AB185" s="273">
        <f>SUM(OPX_LE3!$T189:$AA189)</f>
        <v>-116250</v>
      </c>
      <c r="AC185" s="426">
        <f t="shared" si="2"/>
        <v>-11500</v>
      </c>
      <c r="AD185" s="426"/>
      <c r="AE185" s="417">
        <v>0</v>
      </c>
      <c r="AF185" s="417">
        <v>0</v>
      </c>
      <c r="AG185" s="417">
        <v>0</v>
      </c>
      <c r="AH185" s="417">
        <v>0</v>
      </c>
      <c r="AI185" s="417">
        <v>0</v>
      </c>
      <c r="AJ185" s="317">
        <f>SUM(OPX_LE3!$AC189:$AI189)</f>
        <v>-36071.72</v>
      </c>
      <c r="AK185" s="424">
        <v>-85000</v>
      </c>
      <c r="AL185" s="276">
        <f>SUM(OPX_LE3!$J189,OPX_LE3!$AB189,OPX_LE3!$S189,OPX_LE3!$AJ189,OPX_LE3!$R189,OPX_LE3!$AK189)</f>
        <v>-819944.72</v>
      </c>
      <c r="AM185" s="427">
        <v>0</v>
      </c>
    </row>
    <row r="186" spans="1:39" ht="15" hidden="1">
      <c r="A186" s="325" t="s">
        <v>594</v>
      </c>
      <c r="B186" s="330" t="str">
        <f>VLOOKUP(OPX_LE3!$A190,Tableau106[],3,FALSE)</f>
        <v>A938</v>
      </c>
      <c r="C186" s="330" t="str">
        <f>VLOOKUP(OPX_LE3!$A190,Tableau106[],2,FALSE)</f>
        <v>FR34E81E</v>
      </c>
      <c r="D186" s="330" t="str">
        <f>VLOOKUP(OPX_LE3!$A190,Tableau106[],8,FALSE)</f>
        <v>EOLIEN</v>
      </c>
      <c r="E186" s="331">
        <f>VLOOKUP(OPX_LE3!$A190,Tableau106[],4,FALSE)</f>
        <v>6</v>
      </c>
      <c r="F186" s="330" t="str">
        <f>VLOOKUP(OPX_LE3!$A190,Tableau106[],5,FALSE)</f>
        <v>TRFR</v>
      </c>
      <c r="G186" s="330" t="str">
        <f>VLOOKUP(OPX_LE3!$A190,Tableau106[],7,FALSE)</f>
        <v>FUTUREN</v>
      </c>
      <c r="H186" s="330" t="str">
        <f>VLOOKUP(OPX_LE3!$A190,Tableau106[],6,FALSE)</f>
        <v>S</v>
      </c>
      <c r="I186" s="330" t="str">
        <f>VLOOKUP(OPX_LE3!$A190,Tableau106[],9,FALSE)</f>
        <v>KéD</v>
      </c>
      <c r="J186" s="332">
        <v>-189061</v>
      </c>
      <c r="K186" s="228"/>
      <c r="L186" s="228"/>
      <c r="M186" s="229">
        <f>+VLOOKUP(Tableau163[[#This Row],[CODE PI]],Tableau15[[CODE PI]:[Prestations diverses  &amp; accompagnements interne (1,6 k€ par jour d''acc)]],8,FALSE)</f>
        <v>0</v>
      </c>
      <c r="N186" s="229">
        <f>+VLOOKUP(Tableau163[[#This Row],[CODE PI]],Tableau15[[CODE PI]:[Prestations diverses  &amp; accompagnements interne (1,6 k€ par jour d''acc)]],9,FALSE)</f>
        <v>0</v>
      </c>
      <c r="O186" s="229">
        <f>+VLOOKUP(Tableau163[[#This Row],[CODE PI]],Tableau15[[CODE PI]:[Prestations diverses  &amp; accompagnements interne (1,6 k€ par jour d''acc)]],10,FALSE)</f>
        <v>0</v>
      </c>
      <c r="P186" s="229">
        <f>+VLOOKUP(Tableau163[[#This Row],[CODE PI]],Tableau15[[CODE PI]:[Prestations diverses  &amp; accompagnements interne (1,6 k€ par jour d''acc)]],11,FALSE)</f>
        <v>-3500</v>
      </c>
      <c r="Q186" s="230">
        <f>-250*OPX_LE3!$E190</f>
        <v>-1500</v>
      </c>
      <c r="R186" s="311">
        <f>SUM(OPX_LE3!$K190:$Q190)</f>
        <v>-49590</v>
      </c>
      <c r="S186" s="338">
        <v>0</v>
      </c>
      <c r="T186" s="361">
        <v>0</v>
      </c>
      <c r="U186" s="362">
        <v>0</v>
      </c>
      <c r="V186" s="361">
        <f>-(5000)</f>
        <v>-5000</v>
      </c>
      <c r="W186" s="361">
        <v>0</v>
      </c>
      <c r="X186" s="361">
        <v>0</v>
      </c>
      <c r="Y186" s="361">
        <v>0</v>
      </c>
      <c r="Z186" s="264">
        <v>-1500</v>
      </c>
      <c r="AA186" s="423"/>
      <c r="AB186" s="273">
        <f>SUM(OPX_LE3!$T190:$AA190)</f>
        <v>-6500</v>
      </c>
      <c r="AC186" s="231">
        <f>-((6184*3)+1500)</f>
        <v>-20052</v>
      </c>
      <c r="AD186" s="426"/>
      <c r="AE186" s="417">
        <v>-2190</v>
      </c>
      <c r="AF186" s="417"/>
      <c r="AG186" s="417">
        <v>-15160.5</v>
      </c>
      <c r="AH186" s="417">
        <v>0</v>
      </c>
      <c r="AI186" s="417">
        <v>-10390</v>
      </c>
      <c r="AJ186" s="317">
        <f>SUM(OPX_LE3!$AC190:$AI190)</f>
        <v>-47792.5</v>
      </c>
      <c r="AK186" s="429">
        <v>0</v>
      </c>
      <c r="AL186" s="276">
        <f>SUM(OPX_LE3!$J190,OPX_LE3!$AB190,OPX_LE3!$S190,OPX_LE3!$AJ190,OPX_LE3!$R190,OPX_LE3!$AK190)</f>
        <v>-292943.5</v>
      </c>
      <c r="AM186" s="430">
        <v>0</v>
      </c>
    </row>
    <row r="187" spans="1:39" ht="15" hidden="1">
      <c r="A187" s="325" t="s">
        <v>619</v>
      </c>
      <c r="B187" s="330" t="str">
        <f>VLOOKUP(OPX_LE3!$A191,Tableau106[],3,FALSE)</f>
        <v>A046</v>
      </c>
      <c r="C187" s="330" t="str">
        <f>VLOOKUP(OPX_LE3!$A191,Tableau106[],2,FALSE)</f>
        <v>FR97S75E</v>
      </c>
      <c r="D187" s="330" t="str">
        <f>VLOOKUP(OPX_LE3!$A191,Tableau106[],8,FALSE)</f>
        <v>SOLAIRE DOM</v>
      </c>
      <c r="E187" s="331">
        <f>VLOOKUP(OPX_LE3!$A191,Tableau106[],4,FALSE)</f>
        <v>0.68200000000000005</v>
      </c>
      <c r="F187" s="330" t="str">
        <f>VLOOKUP(OPX_LE3!$A191,Tableau106[],5,FALSE)</f>
        <v>TROI</v>
      </c>
      <c r="G187" s="330" t="str">
        <f>VLOOKUP(OPX_LE3!$A191,Tableau106[],7,FALSE)</f>
        <v>GROUPE</v>
      </c>
      <c r="H187" s="330" t="str">
        <f>VLOOKUP(OPX_LE3!$A191,Tableau106[],6,FALSE)</f>
        <v>DOM</v>
      </c>
      <c r="I187" s="330" t="str">
        <f>VLOOKUP(OPX_LE3!$A191,Tableau106[],9,FALSE)</f>
        <v>DoJ</v>
      </c>
      <c r="J187" s="332">
        <v>0</v>
      </c>
      <c r="K187" s="333"/>
      <c r="L187" s="333"/>
      <c r="M187" s="334">
        <f>+VLOOKUP(Tableau163[[#This Row],[CODE PI]],Tableau15[[CODE PI]:[Prestations diverses  &amp; accompagnements interne (1,6 k€ par jour d''acc)]],8,FALSE)</f>
        <v>0</v>
      </c>
      <c r="N187" s="334">
        <f>+VLOOKUP(Tableau163[[#This Row],[CODE PI]],Tableau15[[CODE PI]:[Prestations diverses  &amp; accompagnements interne (1,6 k€ par jour d''acc)]],9,FALSE)</f>
        <v>0</v>
      </c>
      <c r="O187" s="334">
        <f>+VLOOKUP(Tableau163[[#This Row],[CODE PI]],Tableau15[[CODE PI]:[Prestations diverses  &amp; accompagnements interne (1,6 k€ par jour d''acc)]],10,FALSE)</f>
        <v>0</v>
      </c>
      <c r="P187" s="334">
        <f>+VLOOKUP(Tableau163[[#This Row],[CODE PI]],Tableau15[[CODE PI]:[Prestations diverses  &amp; accompagnements interne (1,6 k€ par jour d''acc)]],11,FALSE)</f>
        <v>-2100</v>
      </c>
      <c r="Q187" s="230">
        <f>-250*OPX_LE3!$E191</f>
        <v>-170.5</v>
      </c>
      <c r="R187" s="311">
        <f>SUM(OPX_LE3!$K191:$Q191)</f>
        <v>-2270.5</v>
      </c>
      <c r="S187" s="338">
        <v>-33543</v>
      </c>
      <c r="T187" s="361">
        <v>0</v>
      </c>
      <c r="U187" s="363">
        <v>0</v>
      </c>
      <c r="V187" s="364">
        <v>-7500</v>
      </c>
      <c r="W187" s="364">
        <v>0</v>
      </c>
      <c r="X187" s="364">
        <v>0</v>
      </c>
      <c r="Y187" s="364">
        <v>0</v>
      </c>
      <c r="Z187" s="340">
        <v>-170.5</v>
      </c>
      <c r="AA187" s="423"/>
      <c r="AB187" s="273">
        <f>SUM(OPX_LE3!$T191:$AA191)</f>
        <v>-16024.562</v>
      </c>
      <c r="AC187" s="431">
        <f t="shared" si="2"/>
        <v>-11500</v>
      </c>
      <c r="AD187" s="431"/>
      <c r="AE187" s="417">
        <v>0</v>
      </c>
      <c r="AF187" s="432">
        <v>0</v>
      </c>
      <c r="AG187" s="432">
        <v>-10726</v>
      </c>
      <c r="AH187" s="432">
        <v>-18551.97</v>
      </c>
      <c r="AI187" s="417">
        <v>0</v>
      </c>
      <c r="AJ187" s="317">
        <f>SUM(OPX_LE3!$AC191:$AI191)</f>
        <v>0</v>
      </c>
      <c r="AK187" s="429">
        <v>0</v>
      </c>
      <c r="AL187" s="276">
        <f>SUM(OPX_LE3!$J191,OPX_LE3!$AB191,OPX_LE3!$S191,OPX_LE3!$AJ191,OPX_LE3!$R191,OPX_LE3!$AK191)</f>
        <v>-51838.061999999998</v>
      </c>
      <c r="AM187" s="430">
        <v>0</v>
      </c>
    </row>
    <row r="188" spans="1:39" ht="14.25" hidden="1" customHeight="1">
      <c r="A188" s="325" t="s">
        <v>447</v>
      </c>
      <c r="B188" s="330" t="str">
        <f>VLOOKUP(OPX_LE3!$A192,Tableau106[],3,FALSE)</f>
        <v>A898</v>
      </c>
      <c r="C188" s="330" t="str">
        <f>VLOOKUP(OPX_LE3!$A192,Tableau106[],2,FALSE)</f>
        <v>FR55E12E</v>
      </c>
      <c r="D188" s="330" t="str">
        <f>VLOOKUP(OPX_LE3!$A192,Tableau106[],8,FALSE)</f>
        <v>EOLIEN</v>
      </c>
      <c r="E188" s="331">
        <f>VLOOKUP(OPX_LE3!$A192,Tableau106[],4,FALSE)</f>
        <v>24</v>
      </c>
      <c r="F188" s="330" t="str">
        <f>VLOOKUP(OPX_LE3!$A192,Tableau106[],5,FALSE)</f>
        <v>SOUR</v>
      </c>
      <c r="G188" s="330" t="str">
        <f>VLOOKUP(OPX_LE3!$A192,Tableau106[],7,FALSE)</f>
        <v>GROUPE</v>
      </c>
      <c r="H188" s="330" t="str">
        <f>VLOOKUP(OPX_LE3!$A192,Tableau106[],6,FALSE)</f>
        <v>N</v>
      </c>
      <c r="I188" s="330" t="str">
        <f>VLOOKUP(OPX_LE3!$A192,Tableau106[],9,FALSE)</f>
        <v>LoH</v>
      </c>
      <c r="J188" s="332">
        <v>-22614</v>
      </c>
      <c r="K188" s="333"/>
      <c r="L188" s="333"/>
      <c r="M188" s="334">
        <f>+VLOOKUP(Tableau163[[#This Row],[CODE PI]],Tableau15[[CODE PI]:[Prestations diverses  &amp; accompagnements interne (1,6 k€ par jour d''acc)]],8,FALSE)</f>
        <v>0</v>
      </c>
      <c r="N188" s="334">
        <f>+VLOOKUP(Tableau163[[#This Row],[CODE PI]],Tableau15[[CODE PI]:[Prestations diverses  &amp; accompagnements interne (1,6 k€ par jour d''acc)]],9,FALSE)</f>
        <v>0</v>
      </c>
      <c r="O188" s="334">
        <f>+VLOOKUP(Tableau163[[#This Row],[CODE PI]],Tableau15[[CODE PI]:[Prestations diverses  &amp; accompagnements interne (1,6 k€ par jour d''acc)]],10,FALSE)</f>
        <v>0</v>
      </c>
      <c r="P188" s="334">
        <f>+VLOOKUP(Tableau163[[#This Row],[CODE PI]],Tableau15[[CODE PI]:[Prestations diverses  &amp; accompagnements interne (1,6 k€ par jour d''acc)]],11,FALSE)</f>
        <v>0</v>
      </c>
      <c r="Q188" s="230">
        <f>-250*OPX_LE3!$E192</f>
        <v>-6000</v>
      </c>
      <c r="R188" s="311">
        <f>SUM(OPX_LE3!$K192:$Q192)</f>
        <v>-29240</v>
      </c>
      <c r="S188" s="338">
        <v>-543600</v>
      </c>
      <c r="T188" s="361">
        <v>-6000</v>
      </c>
      <c r="U188" s="363">
        <v>0</v>
      </c>
      <c r="V188" s="364">
        <v>0</v>
      </c>
      <c r="W188" s="364">
        <v>-1220</v>
      </c>
      <c r="X188" s="364">
        <v>0</v>
      </c>
      <c r="Y188" s="364">
        <v>0</v>
      </c>
      <c r="Z188" s="340">
        <v>-6000</v>
      </c>
      <c r="AA188" s="423"/>
      <c r="AB188" s="273">
        <f>SUM(OPX_LE3!$T192:$AA192)</f>
        <v>-103900</v>
      </c>
      <c r="AC188" s="431">
        <f t="shared" si="2"/>
        <v>-11500</v>
      </c>
      <c r="AD188" s="431"/>
      <c r="AE188" s="417">
        <v>0</v>
      </c>
      <c r="AF188" s="432">
        <v>0</v>
      </c>
      <c r="AG188" s="432">
        <v>0</v>
      </c>
      <c r="AH188" s="432">
        <v>0</v>
      </c>
      <c r="AI188" s="417">
        <v>0</v>
      </c>
      <c r="AJ188" s="317">
        <f>SUM(OPX_LE3!$AC192:$AI192)</f>
        <v>-11500</v>
      </c>
      <c r="AK188" s="429">
        <v>0</v>
      </c>
      <c r="AL188" s="276">
        <f>SUM(OPX_LE3!$J192,OPX_LE3!$AB192,OPX_LE3!$S192,OPX_LE3!$AJ192,OPX_LE3!$R192,OPX_LE3!$AK192)</f>
        <v>-712854</v>
      </c>
      <c r="AM188" s="430">
        <v>0</v>
      </c>
    </row>
    <row r="189" spans="1:39" ht="15" hidden="1">
      <c r="A189" s="325" t="s">
        <v>474</v>
      </c>
      <c r="B189" s="330" t="str">
        <f>VLOOKUP(OPX_LE3!$A193,Tableau106[],3,FALSE)</f>
        <v>A530</v>
      </c>
      <c r="C189" s="330" t="str">
        <f>VLOOKUP(OPX_LE3!$A193,Tableau106[],2,FALSE)</f>
        <v>FR51E02E</v>
      </c>
      <c r="D189" s="330" t="str">
        <f>VLOOKUP(OPX_LE3!$A193,Tableau106[],8,FALSE)</f>
        <v>EOLIEN</v>
      </c>
      <c r="E189" s="331">
        <f>VLOOKUP(OPX_LE3!$A193,Tableau106[],4,FALSE)</f>
        <v>8.5</v>
      </c>
      <c r="F189" s="330" t="str">
        <f>VLOOKUP(OPX_LE3!$A193,Tableau106[],5,FALSE)</f>
        <v>VANA</v>
      </c>
      <c r="G189" s="330" t="str">
        <f>VLOOKUP(OPX_LE3!$A193,Tableau106[],7,FALSE)</f>
        <v>GROUPE</v>
      </c>
      <c r="H189" s="330" t="str">
        <f>VLOOKUP(OPX_LE3!$A193,Tableau106[],6,FALSE)</f>
        <v>N</v>
      </c>
      <c r="I189" s="330" t="str">
        <f>VLOOKUP(OPX_LE3!$A193,Tableau106[],9,FALSE)</f>
        <v>BaB</v>
      </c>
      <c r="J189" s="332">
        <v>-9553</v>
      </c>
      <c r="K189" s="333"/>
      <c r="L189" s="333"/>
      <c r="M189" s="334">
        <f>+VLOOKUP(Tableau163[[#This Row],[CODE PI]],Tableau15[[CODE PI]:[Prestations diverses  &amp; accompagnements interne (1,6 k€ par jour d''acc)]],8,FALSE)</f>
        <v>0</v>
      </c>
      <c r="N189" s="334">
        <f>+VLOOKUP(Tableau163[[#This Row],[CODE PI]],Tableau15[[CODE PI]:[Prestations diverses  &amp; accompagnements interne (1,6 k€ par jour d''acc)]],9,FALSE)</f>
        <v>-5000</v>
      </c>
      <c r="O189" s="334">
        <f>+VLOOKUP(Tableau163[[#This Row],[CODE PI]],Tableau15[[CODE PI]:[Prestations diverses  &amp; accompagnements interne (1,6 k€ par jour d''acc)]],10,FALSE)</f>
        <v>0</v>
      </c>
      <c r="P189" s="334">
        <f>+VLOOKUP(Tableau163[[#This Row],[CODE PI]],Tableau15[[CODE PI]:[Prestations diverses  &amp; accompagnements interne (1,6 k€ par jour d''acc)]],11,FALSE)</f>
        <v>0</v>
      </c>
      <c r="Q189" s="230">
        <f>-250*OPX_LE3!$E193</f>
        <v>-2125</v>
      </c>
      <c r="R189" s="311">
        <f>SUM(OPX_LE3!$K193:$Q193)</f>
        <v>-21275</v>
      </c>
      <c r="S189" s="338">
        <v>-339217</v>
      </c>
      <c r="T189" s="361">
        <v>-5000</v>
      </c>
      <c r="U189" s="363">
        <v>0</v>
      </c>
      <c r="V189" s="364">
        <v>-6000</v>
      </c>
      <c r="W189" s="364">
        <v>-5400</v>
      </c>
      <c r="X189" s="364">
        <v>0</v>
      </c>
      <c r="Y189" s="364">
        <v>0</v>
      </c>
      <c r="Z189" s="340">
        <v>-2125</v>
      </c>
      <c r="AA189" s="423"/>
      <c r="AB189" s="273">
        <f>SUM(OPX_LE3!$T193:$AA193)</f>
        <v>-18525</v>
      </c>
      <c r="AC189" s="431">
        <f t="shared" si="2"/>
        <v>-11500</v>
      </c>
      <c r="AD189" s="431"/>
      <c r="AE189" s="417">
        <v>0</v>
      </c>
      <c r="AF189" s="432">
        <v>0</v>
      </c>
      <c r="AG189" s="432">
        <v>0</v>
      </c>
      <c r="AH189" s="432">
        <v>0</v>
      </c>
      <c r="AI189" s="417">
        <v>0</v>
      </c>
      <c r="AJ189" s="317">
        <f>SUM(OPX_LE3!$AC193:$AI193)</f>
        <v>0</v>
      </c>
      <c r="AK189" s="429">
        <v>0</v>
      </c>
      <c r="AL189" s="276">
        <f>SUM(OPX_LE3!$J193,OPX_LE3!$AB193,OPX_LE3!$S193,OPX_LE3!$AJ193,OPX_LE3!$R193,OPX_LE3!$AK193)</f>
        <v>-388570</v>
      </c>
      <c r="AM189" s="430">
        <v>0</v>
      </c>
    </row>
    <row r="190" spans="1:39" ht="15" hidden="1">
      <c r="A190" s="325" t="s">
        <v>441</v>
      </c>
      <c r="B190" s="330" t="str">
        <f>VLOOKUP(OPX_LE3!$A194,Tableau106[],3,FALSE)</f>
        <v>F244</v>
      </c>
      <c r="C190" s="330" t="str">
        <f>VLOOKUP(OPX_LE3!$A194,Tableau106[],2,FALSE)</f>
        <v>FR17E08E</v>
      </c>
      <c r="D190" s="330" t="str">
        <f>VLOOKUP(OPX_LE3!$A194,Tableau106[],8,FALSE)</f>
        <v>EOLIEN</v>
      </c>
      <c r="E190" s="331">
        <f>VLOOKUP(OPX_LE3!$A194,Tableau106[],4,FALSE)</f>
        <v>8.8000000000000007</v>
      </c>
      <c r="F190" s="330" t="str">
        <f>VLOOKUP(OPX_LE3!$A194,Tableau106[],5,FALSE)</f>
        <v>VARA</v>
      </c>
      <c r="G190" s="330" t="str">
        <f>VLOOKUP(OPX_LE3!$A194,Tableau106[],7,FALSE)</f>
        <v>FUTUREN</v>
      </c>
      <c r="H190" s="330" t="str">
        <f>VLOOKUP(OPX_LE3!$A194,Tableau106[],6,FALSE)</f>
        <v>N</v>
      </c>
      <c r="I190" s="330" t="str">
        <f>VLOOKUP(OPX_LE3!$A194,Tableau106[],9,FALSE)</f>
        <v>PiM</v>
      </c>
      <c r="J190" s="332">
        <v>0</v>
      </c>
      <c r="K190" s="333"/>
      <c r="L190" s="333"/>
      <c r="M190" s="334">
        <f>+VLOOKUP(Tableau163[[#This Row],[CODE PI]],Tableau15[[CODE PI]:[Prestations diverses  &amp; accompagnements interne (1,6 k€ par jour d''acc)]],8,FALSE)</f>
        <v>0</v>
      </c>
      <c r="N190" s="334">
        <f>+VLOOKUP(Tableau163[[#This Row],[CODE PI]],Tableau15[[CODE PI]:[Prestations diverses  &amp; accompagnements interne (1,6 k€ par jour d''acc)]],9,FALSE)</f>
        <v>0</v>
      </c>
      <c r="O190" s="334">
        <f>+VLOOKUP(Tableau163[[#This Row],[CODE PI]],Tableau15[[CODE PI]:[Prestations diverses  &amp; accompagnements interne (1,6 k€ par jour d''acc)]],10,FALSE)</f>
        <v>0</v>
      </c>
      <c r="P190" s="334">
        <f>+VLOOKUP(Tableau163[[#This Row],[CODE PI]],Tableau15[[CODE PI]:[Prestations diverses  &amp; accompagnements interne (1,6 k€ par jour d''acc)]],11,FALSE)</f>
        <v>0</v>
      </c>
      <c r="Q190" s="230">
        <f>-250*OPX_LE3!$E194</f>
        <v>-2200</v>
      </c>
      <c r="R190" s="311">
        <f>SUM(OPX_LE3!$K194:$Q194)</f>
        <v>-41725</v>
      </c>
      <c r="S190" s="338">
        <v>-149735</v>
      </c>
      <c r="T190" s="361">
        <v>-2600</v>
      </c>
      <c r="U190" s="363">
        <v>0</v>
      </c>
      <c r="V190" s="364">
        <v>-2700</v>
      </c>
      <c r="W190" s="364">
        <v>0</v>
      </c>
      <c r="X190" s="364">
        <v>0</v>
      </c>
      <c r="Y190" s="364">
        <v>0</v>
      </c>
      <c r="Z190" s="340">
        <v>-2200</v>
      </c>
      <c r="AA190" s="423"/>
      <c r="AB190" s="273">
        <f>SUM(OPX_LE3!$T194:$AA194)</f>
        <v>-20645.599999999999</v>
      </c>
      <c r="AC190" s="431">
        <f t="shared" si="2"/>
        <v>-11500</v>
      </c>
      <c r="AD190" s="431"/>
      <c r="AE190" s="417">
        <v>0</v>
      </c>
      <c r="AF190" s="432">
        <v>0</v>
      </c>
      <c r="AG190" s="432">
        <v>0</v>
      </c>
      <c r="AH190" s="432">
        <v>0</v>
      </c>
      <c r="AI190" s="417">
        <v>0</v>
      </c>
      <c r="AJ190" s="317">
        <f>SUM(OPX_LE3!$AC194:$AI194)</f>
        <v>-57434</v>
      </c>
      <c r="AK190" s="429">
        <v>0</v>
      </c>
      <c r="AL190" s="276">
        <f>SUM(OPX_LE3!$J194,OPX_LE3!$AB194,OPX_LE3!$S194,OPX_LE3!$AJ194,OPX_LE3!$R194,OPX_LE3!$AK194)</f>
        <v>-272889.59999999998</v>
      </c>
      <c r="AM190" s="430">
        <v>0</v>
      </c>
    </row>
    <row r="191" spans="1:39" ht="15" hidden="1">
      <c r="A191" s="325" t="s">
        <v>643</v>
      </c>
      <c r="B191" s="330" t="str">
        <f>VLOOKUP(OPX_LE3!$A195,Tableau106[],3,FALSE)</f>
        <v>A310</v>
      </c>
      <c r="C191" s="330" t="str">
        <f>VLOOKUP(OPX_LE3!$A195,Tableau106[],2,FALSE)</f>
        <v>FR45S04E</v>
      </c>
      <c r="D191" s="330" t="str">
        <f>VLOOKUP(OPX_LE3!$A195,Tableau106[],8,FALSE)</f>
        <v>SOLAIRE</v>
      </c>
      <c r="E191" s="331">
        <f>VLOOKUP(OPX_LE3!$A195,Tableau106[],4,FALSE)</f>
        <v>5</v>
      </c>
      <c r="F191" s="330" t="str">
        <f>VLOOKUP(OPX_LE3!$A195,Tableau106[],5,FALSE)</f>
        <v>VACH</v>
      </c>
      <c r="G191" s="330" t="str">
        <f>VLOOKUP(OPX_LE3!$A195,Tableau106[],7,FALSE)</f>
        <v>GROUPE</v>
      </c>
      <c r="H191" s="330" t="str">
        <f>VLOOKUP(OPX_LE3!$A195,Tableau106[],6,FALSE)</f>
        <v>N</v>
      </c>
      <c r="I191" s="330" t="str">
        <f>VLOOKUP(OPX_LE3!$A195,Tableau106[],9,FALSE)</f>
        <v>LoG</v>
      </c>
      <c r="J191" s="332"/>
      <c r="K191" s="333"/>
      <c r="L191" s="333"/>
      <c r="M191" s="334">
        <f>+VLOOKUP(Tableau163[[#This Row],[CODE PI]],Tableau15[[CODE PI]:[Prestations diverses  &amp; accompagnements interne (1,6 k€ par jour d''acc)]],8,FALSE)</f>
        <v>0</v>
      </c>
      <c r="N191" s="334">
        <f>+VLOOKUP(Tableau163[[#This Row],[CODE PI]],Tableau15[[CODE PI]:[Prestations diverses  &amp; accompagnements interne (1,6 k€ par jour d''acc)]],9,FALSE)</f>
        <v>0</v>
      </c>
      <c r="O191" s="334">
        <f>+VLOOKUP(Tableau163[[#This Row],[CODE PI]],Tableau15[[CODE PI]:[Prestations diverses  &amp; accompagnements interne (1,6 k€ par jour d''acc)]],10,FALSE)</f>
        <v>0</v>
      </c>
      <c r="P191" s="334">
        <f>+VLOOKUP(Tableau163[[#This Row],[CODE PI]],Tableau15[[CODE PI]:[Prestations diverses  &amp; accompagnements interne (1,6 k€ par jour d''acc)]],11,FALSE)</f>
        <v>0</v>
      </c>
      <c r="Q191" s="230">
        <f>-250*OPX_LE3!$E195</f>
        <v>-1250</v>
      </c>
      <c r="R191" s="311">
        <f>SUM(OPX_LE3!$K195:$Q195)</f>
        <v>-6250</v>
      </c>
      <c r="S191" s="338"/>
      <c r="T191" s="361">
        <v>-2000</v>
      </c>
      <c r="U191" s="363">
        <v>0</v>
      </c>
      <c r="V191" s="364">
        <v>-3000</v>
      </c>
      <c r="W191" s="364">
        <v>-1800</v>
      </c>
      <c r="X191" s="364">
        <v>0</v>
      </c>
      <c r="Y191" s="364">
        <v>0</v>
      </c>
      <c r="Z191" s="340">
        <v>-1250</v>
      </c>
      <c r="AA191" s="423"/>
      <c r="AB191" s="273">
        <f>SUM(OPX_LE3!$T195:$AA195)</f>
        <v>0</v>
      </c>
      <c r="AC191" s="431">
        <f t="shared" si="2"/>
        <v>-11500</v>
      </c>
      <c r="AD191" s="431"/>
      <c r="AE191" s="417">
        <v>-5000</v>
      </c>
      <c r="AF191" s="432">
        <v>-15000</v>
      </c>
      <c r="AG191" s="432">
        <v>-20000</v>
      </c>
      <c r="AH191" s="432">
        <v>0</v>
      </c>
      <c r="AI191" s="417">
        <v>-10000</v>
      </c>
      <c r="AJ191" s="317">
        <f>SUM(OPX_LE3!$AC195:$AI195)</f>
        <v>0</v>
      </c>
      <c r="AK191" s="429">
        <v>0</v>
      </c>
      <c r="AL191" s="276">
        <f>SUM(OPX_LE3!$J195,OPX_LE3!$AB195,OPX_LE3!$S195,OPX_LE3!$AJ195,OPX_LE3!$R195,OPX_LE3!$AK195)</f>
        <v>-13250</v>
      </c>
      <c r="AM191" s="430">
        <v>0</v>
      </c>
    </row>
    <row r="192" spans="1:39" ht="15" hidden="1">
      <c r="A192" s="325" t="s">
        <v>585</v>
      </c>
      <c r="B192" s="330" t="str">
        <f>VLOOKUP(OPX_LE3!$A196,Tableau106[],3,FALSE)</f>
        <v>A104</v>
      </c>
      <c r="C192" s="330" t="str">
        <f>VLOOKUP(OPX_LE3!$A196,Tableau106[],2,FALSE)</f>
        <v>FR76E98E</v>
      </c>
      <c r="D192" s="330" t="str">
        <f>VLOOKUP(OPX_LE3!$A196,Tableau106[],8,FALSE)</f>
        <v>EOLIEN</v>
      </c>
      <c r="E192" s="331">
        <f>VLOOKUP(OPX_LE3!$A196,Tableau106[],4,FALSE)</f>
        <v>8</v>
      </c>
      <c r="F192" s="330" t="str">
        <f>VLOOKUP(OPX_LE3!$A196,Tableau106[],5,FALSE)</f>
        <v>VEUL</v>
      </c>
      <c r="G192" s="330" t="str">
        <f>VLOOKUP(OPX_LE3!$A196,Tableau106[],7,FALSE)</f>
        <v>GROUPE</v>
      </c>
      <c r="H192" s="330" t="str">
        <f>VLOOKUP(OPX_LE3!$A196,Tableau106[],6,FALSE)</f>
        <v>N</v>
      </c>
      <c r="I192" s="330" t="str">
        <f>VLOOKUP(OPX_LE3!$A196,Tableau106[],9,FALSE)</f>
        <v>AnN</v>
      </c>
      <c r="J192" s="332">
        <v>-9803</v>
      </c>
      <c r="K192" s="333"/>
      <c r="L192" s="333"/>
      <c r="M192" s="334">
        <f>+VLOOKUP(Tableau163[[#This Row],[CODE PI]],Tableau15[[CODE PI]:[Prestations diverses  &amp; accompagnements interne (1,6 k€ par jour d''acc)]],8,FALSE)</f>
        <v>0</v>
      </c>
      <c r="N192" s="334">
        <f>+VLOOKUP(Tableau163[[#This Row],[CODE PI]],Tableau15[[CODE PI]:[Prestations diverses  &amp; accompagnements interne (1,6 k€ par jour d''acc)]],9,FALSE)</f>
        <v>0</v>
      </c>
      <c r="O192" s="334">
        <f>+VLOOKUP(Tableau163[[#This Row],[CODE PI]],Tableau15[[CODE PI]:[Prestations diverses  &amp; accompagnements interne (1,6 k€ par jour d''acc)]],10,FALSE)</f>
        <v>0</v>
      </c>
      <c r="P192" s="334">
        <v>-8000</v>
      </c>
      <c r="Q192" s="230">
        <f>-250*OPX_LE3!$E196</f>
        <v>-2000</v>
      </c>
      <c r="R192" s="311">
        <f>SUM(OPX_LE3!$K196:$Q196)</f>
        <v>-7700</v>
      </c>
      <c r="S192" s="338">
        <v>-140000</v>
      </c>
      <c r="T192" s="361">
        <v>-1870</v>
      </c>
      <c r="U192" s="363">
        <v>0</v>
      </c>
      <c r="V192" s="364">
        <v>-2600</v>
      </c>
      <c r="W192" s="364">
        <v>-2080</v>
      </c>
      <c r="X192" s="364">
        <v>0</v>
      </c>
      <c r="Y192" s="364">
        <v>-8000</v>
      </c>
      <c r="Z192" s="340">
        <v>-2000</v>
      </c>
      <c r="AA192" s="423"/>
      <c r="AB192" s="273">
        <f>SUM(OPX_LE3!$T196:$AA196)</f>
        <v>-22370</v>
      </c>
      <c r="AC192" s="431">
        <f t="shared" si="2"/>
        <v>-11500</v>
      </c>
      <c r="AD192" s="431"/>
      <c r="AE192" s="417">
        <v>0</v>
      </c>
      <c r="AF192" s="432">
        <v>0</v>
      </c>
      <c r="AG192" s="432">
        <v>0</v>
      </c>
      <c r="AH192" s="432">
        <v>0</v>
      </c>
      <c r="AI192" s="417">
        <v>0</v>
      </c>
      <c r="AJ192" s="317">
        <f>SUM(OPX_LE3!$AC196:$AI196)</f>
        <v>0</v>
      </c>
      <c r="AK192" s="429">
        <v>0</v>
      </c>
      <c r="AL192" s="276">
        <f>SUM(OPX_LE3!$J196,OPX_LE3!$AB196,OPX_LE3!$S196,OPX_LE3!$AJ196,OPX_LE3!$R196,OPX_LE3!$AK196)</f>
        <v>-179873</v>
      </c>
      <c r="AM192" s="430">
        <v>0</v>
      </c>
    </row>
    <row r="193" spans="1:40" ht="15" hidden="1">
      <c r="A193" s="325" t="s">
        <v>488</v>
      </c>
      <c r="B193" s="330" t="str">
        <f>VLOOKUP(OPX_LE3!$A197,Tableau106[],3,FALSE)</f>
        <v>A540</v>
      </c>
      <c r="C193" s="330" t="str">
        <f>VLOOKUP(OPX_LE3!$A197,Tableau106[],2,FALSE)</f>
        <v>FR02E06E</v>
      </c>
      <c r="D193" s="330" t="str">
        <f>VLOOKUP(OPX_LE3!$A197,Tableau106[],8,FALSE)</f>
        <v>EOLIEN</v>
      </c>
      <c r="E193" s="331">
        <f>VLOOKUP(OPX_LE3!$A197,Tableau106[],4,FALSE)</f>
        <v>6</v>
      </c>
      <c r="F193" s="330" t="str">
        <f>VLOOKUP(OPX_LE3!$A197,Tableau106[],5,FALSE)</f>
        <v>VISE</v>
      </c>
      <c r="G193" s="330" t="str">
        <f>VLOOKUP(OPX_LE3!$A197,Tableau106[],7,FALSE)</f>
        <v>EGM</v>
      </c>
      <c r="H193" s="330" t="str">
        <f>VLOOKUP(OPX_LE3!$A197,Tableau106[],6,FALSE)</f>
        <v>N</v>
      </c>
      <c r="I193" s="330" t="str">
        <f>VLOOKUP(OPX_LE3!$A197,Tableau106[],9,FALSE)</f>
        <v>NoS</v>
      </c>
      <c r="J193" s="332">
        <v>-154874</v>
      </c>
      <c r="K193" s="333"/>
      <c r="L193" s="333"/>
      <c r="M193" s="334">
        <f>+VLOOKUP(Tableau163[[#This Row],[CODE PI]],Tableau15[[CODE PI]:[Prestations diverses  &amp; accompagnements interne (1,6 k€ par jour d''acc)]],8,FALSE)</f>
        <v>0</v>
      </c>
      <c r="N193" s="334">
        <f>+VLOOKUP(Tableau163[[#This Row],[CODE PI]],Tableau15[[CODE PI]:[Prestations diverses  &amp; accompagnements interne (1,6 k€ par jour d''acc)]],9,FALSE)</f>
        <v>0</v>
      </c>
      <c r="O193" s="334">
        <f>+VLOOKUP(Tableau163[[#This Row],[CODE PI]],Tableau15[[CODE PI]:[Prestations diverses  &amp; accompagnements interne (1,6 k€ par jour d''acc)]],10,FALSE)</f>
        <v>0</v>
      </c>
      <c r="P193" s="334">
        <f>+VLOOKUP(Tableau163[[#This Row],[CODE PI]],Tableau15[[CODE PI]:[Prestations diverses  &amp; accompagnements interne (1,6 k€ par jour d''acc)]],11,FALSE)</f>
        <v>-2800</v>
      </c>
      <c r="Q193" s="230">
        <f>-250*OPX_LE3!$E197</f>
        <v>-1500</v>
      </c>
      <c r="R193" s="311">
        <f>SUM(OPX_LE3!$K197:$Q197)</f>
        <v>-92300</v>
      </c>
      <c r="S193" s="338">
        <v>0</v>
      </c>
      <c r="T193" s="361">
        <v>-5000</v>
      </c>
      <c r="U193" s="363">
        <v>0</v>
      </c>
      <c r="V193" s="364">
        <v>-2600</v>
      </c>
      <c r="W193" s="364">
        <v>0</v>
      </c>
      <c r="X193" s="364">
        <v>0</v>
      </c>
      <c r="Y193" s="364">
        <v>0</v>
      </c>
      <c r="Z193" s="340">
        <v>-1500</v>
      </c>
      <c r="AA193" s="423"/>
      <c r="AB193" s="273">
        <f>SUM(OPX_LE3!$T197:$AA197)</f>
        <v>-11830</v>
      </c>
      <c r="AC193" s="431">
        <f t="shared" si="2"/>
        <v>-11500</v>
      </c>
      <c r="AD193" s="431"/>
      <c r="AE193" s="417">
        <v>0</v>
      </c>
      <c r="AF193" s="432">
        <v>0</v>
      </c>
      <c r="AG193" s="432">
        <v>0</v>
      </c>
      <c r="AH193" s="432">
        <v>0</v>
      </c>
      <c r="AI193" s="417">
        <v>0</v>
      </c>
      <c r="AJ193" s="317">
        <f>SUM(OPX_LE3!$AC197:$AI197)</f>
        <v>0</v>
      </c>
      <c r="AK193" s="429">
        <v>0</v>
      </c>
      <c r="AL193" s="276">
        <f>SUM(OPX_LE3!$J197,OPX_LE3!$AB197,OPX_LE3!$S197,OPX_LE3!$AJ197,OPX_LE3!$R197,OPX_LE3!$AK197)</f>
        <v>-259004</v>
      </c>
      <c r="AM193" s="430">
        <v>0</v>
      </c>
    </row>
    <row r="194" spans="1:40" ht="15" hidden="1">
      <c r="A194" s="325" t="s">
        <v>596</v>
      </c>
      <c r="B194" s="330" t="str">
        <f>VLOOKUP(OPX_LE3!$A198,Tableau106[],3,FALSE)</f>
        <v>A056</v>
      </c>
      <c r="C194" s="330" t="str">
        <f>VLOOKUP(OPX_LE3!$A198,Tableau106[],2,FALSE)</f>
        <v>FR11E91E</v>
      </c>
      <c r="D194" s="330" t="str">
        <f>VLOOKUP(OPX_LE3!$A198,Tableau106[],8,FALSE)</f>
        <v>EOLIEN</v>
      </c>
      <c r="E194" s="331">
        <f>VLOOKUP(OPX_LE3!$A198,Tableau106[],4,FALSE)</f>
        <v>50.6</v>
      </c>
      <c r="F194" s="330" t="str">
        <f>VLOOKUP(OPX_LE3!$A198,Tableau106[],5,FALSE)</f>
        <v>VLSQ</v>
      </c>
      <c r="G194" s="330" t="str">
        <f>VLOOKUP(OPX_LE3!$A198,Tableau106[],7,FALSE)</f>
        <v>GROUPE</v>
      </c>
      <c r="H194" s="330" t="str">
        <f>VLOOKUP(OPX_LE3!$A198,Tableau106[],6,FALSE)</f>
        <v>S</v>
      </c>
      <c r="I194" s="330" t="str">
        <f>VLOOKUP(OPX_LE3!$A198,Tableau106[],9,FALSE)</f>
        <v>ThC</v>
      </c>
      <c r="J194" s="332">
        <v>-97613</v>
      </c>
      <c r="K194" s="333"/>
      <c r="L194" s="333"/>
      <c r="M194" s="334">
        <f>+VLOOKUP(Tableau163[[#This Row],[CODE PI]],Tableau15[[CODE PI]:[Prestations diverses  &amp; accompagnements interne (1,6 k€ par jour d''acc)]],8,FALSE)</f>
        <v>0</v>
      </c>
      <c r="N194" s="334">
        <f>+VLOOKUP(Tableau163[[#This Row],[CODE PI]],Tableau15[[CODE PI]:[Prestations diverses  &amp; accompagnements interne (1,6 k€ par jour d''acc)]],9,FALSE)</f>
        <v>0</v>
      </c>
      <c r="O194" s="334">
        <f>+VLOOKUP(Tableau163[[#This Row],[CODE PI]],Tableau15[[CODE PI]:[Prestations diverses  &amp; accompagnements interne (1,6 k€ par jour d''acc)]],10,FALSE)</f>
        <v>0</v>
      </c>
      <c r="P194" s="334">
        <f>+VLOOKUP(Tableau163[[#This Row],[CODE PI]],Tableau15[[CODE PI]:[Prestations diverses  &amp; accompagnements interne (1,6 k€ par jour d''acc)]],11,FALSE)</f>
        <v>-2100</v>
      </c>
      <c r="Q194" s="230">
        <f>-250*OPX_LE3!$E198</f>
        <v>-12650</v>
      </c>
      <c r="R194" s="311">
        <f>SUM(OPX_LE3!$K198:$Q198)</f>
        <v>-84920</v>
      </c>
      <c r="S194" s="338">
        <v>-1685600</v>
      </c>
      <c r="T194" s="361">
        <v>0</v>
      </c>
      <c r="U194" s="363">
        <v>0</v>
      </c>
      <c r="V194" s="364">
        <v>-1000</v>
      </c>
      <c r="W194" s="364">
        <v>0</v>
      </c>
      <c r="X194" s="364">
        <v>0</v>
      </c>
      <c r="Y194" s="364">
        <v>0</v>
      </c>
      <c r="Z194" s="340">
        <v>-3450</v>
      </c>
      <c r="AA194" s="423"/>
      <c r="AB194" s="273">
        <f>SUM(OPX_LE3!$T198:$AA198)</f>
        <v>-44450</v>
      </c>
      <c r="AC194" s="431">
        <f t="shared" si="2"/>
        <v>-11500</v>
      </c>
      <c r="AD194" s="431"/>
      <c r="AE194" s="417">
        <v>0</v>
      </c>
      <c r="AF194" s="432">
        <v>0</v>
      </c>
      <c r="AG194" s="432">
        <v>0</v>
      </c>
      <c r="AH194" s="432">
        <v>0</v>
      </c>
      <c r="AI194" s="417">
        <v>0</v>
      </c>
      <c r="AJ194" s="317">
        <f>SUM(OPX_LE3!$AC198:$AI198)</f>
        <v>-120250.75</v>
      </c>
      <c r="AK194" s="429">
        <v>0</v>
      </c>
      <c r="AL194" s="276">
        <f>SUM(OPX_LE3!$J198,OPX_LE3!$AB198,OPX_LE3!$S198,OPX_LE3!$AJ198,OPX_LE3!$R198,OPX_LE3!$AK198)</f>
        <v>-2032833.75</v>
      </c>
      <c r="AM194" s="430">
        <v>0</v>
      </c>
    </row>
    <row r="195" spans="1:40" ht="33" customHeight="1">
      <c r="A195" s="255">
        <f>SUBTOTAL(103,Tableau163[OPEX VARIABLES en €
BN 2023])</f>
        <v>6</v>
      </c>
      <c r="B195" s="235"/>
      <c r="C195" s="236"/>
      <c r="D195" s="236"/>
      <c r="E195" s="235"/>
      <c r="F195" s="236"/>
      <c r="G195" s="236"/>
      <c r="H195" s="235"/>
      <c r="I195" s="318"/>
      <c r="J195" s="237">
        <f>SUBTOTAL(109,Tableau163[Contrat Groupe EDF Re : (WTG + PDL)])</f>
        <v>-406978.95591000002</v>
      </c>
      <c r="K195" s="335">
        <f>SUBTOTAL(109,Tableau163[Tâches réalisées par EDF RS en sus du contrat  + DI])</f>
        <v>0</v>
      </c>
      <c r="L195" s="335">
        <f>SUBTOTAL(109,Tableau163[Préstations effectuées dans le cadre de MCR (GBX, génératrice, composant HTA…) par EDF RS
PV : Sinistre])</f>
        <v>0</v>
      </c>
      <c r="M195" s="307">
        <f>SUBTOTAL(109,Tableau163[Entretien du BoP (pistes, végétation, plateformes, nettoyage panneaux…) ou travaux sur le BOP])</f>
        <v>-5050</v>
      </c>
      <c r="N195" s="307">
        <f>SUBTOTAL(109,Tableau163[Préstations pour des inpsections sur les pales, fin de vie, fin de garantie.. en sus du contrat réalisé en interne])</f>
        <v>-10800</v>
      </c>
      <c r="O195" s="307">
        <f>SUBTOTAL(109,Tableau163[Préstations sur les MdM et équipements météo (entretien, maintenance corrective…)])</f>
        <v>0</v>
      </c>
      <c r="P195" s="307">
        <f>SUBTOTAL(109,Tableau163[Préstations sur les outils Télésurveillance / SCADA / Telecom, les abonnements RDL / Internet / Genesys / Wonder…])</f>
        <v>-20055</v>
      </c>
      <c r="Q195" s="307">
        <f>SUBTOTAL(109,Tableau163[Prestations diverses  &amp; accompagnements interne (1,6 k€ par jour d''acc)])</f>
        <v>-24050</v>
      </c>
      <c r="R195" s="308">
        <f>SUBTOTAL(109,Tableau163[TOTAL CORRECTIF 0&amp;M GROUPE])</f>
        <v>-81691</v>
      </c>
      <c r="S195" s="237">
        <f>SUBTOTAL(109,Tableau163[Contrats (WTG + PDL) hors EDF RS])</f>
        <v>-1572488</v>
      </c>
      <c r="T195" s="309">
        <f>SUBTOTAL(109,Tableau163[Tâches réalisées en sus du contrat])</f>
        <v>-4050</v>
      </c>
      <c r="U195" s="309">
        <f>SUBTOTAL(109,Tableau163[Préstations effectuées dans le cadre de MCR (GBX, génératrice, composant HTA…) par EDF RS
PV : Sinistre2])</f>
        <v>0</v>
      </c>
      <c r="V195" s="309">
        <f>SUBTOTAL(109,Tableau163[Entretien du BoP (pistes, végétation, plateformes, nettoyage panneaux…) ou travaux sur le BOP3])</f>
        <v>-3646</v>
      </c>
      <c r="W195" s="309">
        <f>SUBTOTAL(109,Tableau163[Prestations pour des inpsections sur les pales, Fin de vie, Fin de garantie.. En sus du contrat ])</f>
        <v>-2000</v>
      </c>
      <c r="X195" s="309">
        <f>SUBTOTAL(109,Tableau163[Préstations sur les MdM et équipements météo (entretien, maintenance corrective…)4])</f>
        <v>0</v>
      </c>
      <c r="Y195" s="309">
        <f>SUBTOTAL(109,Tableau163[Préstations sur les outils Télésurveillance / SCADA / Telecom, les abonnements RDL / Internet / Genesys / Wonder…5])</f>
        <v>0</v>
      </c>
      <c r="Z195" s="309">
        <f>SUBTOTAL(109,Tableau163[Prestations diverses  &amp; accompagnements (1,6 k€ par jour d''acc)])</f>
        <v>-24050</v>
      </c>
      <c r="AA195" s="309">
        <f>SUBTOTAL(109,Tableau163[[Prestations locale pour ancrage territorial ]])</f>
        <v>0</v>
      </c>
      <c r="AB195" s="309">
        <f>SUBTOTAL(109,Tableau163[TOTAL CORRECTIF O&amp;M HORS GROUPE])</f>
        <v>-551015</v>
      </c>
      <c r="AC195" s="312">
        <f>SUBTOTAL(109,Tableau163[SDA (loc nacelle, contrat O&amp;M, dépannage)])</f>
        <v>-69000</v>
      </c>
      <c r="AD195" s="312">
        <f>SUBTOTAL(109,Tableau163[Location des containers, prestations de mise en place…])</f>
        <v>0</v>
      </c>
      <c r="AE195" s="312">
        <f>SUBTOTAL(109,Tableau163[Prestations pour les suivis avifaune (hors morta)])</f>
        <v>-4039.2000000000003</v>
      </c>
      <c r="AF195" s="312">
        <f>SUBTOTAL(109,Tableau163[Prestations pour les suivis Chiroptères])</f>
        <v>0</v>
      </c>
      <c r="AG195" s="312">
        <f>SUBTOTAL(109,Tableau163[Prestations pour les suivis mortalités])</f>
        <v>-24000</v>
      </c>
      <c r="AH195" s="312">
        <f>SUBTOTAL(109,Tableau163[Autres suivis /Etudes (+ dédiée PV)])</f>
        <v>-3000</v>
      </c>
      <c r="AI195" s="312">
        <f>SUBTOTAL(109,Tableau163[(mesures compensatoires du PC ou autres)])</f>
        <v>-29360</v>
      </c>
      <c r="AJ195" s="313">
        <f>SUBTOTAL(109,Tableau163[TOTAL ENVIRO])</f>
        <v>-99094.399999999994</v>
      </c>
      <c r="AK195" s="314">
        <f>SUBTOTAL(109,Tableau163[Bonus, dédommagement sinistre])</f>
        <v>0</v>
      </c>
      <c r="AL195" s="315">
        <f>SUBTOTAL(109,Tableau163[GRAND TOTAL])</f>
        <v>-2803956.3559099999</v>
      </c>
      <c r="AM195" s="357">
        <f>SUBTOTAL(109,Tableau163[CAPEX])</f>
        <v>0</v>
      </c>
      <c r="AN195"/>
    </row>
    <row r="196" spans="1:40" ht="33.75" customHeight="1"/>
  </sheetData>
  <mergeCells count="4">
    <mergeCell ref="J1:R1"/>
    <mergeCell ref="S1:AB1"/>
    <mergeCell ref="AC1:AD1"/>
    <mergeCell ref="AE1:AJ1"/>
  </mergeCells>
  <conditionalFormatting sqref="J6:AM17 J18:S18 U18:AM18 J19:AM194">
    <cfRule type="cellIs" dxfId="475" priority="1" operator="greaterThan">
      <formula>0</formula>
    </cfRule>
  </conditionalFormatting>
  <pageMargins left="0.7" right="0.7" top="0.75" bottom="0.75" header="0.3" footer="0.3"/>
  <pageSetup paperSize="9" orientation="portrait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'Pour listes'!$C$2:$C$17</xm:f>
          </x14:formula1>
          <xm:sqref>L13</xm:sqref>
        </x14:dataValidation>
        <x14:dataValidation type="list" allowBlank="1" showInputMessage="1" showErrorMessage="1" error="Utiliser la liste déroulante._x000a_Merci." xr:uid="{00000000-0002-0000-0600-000001000000}">
          <x14:formula1>
            <xm:f>DATA!$A$3:$A$192</xm:f>
          </x14:formula1>
          <xm:sqref>A6:A194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tabColor rgb="FFFF0000"/>
  </sheetPr>
  <dimension ref="A1:AN201"/>
  <sheetViews>
    <sheetView showGridLines="0" tabSelected="1" zoomScale="85" zoomScaleNormal="85" workbookViewId="0">
      <pane xSplit="9" ySplit="5" topLeftCell="AG120" activePane="bottomRight" state="frozen"/>
      <selection pane="topRight" activeCell="J1" sqref="J1"/>
      <selection pane="bottomLeft" activeCell="A6" sqref="A6"/>
      <selection pane="bottomRight" activeCell="A123" sqref="A123:AK123"/>
    </sheetView>
  </sheetViews>
  <sheetFormatPr baseColWidth="10" defaultColWidth="12" defaultRowHeight="12"/>
  <cols>
    <col min="1" max="1" width="25.33203125" style="6" bestFit="1" customWidth="1"/>
    <col min="2" max="2" width="11.1640625" style="6" customWidth="1"/>
    <col min="3" max="3" width="14.6640625" style="6" customWidth="1"/>
    <col min="4" max="4" width="13.1640625" style="6" bestFit="1" customWidth="1"/>
    <col min="5" max="5" width="7" style="6" customWidth="1"/>
    <col min="6" max="6" width="10.1640625" style="6" customWidth="1"/>
    <col min="7" max="7" width="14.5" style="6" customWidth="1"/>
    <col min="8" max="9" width="11.5" style="6" customWidth="1"/>
    <col min="10" max="10" width="17" style="6" bestFit="1" customWidth="1"/>
    <col min="11" max="12" width="15.6640625" style="494" customWidth="1"/>
    <col min="13" max="16" width="15.6640625" style="6" customWidth="1"/>
    <col min="17" max="17" width="15.6640625" style="122" customWidth="1"/>
    <col min="18" max="18" width="17.1640625" style="122" customWidth="1"/>
    <col min="19" max="24" width="17.1640625" style="6" customWidth="1"/>
    <col min="25" max="25" width="17.5" style="6" customWidth="1"/>
    <col min="26" max="26" width="17.1640625" style="6" customWidth="1"/>
    <col min="27" max="27" width="17.1640625" style="20" customWidth="1"/>
    <col min="28" max="35" width="17.1640625" style="6" customWidth="1"/>
    <col min="36" max="36" width="16.5" style="6" customWidth="1"/>
    <col min="37" max="37" width="18" style="6" customWidth="1"/>
    <col min="38" max="38" width="18.6640625" style="20" bestFit="1" customWidth="1"/>
    <col min="39" max="39" width="19.33203125" style="20" customWidth="1"/>
    <col min="40" max="40" width="51.1640625" style="6" customWidth="1"/>
    <col min="41" max="16384" width="12" style="6"/>
  </cols>
  <sheetData>
    <row r="1" spans="1:40" ht="22.5" customHeight="1" thickBot="1">
      <c r="J1" s="519" t="s">
        <v>777</v>
      </c>
      <c r="K1" s="520"/>
      <c r="L1" s="520"/>
      <c r="M1" s="520"/>
      <c r="N1" s="520"/>
      <c r="O1" s="520"/>
      <c r="P1" s="520"/>
      <c r="Q1" s="520"/>
      <c r="R1" s="521"/>
      <c r="S1" s="522" t="s">
        <v>778</v>
      </c>
      <c r="T1" s="523"/>
      <c r="U1" s="523"/>
      <c r="V1" s="523"/>
      <c r="W1" s="523"/>
      <c r="X1" s="523"/>
      <c r="Y1" s="523"/>
      <c r="Z1" s="523"/>
      <c r="AA1" s="523"/>
      <c r="AB1" s="524"/>
      <c r="AC1" s="525" t="s">
        <v>779</v>
      </c>
      <c r="AD1" s="526"/>
      <c r="AE1" s="527" t="s">
        <v>780</v>
      </c>
      <c r="AF1" s="527"/>
      <c r="AG1" s="527"/>
      <c r="AH1" s="527"/>
      <c r="AI1" s="527"/>
      <c r="AJ1" s="527"/>
      <c r="AK1" s="20"/>
      <c r="AM1" s="6"/>
    </row>
    <row r="2" spans="1:40" ht="12.75" thickBot="1">
      <c r="A2" s="161" t="s">
        <v>781</v>
      </c>
      <c r="B2" s="162" t="s">
        <v>782</v>
      </c>
      <c r="C2" s="163" t="s">
        <v>783</v>
      </c>
      <c r="D2" s="164" t="s">
        <v>784</v>
      </c>
      <c r="E2" s="164" t="s">
        <v>785</v>
      </c>
      <c r="F2" s="163" t="s">
        <v>786</v>
      </c>
      <c r="G2" s="163" t="s">
        <v>787</v>
      </c>
      <c r="H2" s="163" t="s">
        <v>788</v>
      </c>
      <c r="I2" s="303"/>
      <c r="J2" s="165" t="s">
        <v>789</v>
      </c>
      <c r="K2" s="482" t="s">
        <v>790</v>
      </c>
      <c r="L2" s="483" t="s">
        <v>791</v>
      </c>
      <c r="M2" s="168" t="s">
        <v>792</v>
      </c>
      <c r="N2" s="168" t="s">
        <v>793</v>
      </c>
      <c r="O2" s="168" t="s">
        <v>794</v>
      </c>
      <c r="P2" s="168" t="s">
        <v>795</v>
      </c>
      <c r="Q2" s="168" t="s">
        <v>796</v>
      </c>
      <c r="R2" s="169" t="s">
        <v>797</v>
      </c>
      <c r="S2" s="165" t="s">
        <v>798</v>
      </c>
      <c r="T2" s="170" t="s">
        <v>799</v>
      </c>
      <c r="U2" s="171" t="s">
        <v>800</v>
      </c>
      <c r="V2" s="172" t="s">
        <v>801</v>
      </c>
      <c r="W2" s="173" t="s">
        <v>802</v>
      </c>
      <c r="X2" s="173" t="s">
        <v>803</v>
      </c>
      <c r="Y2" s="173" t="s">
        <v>804</v>
      </c>
      <c r="Z2" s="172" t="s">
        <v>805</v>
      </c>
      <c r="AA2" s="173" t="s">
        <v>806</v>
      </c>
      <c r="AB2" s="174" t="s">
        <v>807</v>
      </c>
      <c r="AC2" s="175" t="s">
        <v>808</v>
      </c>
      <c r="AD2" s="176" t="s">
        <v>809</v>
      </c>
      <c r="AE2" s="177" t="s">
        <v>810</v>
      </c>
      <c r="AF2" s="177" t="s">
        <v>811</v>
      </c>
      <c r="AG2" s="177" t="s">
        <v>812</v>
      </c>
      <c r="AH2" s="177" t="s">
        <v>813</v>
      </c>
      <c r="AI2" s="177" t="s">
        <v>814</v>
      </c>
      <c r="AJ2" s="178" t="s">
        <v>815</v>
      </c>
      <c r="AK2" s="179" t="s">
        <v>816</v>
      </c>
      <c r="AL2" s="180" t="s">
        <v>817</v>
      </c>
      <c r="AM2" s="181" t="s">
        <v>818</v>
      </c>
    </row>
    <row r="3" spans="1:40" ht="40.5" customHeight="1" thickTop="1" thickBot="1">
      <c r="A3" s="182" t="s">
        <v>819</v>
      </c>
      <c r="B3" s="183" t="s">
        <v>628</v>
      </c>
      <c r="C3" s="183" t="s">
        <v>629</v>
      </c>
      <c r="D3" s="184" t="s">
        <v>414</v>
      </c>
      <c r="E3" s="184" t="s">
        <v>630</v>
      </c>
      <c r="F3" s="183" t="s">
        <v>631</v>
      </c>
      <c r="G3" s="183" t="s">
        <v>417</v>
      </c>
      <c r="H3" s="183" t="s">
        <v>632</v>
      </c>
      <c r="I3" s="304" t="s">
        <v>418</v>
      </c>
      <c r="J3" s="185" t="s">
        <v>820</v>
      </c>
      <c r="K3" s="484" t="s">
        <v>821</v>
      </c>
      <c r="L3" s="485" t="s">
        <v>822</v>
      </c>
      <c r="M3" s="188" t="s">
        <v>823</v>
      </c>
      <c r="N3" s="188" t="s">
        <v>824</v>
      </c>
      <c r="O3" s="188" t="s">
        <v>825</v>
      </c>
      <c r="P3" s="188" t="s">
        <v>826</v>
      </c>
      <c r="Q3" s="188" t="s">
        <v>827</v>
      </c>
      <c r="R3" s="189" t="s">
        <v>688</v>
      </c>
      <c r="S3" s="185" t="s">
        <v>828</v>
      </c>
      <c r="T3" s="190" t="s">
        <v>829</v>
      </c>
      <c r="U3" s="191" t="s">
        <v>822</v>
      </c>
      <c r="V3" s="192" t="s">
        <v>823</v>
      </c>
      <c r="W3" s="193" t="s">
        <v>824</v>
      </c>
      <c r="X3" s="193" t="s">
        <v>825</v>
      </c>
      <c r="Y3" s="193" t="s">
        <v>826</v>
      </c>
      <c r="Z3" s="192" t="s">
        <v>827</v>
      </c>
      <c r="AA3" s="193" t="s">
        <v>830</v>
      </c>
      <c r="AB3" s="194" t="s">
        <v>690</v>
      </c>
      <c r="AC3" s="195" t="s">
        <v>831</v>
      </c>
      <c r="AD3" s="196" t="s">
        <v>832</v>
      </c>
      <c r="AE3" s="197" t="s">
        <v>833</v>
      </c>
      <c r="AF3" s="197" t="s">
        <v>834</v>
      </c>
      <c r="AG3" s="197" t="s">
        <v>835</v>
      </c>
      <c r="AH3" s="197" t="s">
        <v>836</v>
      </c>
      <c r="AI3" s="197" t="s">
        <v>837</v>
      </c>
      <c r="AJ3" s="198" t="s">
        <v>691</v>
      </c>
      <c r="AK3" s="199" t="s">
        <v>692</v>
      </c>
      <c r="AL3" s="200" t="s">
        <v>838</v>
      </c>
      <c r="AM3" s="201" t="s">
        <v>839</v>
      </c>
    </row>
    <row r="4" spans="1:40" ht="12" customHeight="1" thickBot="1">
      <c r="A4" s="256"/>
      <c r="B4" s="257"/>
      <c r="C4" s="257"/>
      <c r="D4" s="257"/>
      <c r="E4" s="258"/>
      <c r="F4" s="259"/>
      <c r="G4" s="260"/>
      <c r="H4" s="260"/>
      <c r="I4" s="305"/>
      <c r="J4" s="202"/>
      <c r="K4" s="486" t="s">
        <v>840</v>
      </c>
      <c r="L4" s="486" t="s">
        <v>840</v>
      </c>
      <c r="M4" s="204" t="s">
        <v>840</v>
      </c>
      <c r="N4" s="204" t="s">
        <v>840</v>
      </c>
      <c r="O4" s="204" t="s">
        <v>840</v>
      </c>
      <c r="P4" s="204" t="s">
        <v>840</v>
      </c>
      <c r="Q4" s="204" t="s">
        <v>840</v>
      </c>
      <c r="R4" s="205">
        <f>SUM('OPX_BN-1'!$K4:$Q4)</f>
        <v>0</v>
      </c>
      <c r="S4" s="206"/>
      <c r="T4" s="207" t="s">
        <v>841</v>
      </c>
      <c r="U4" s="207" t="s">
        <v>841</v>
      </c>
      <c r="V4" s="207" t="s">
        <v>841</v>
      </c>
      <c r="W4" s="207" t="s">
        <v>841</v>
      </c>
      <c r="X4" s="207" t="s">
        <v>841</v>
      </c>
      <c r="Y4" s="207" t="s">
        <v>841</v>
      </c>
      <c r="Z4" s="207" t="s">
        <v>841</v>
      </c>
      <c r="AA4" s="207" t="s">
        <v>841</v>
      </c>
      <c r="AB4" s="208">
        <f>SUM('OPX_BN-1'!$T4:$AA4)</f>
        <v>0</v>
      </c>
      <c r="AC4" s="209"/>
      <c r="AD4" s="209"/>
      <c r="AE4" s="210"/>
      <c r="AF4" s="211"/>
      <c r="AG4" s="211"/>
      <c r="AH4" s="210"/>
      <c r="AI4" s="211"/>
      <c r="AJ4" s="212">
        <f>SUM('OPX_BN-1'!$AE4:$AI4)</f>
        <v>0</v>
      </c>
      <c r="AK4" s="213"/>
      <c r="AL4" s="214">
        <f>SUM('OPX_BN-1'!$J4,'OPX_BN-1'!$AB4,'OPX_BN-1'!$S4,'OPX_BN-1'!$AJ4,'OPX_BN-1'!$R4,'OPX_BN-1'!$AK4)</f>
        <v>0</v>
      </c>
      <c r="AM4" s="215"/>
    </row>
    <row r="5" spans="1:40" ht="101.25" customHeight="1" thickBot="1">
      <c r="A5" s="242" t="s">
        <v>842</v>
      </c>
      <c r="B5" s="216" t="s">
        <v>628</v>
      </c>
      <c r="C5" s="216" t="s">
        <v>629</v>
      </c>
      <c r="D5" s="217" t="s">
        <v>414</v>
      </c>
      <c r="E5" s="217" t="s">
        <v>630</v>
      </c>
      <c r="F5" s="218" t="s">
        <v>631</v>
      </c>
      <c r="G5" s="218" t="s">
        <v>417</v>
      </c>
      <c r="H5" s="218" t="s">
        <v>632</v>
      </c>
      <c r="I5" s="306" t="s">
        <v>418</v>
      </c>
      <c r="J5" s="219" t="s">
        <v>843</v>
      </c>
      <c r="K5" s="487" t="s">
        <v>844</v>
      </c>
      <c r="L5" s="488" t="s">
        <v>845</v>
      </c>
      <c r="M5" s="251" t="s">
        <v>846</v>
      </c>
      <c r="N5" s="251" t="s">
        <v>869</v>
      </c>
      <c r="O5" s="251" t="s">
        <v>848</v>
      </c>
      <c r="P5" s="251" t="s">
        <v>849</v>
      </c>
      <c r="Q5" s="251" t="s">
        <v>850</v>
      </c>
      <c r="R5" s="220" t="s">
        <v>688</v>
      </c>
      <c r="S5" s="221" t="s">
        <v>851</v>
      </c>
      <c r="T5" s="222" t="s">
        <v>852</v>
      </c>
      <c r="U5" s="207" t="s">
        <v>853</v>
      </c>
      <c r="V5" s="207" t="s">
        <v>854</v>
      </c>
      <c r="W5" s="207" t="s">
        <v>855</v>
      </c>
      <c r="X5" s="207" t="s">
        <v>856</v>
      </c>
      <c r="Y5" s="223" t="s">
        <v>857</v>
      </c>
      <c r="Z5" s="207" t="s">
        <v>858</v>
      </c>
      <c r="AA5" s="207" t="s">
        <v>859</v>
      </c>
      <c r="AB5" s="224" t="s">
        <v>690</v>
      </c>
      <c r="AC5" s="266" t="s">
        <v>860</v>
      </c>
      <c r="AD5" s="267" t="s">
        <v>861</v>
      </c>
      <c r="AE5" s="268" t="s">
        <v>862</v>
      </c>
      <c r="AF5" s="268" t="s">
        <v>863</v>
      </c>
      <c r="AG5" s="268" t="s">
        <v>864</v>
      </c>
      <c r="AH5" s="268" t="s">
        <v>865</v>
      </c>
      <c r="AI5" s="211" t="s">
        <v>866</v>
      </c>
      <c r="AJ5" s="198" t="s">
        <v>691</v>
      </c>
      <c r="AK5" s="277" t="s">
        <v>867</v>
      </c>
      <c r="AL5" s="226" t="s">
        <v>838</v>
      </c>
      <c r="AM5" s="227" t="s">
        <v>868</v>
      </c>
      <c r="AN5" s="6" t="s">
        <v>645</v>
      </c>
    </row>
    <row r="6" spans="1:40" ht="15">
      <c r="A6" s="326" t="s">
        <v>575</v>
      </c>
      <c r="B6" s="327" t="str">
        <f>VLOOKUP('OPX_BN-1'!$A6,Tableau106[],3,FALSE)</f>
        <v>A893</v>
      </c>
      <c r="C6" s="327" t="str">
        <f>VLOOKUP('OPX_BN-1'!$A6,Tableau106[],2,FALSE)</f>
        <v>FR34E97E</v>
      </c>
      <c r="D6" s="327" t="str">
        <f>VLOOKUP('OPX_BN-1'!$A6,Tableau106[],8,FALSE)</f>
        <v>EOLIEN</v>
      </c>
      <c r="E6" s="328">
        <f>VLOOKUP('OPX_BN-1'!$A6,Tableau106[],4,FALSE)</f>
        <v>10</v>
      </c>
      <c r="F6" s="327" t="str">
        <f>VLOOKUP('OPX_BN-1'!$A6,Tableau106[],5,FALSE)</f>
        <v>AUQB</v>
      </c>
      <c r="G6" s="327" t="str">
        <f>VLOOKUP('OPX_BN-1'!$A6,Tableau106[],7,FALSE)</f>
        <v>GROUPE</v>
      </c>
      <c r="H6" s="327" t="str">
        <f>VLOOKUP('OPX_BN-1'!$A6,Tableau106[],6,FALSE)</f>
        <v>S</v>
      </c>
      <c r="I6" s="327" t="str">
        <f>VLOOKUP('OPX_BN-1'!$A6,Tableau106[],9,FALSE)</f>
        <v>KéD</v>
      </c>
      <c r="J6" s="160">
        <v>-498499.19890459778</v>
      </c>
      <c r="K6" s="489">
        <v>-15000</v>
      </c>
      <c r="L6" s="490">
        <v>0</v>
      </c>
      <c r="M6" s="229">
        <v>0</v>
      </c>
      <c r="N6" s="229">
        <v>0</v>
      </c>
      <c r="O6" s="229">
        <v>0</v>
      </c>
      <c r="P6" s="229">
        <v>-3500</v>
      </c>
      <c r="Q6" s="230">
        <v>-2500</v>
      </c>
      <c r="R6" s="274">
        <f>SUM('OPX_BN-1'!$K6:$Q6)</f>
        <v>-21000</v>
      </c>
      <c r="S6" s="339">
        <v>0</v>
      </c>
      <c r="T6" s="263">
        <v>0</v>
      </c>
      <c r="U6" s="341"/>
      <c r="V6" s="423">
        <v>-12500</v>
      </c>
      <c r="W6" s="263">
        <v>0</v>
      </c>
      <c r="X6" s="423">
        <v>0</v>
      </c>
      <c r="Y6" s="263"/>
      <c r="Z6" s="264">
        <v>-7500</v>
      </c>
      <c r="AA6" s="423"/>
      <c r="AB6" s="272">
        <f>SUM('OPX_BN-1'!$T6:$AA6)</f>
        <v>-20000</v>
      </c>
      <c r="AC6" s="231"/>
      <c r="AD6" s="231"/>
      <c r="AE6" s="417">
        <v>0</v>
      </c>
      <c r="AF6" s="417">
        <v>0</v>
      </c>
      <c r="AG6" s="417">
        <v>-17876</v>
      </c>
      <c r="AH6" s="417">
        <v>-30919.95</v>
      </c>
      <c r="AI6" s="417">
        <v>0</v>
      </c>
      <c r="AJ6" s="271">
        <f>SUM('OPX_BN-1'!$AC6:$AI6)</f>
        <v>-48795.95</v>
      </c>
      <c r="AK6" s="429">
        <v>-40000</v>
      </c>
      <c r="AL6" s="275">
        <f>SUM('OPX_BN-1'!$J6,'OPX_BN-1'!$AB6,'OPX_BN-1'!$S6,'OPX_BN-1'!$AJ6,'OPX_BN-1'!$R6,'OPX_BN-1'!$AK6)</f>
        <v>-628295.14890459774</v>
      </c>
      <c r="AM6" s="425">
        <v>0</v>
      </c>
    </row>
    <row r="7" spans="1:40" ht="15">
      <c r="A7" s="326" t="s">
        <v>435</v>
      </c>
      <c r="B7" s="327" t="str">
        <f>VLOOKUP('OPX_BN-1'!$A7,Tableau106[],3,FALSE)</f>
        <v>A763</v>
      </c>
      <c r="C7" s="327" t="str">
        <f>VLOOKUP('OPX_BN-1'!$A7,Tableau106[],2,FALSE)</f>
        <v>FR51E05E</v>
      </c>
      <c r="D7" s="327" t="str">
        <f>VLOOKUP('OPX_BN-1'!$A7,Tableau106[],8,FALSE)</f>
        <v>EOLIEN</v>
      </c>
      <c r="E7" s="328">
        <f>VLOOKUP('OPX_BN-1'!$A7,Tableau106[],4,FALSE)</f>
        <v>16</v>
      </c>
      <c r="F7" s="327" t="str">
        <f>VLOOKUP('OPX_BN-1'!$A7,Tableau106[],5,FALSE)</f>
        <v>QVA3</v>
      </c>
      <c r="G7" s="327" t="str">
        <f>VLOOKUP('OPX_BN-1'!$A7,Tableau106[],7,FALSE)</f>
        <v>GROUPE</v>
      </c>
      <c r="H7" s="327" t="str">
        <f>VLOOKUP('OPX_BN-1'!$A7,Tableau106[],6,FALSE)</f>
        <v>S</v>
      </c>
      <c r="I7" s="327" t="str">
        <f>VLOOKUP('OPX_BN-1'!$A7,Tableau106[],9,FALSE)</f>
        <v>BaB</v>
      </c>
      <c r="J7" s="160">
        <v>-23605.591939546593</v>
      </c>
      <c r="K7" s="489">
        <v>-8000</v>
      </c>
      <c r="L7" s="490">
        <v>0</v>
      </c>
      <c r="M7" s="229">
        <v>0</v>
      </c>
      <c r="N7" s="229">
        <v>0</v>
      </c>
      <c r="O7" s="229">
        <v>0</v>
      </c>
      <c r="P7" s="229">
        <v>0</v>
      </c>
      <c r="Q7" s="230">
        <v>-8000</v>
      </c>
      <c r="R7" s="274">
        <f>SUM('OPX_BN-1'!$K7:$Q7)</f>
        <v>-16000</v>
      </c>
      <c r="S7" s="338">
        <v>-423080.04776400002</v>
      </c>
      <c r="T7" s="263">
        <v>0</v>
      </c>
      <c r="U7" s="341"/>
      <c r="V7" s="423">
        <v>-1500</v>
      </c>
      <c r="W7" s="423">
        <v>0</v>
      </c>
      <c r="X7" s="423">
        <v>0</v>
      </c>
      <c r="Y7" s="263"/>
      <c r="Z7" s="264">
        <v>-8000</v>
      </c>
      <c r="AA7" s="423"/>
      <c r="AB7" s="273">
        <f>SUM('OPX_BN-1'!$T7:$AA7)</f>
        <v>-9500</v>
      </c>
      <c r="AC7" s="426"/>
      <c r="AD7" s="426"/>
      <c r="AE7" s="417">
        <v>0</v>
      </c>
      <c r="AF7" s="417">
        <v>0</v>
      </c>
      <c r="AG7" s="417">
        <v>0</v>
      </c>
      <c r="AH7" s="417">
        <v>0</v>
      </c>
      <c r="AI7" s="417">
        <v>-1100</v>
      </c>
      <c r="AJ7" s="271">
        <f>SUM('OPX_BN-1'!$AC7:$AI7)</f>
        <v>-1100</v>
      </c>
      <c r="AK7" s="429">
        <v>0</v>
      </c>
      <c r="AL7" s="276">
        <f>SUM('OPX_BN-1'!$J7,'OPX_BN-1'!$AB7,'OPX_BN-1'!$S7,'OPX_BN-1'!$AJ7,'OPX_BN-1'!$R7,'OPX_BN-1'!$AK7)</f>
        <v>-473285.63970354659</v>
      </c>
      <c r="AM7" s="427">
        <v>0</v>
      </c>
    </row>
    <row r="8" spans="1:40" ht="15">
      <c r="A8" s="329" t="s">
        <v>448</v>
      </c>
      <c r="B8" s="327" t="str">
        <f>VLOOKUP('OPX_BN-1'!$A8,Tableau106[],3,FALSE)</f>
        <v>A099</v>
      </c>
      <c r="C8" s="327" t="str">
        <f>VLOOKUP('OPX_BN-1'!$A8,Tableau106[],2,FALSE)</f>
        <v>FR28E96E</v>
      </c>
      <c r="D8" s="327" t="str">
        <f>VLOOKUP('OPX_BN-1'!$A8,Tableau106[],8,FALSE)</f>
        <v>EOLIEN</v>
      </c>
      <c r="E8" s="328">
        <f>VLOOKUP('OPX_BN-1'!$A8,Tableau106[],4,FALSE)</f>
        <v>52</v>
      </c>
      <c r="F8" s="327" t="str">
        <f>VLOOKUP('OPX_BN-1'!$A8,Tableau106[],5,FALSE)</f>
        <v>CHAB</v>
      </c>
      <c r="G8" s="327" t="str">
        <f>VLOOKUP('OPX_BN-1'!$A8,Tableau106[],7,FALSE)</f>
        <v>GROUPE</v>
      </c>
      <c r="H8" s="327" t="str">
        <f>VLOOKUP('OPX_BN-1'!$A8,Tableau106[],6,FALSE)</f>
        <v>N</v>
      </c>
      <c r="I8" s="327" t="str">
        <f>VLOOKUP('OPX_BN-1'!$A8,Tableau106[],9,FALSE)</f>
        <v>HuB</v>
      </c>
      <c r="J8" s="160">
        <v>-105604.19996112482</v>
      </c>
      <c r="K8" s="489">
        <v>-26000</v>
      </c>
      <c r="L8" s="490">
        <v>0</v>
      </c>
      <c r="M8" s="229">
        <v>0</v>
      </c>
      <c r="N8" s="229">
        <v>0</v>
      </c>
      <c r="O8" s="229">
        <v>-3000</v>
      </c>
      <c r="P8" s="229">
        <v>-18200</v>
      </c>
      <c r="Q8" s="230">
        <v>-26000</v>
      </c>
      <c r="R8" s="274">
        <f>SUM('OPX_BN-1'!$K8:$Q8)</f>
        <v>-73200</v>
      </c>
      <c r="S8" s="338">
        <v>-1471765.36</v>
      </c>
      <c r="T8" s="423">
        <v>0</v>
      </c>
      <c r="U8" s="341"/>
      <c r="V8" s="423">
        <v>-9000</v>
      </c>
      <c r="W8" s="423">
        <v>0</v>
      </c>
      <c r="X8" s="423">
        <v>-4000</v>
      </c>
      <c r="Y8" s="423"/>
      <c r="Z8" s="264">
        <v>-34800</v>
      </c>
      <c r="AA8" s="423"/>
      <c r="AB8" s="273">
        <f>SUM('OPX_BN-1'!$T8:$AA8)</f>
        <v>-47800</v>
      </c>
      <c r="AC8" s="426"/>
      <c r="AD8" s="426"/>
      <c r="AE8" s="417">
        <v>0</v>
      </c>
      <c r="AF8" s="417">
        <v>0</v>
      </c>
      <c r="AG8" s="417">
        <v>0</v>
      </c>
      <c r="AH8" s="417">
        <v>0</v>
      </c>
      <c r="AI8" s="417">
        <v>0</v>
      </c>
      <c r="AJ8" s="271">
        <f>SUM('OPX_BN-1'!$AC8:$AI8)</f>
        <v>0</v>
      </c>
      <c r="AK8" s="429">
        <v>0</v>
      </c>
      <c r="AL8" s="276">
        <f>SUM('OPX_BN-1'!$J8,'OPX_BN-1'!$AB8,'OPX_BN-1'!$S8,'OPX_BN-1'!$AJ8,'OPX_BN-1'!$R8,'OPX_BN-1'!$AK8)</f>
        <v>-1698369.5599611248</v>
      </c>
      <c r="AM8" s="427">
        <v>0</v>
      </c>
    </row>
    <row r="9" spans="1:40" ht="15">
      <c r="A9" s="326" t="s">
        <v>504</v>
      </c>
      <c r="B9" s="327" t="str">
        <f>VLOOKUP('OPX_BN-1'!$A9,Tableau106[],3,FALSE)</f>
        <v>A418</v>
      </c>
      <c r="C9" s="327" t="str">
        <f>VLOOKUP('OPX_BN-1'!$A9,Tableau106[],2,FALSE)</f>
        <v>FR78E01E</v>
      </c>
      <c r="D9" s="327" t="str">
        <f>VLOOKUP('OPX_BN-1'!$A9,Tableau106[],8,FALSE)</f>
        <v>EOLIEN</v>
      </c>
      <c r="E9" s="328">
        <f>VLOOKUP('OPX_BN-1'!$A9,Tableau106[],4,FALSE)</f>
        <v>16.95</v>
      </c>
      <c r="F9" s="327" t="str">
        <f>VLOOKUP('OPX_BN-1'!$A9,Tableau106[],5,FALSE)</f>
        <v>ALVI</v>
      </c>
      <c r="G9" s="327" t="str">
        <f>VLOOKUP('OPX_BN-1'!$A9,Tableau106[],7,FALSE)</f>
        <v>GROUPE</v>
      </c>
      <c r="H9" s="327" t="str">
        <f>VLOOKUP('OPX_BN-1'!$A9,Tableau106[],6,FALSE)</f>
        <v>N</v>
      </c>
      <c r="I9" s="327" t="str">
        <f>VLOOKUP('OPX_BN-1'!$A9,Tableau106[],9,FALSE)</f>
        <v>AyB</v>
      </c>
      <c r="J9" s="160">
        <v>-10436.073423782922</v>
      </c>
      <c r="K9" s="489">
        <v>-8475</v>
      </c>
      <c r="L9" s="490">
        <v>0</v>
      </c>
      <c r="M9" s="229">
        <v>0</v>
      </c>
      <c r="N9" s="229">
        <v>0</v>
      </c>
      <c r="O9" s="229">
        <v>0</v>
      </c>
      <c r="P9" s="229">
        <v>-5932.5</v>
      </c>
      <c r="Q9" s="230">
        <v>-8475</v>
      </c>
      <c r="R9" s="274">
        <f>SUM('OPX_BN-1'!$K9:$Q9)</f>
        <v>-22882.5</v>
      </c>
      <c r="S9" s="338">
        <v>-255543.1</v>
      </c>
      <c r="T9" s="263">
        <v>0</v>
      </c>
      <c r="U9" s="341"/>
      <c r="V9" s="423">
        <v>-1800</v>
      </c>
      <c r="W9" s="423">
        <v>-3050</v>
      </c>
      <c r="X9" s="423">
        <v>0</v>
      </c>
      <c r="Y9" s="423"/>
      <c r="Z9" s="264">
        <v>-8475</v>
      </c>
      <c r="AA9" s="423"/>
      <c r="AB9" s="273">
        <f>SUM('OPX_BN-1'!$T9:$AA9)</f>
        <v>-13325</v>
      </c>
      <c r="AC9" s="426"/>
      <c r="AD9" s="426"/>
      <c r="AE9" s="417">
        <v>0</v>
      </c>
      <c r="AF9" s="417">
        <v>0</v>
      </c>
      <c r="AG9" s="417">
        <v>0</v>
      </c>
      <c r="AH9" s="417">
        <v>0</v>
      </c>
      <c r="AI9" s="417">
        <v>0</v>
      </c>
      <c r="AJ9" s="271">
        <f>SUM('OPX_BN-1'!$AC9:$AI9)</f>
        <v>0</v>
      </c>
      <c r="AK9" s="429">
        <v>0</v>
      </c>
      <c r="AL9" s="276">
        <f>SUM('OPX_BN-1'!$J9,'OPX_BN-1'!$AB9,'OPX_BN-1'!$S9,'OPX_BN-1'!$AJ9,'OPX_BN-1'!$R9,'OPX_BN-1'!$AK9)</f>
        <v>-302186.67342378292</v>
      </c>
      <c r="AM9" s="427">
        <v>0</v>
      </c>
    </row>
    <row r="10" spans="1:40" ht="14.65" customHeight="1">
      <c r="A10" s="326" t="s">
        <v>530</v>
      </c>
      <c r="B10" s="327" t="str">
        <f>VLOOKUP('OPX_BN-1'!$A10,Tableau106[],3,FALSE)</f>
        <v>A109</v>
      </c>
      <c r="C10" s="327" t="str">
        <f>VLOOKUP('OPX_BN-1'!$A10,Tableau106[],2,FALSE)</f>
        <v>FR15E01E</v>
      </c>
      <c r="D10" s="327" t="str">
        <f>VLOOKUP('OPX_BN-1'!$A10,Tableau106[],8,FALSE)</f>
        <v>EOLIEN</v>
      </c>
      <c r="E10" s="328">
        <f>VLOOKUP('OPX_BN-1'!$A10,Tableau106[],4,FALSE)</f>
        <v>12</v>
      </c>
      <c r="F10" s="327" t="str">
        <f>VLOOKUP('OPX_BN-1'!$A10,Tableau106[],5,FALSE)</f>
        <v>ALLA</v>
      </c>
      <c r="G10" s="327" t="str">
        <f>VLOOKUP('OPX_BN-1'!$A10,Tableau106[],7,FALSE)</f>
        <v>FUTUREN</v>
      </c>
      <c r="H10" s="327" t="str">
        <f>VLOOKUP('OPX_BN-1'!$A10,Tableau106[],6,FALSE)</f>
        <v>S</v>
      </c>
      <c r="I10" s="327" t="str">
        <f>VLOOKUP('OPX_BN-1'!$A10,Tableau106[],9,FALSE)</f>
        <v>AuE</v>
      </c>
      <c r="J10" s="160">
        <v>-76424.459002973992</v>
      </c>
      <c r="K10" s="489">
        <v>-6000</v>
      </c>
      <c r="L10" s="490">
        <v>0</v>
      </c>
      <c r="M10" s="229">
        <v>0</v>
      </c>
      <c r="N10" s="229">
        <v>0</v>
      </c>
      <c r="O10" s="229">
        <v>0</v>
      </c>
      <c r="P10" s="229">
        <v>-4200</v>
      </c>
      <c r="Q10" s="230">
        <v>-6000</v>
      </c>
      <c r="R10" s="274">
        <f>SUM('OPX_BN-1'!$K10:$Q10)</f>
        <v>-16200</v>
      </c>
      <c r="S10" s="338">
        <v>-242549.08970000001</v>
      </c>
      <c r="T10" s="263">
        <v>-1800</v>
      </c>
      <c r="U10" s="341"/>
      <c r="V10" s="423">
        <v>-2000</v>
      </c>
      <c r="W10" s="423">
        <v>0</v>
      </c>
      <c r="X10" s="423">
        <v>0</v>
      </c>
      <c r="Y10" s="423"/>
      <c r="Z10" s="264">
        <v>-46000</v>
      </c>
      <c r="AA10" s="423"/>
      <c r="AB10" s="273">
        <f>SUM('OPX_BN-1'!$T10:$AA10)</f>
        <v>-49800</v>
      </c>
      <c r="AC10" s="426"/>
      <c r="AD10" s="426"/>
      <c r="AE10" s="417">
        <v>-10000</v>
      </c>
      <c r="AF10" s="417">
        <v>-10000</v>
      </c>
      <c r="AG10" s="417">
        <v>-25000</v>
      </c>
      <c r="AH10" s="417">
        <v>0</v>
      </c>
      <c r="AI10" s="417">
        <v>0</v>
      </c>
      <c r="AJ10" s="271">
        <f>SUM('OPX_BN-1'!$AC10:$AI10)</f>
        <v>-45000</v>
      </c>
      <c r="AK10" s="429">
        <v>-20000</v>
      </c>
      <c r="AL10" s="276">
        <f>SUM('OPX_BN-1'!$J10,'OPX_BN-1'!$AB10,'OPX_BN-1'!$S10,'OPX_BN-1'!$AJ10,'OPX_BN-1'!$R10,'OPX_BN-1'!$AK10)</f>
        <v>-449973.54870297399</v>
      </c>
      <c r="AM10" s="427">
        <v>-88000</v>
      </c>
    </row>
    <row r="11" spans="1:40" ht="15">
      <c r="A11" s="326" t="s">
        <v>440</v>
      </c>
      <c r="B11" s="327" t="str">
        <f>VLOOKUP('OPX_BN-1'!$A11,Tableau106[],3,FALSE)</f>
        <v>A353</v>
      </c>
      <c r="C11" s="327" t="str">
        <f>VLOOKUP('OPX_BN-1'!$A11,Tableau106[],2,FALSE)</f>
        <v>FR33S12E</v>
      </c>
      <c r="D11" s="327" t="str">
        <f>VLOOKUP('OPX_BN-1'!$A11,Tableau106[],8,FALSE)</f>
        <v>SOLAIRE</v>
      </c>
      <c r="E11" s="328">
        <f>VLOOKUP('OPX_BN-1'!$A11,Tableau106[],4,FALSE)</f>
        <v>9.6999999999999993</v>
      </c>
      <c r="F11" s="327" t="str">
        <f>VLOOKUP('OPX_BN-1'!$A11,Tableau106[],5,FALSE)</f>
        <v>AMBE</v>
      </c>
      <c r="G11" s="327" t="str">
        <f>VLOOKUP('OPX_BN-1'!$A11,Tableau106[],7,FALSE)</f>
        <v>GROUPE</v>
      </c>
      <c r="H11" s="327" t="str">
        <f>VLOOKUP('OPX_BN-1'!$A11,Tableau106[],6,FALSE)</f>
        <v>S</v>
      </c>
      <c r="I11" s="327" t="str">
        <f>VLOOKUP('OPX_BN-1'!$A11,Tableau106[],9,FALSE)</f>
        <v>BaA</v>
      </c>
      <c r="J11" s="160">
        <v>-82955.65196220472</v>
      </c>
      <c r="K11" s="489">
        <v>-4850</v>
      </c>
      <c r="L11" s="490">
        <v>0</v>
      </c>
      <c r="M11" s="229">
        <v>0</v>
      </c>
      <c r="N11" s="229">
        <v>0</v>
      </c>
      <c r="O11" s="229">
        <v>0</v>
      </c>
      <c r="P11" s="229">
        <v>0</v>
      </c>
      <c r="Q11" s="230">
        <v>-4850</v>
      </c>
      <c r="R11" s="274">
        <f>SUM('OPX_BN-1'!$K11:$Q11)</f>
        <v>-9700</v>
      </c>
      <c r="S11" s="338">
        <v>0</v>
      </c>
      <c r="T11" s="263">
        <v>0</v>
      </c>
      <c r="U11" s="341"/>
      <c r="V11" s="423">
        <v>0</v>
      </c>
      <c r="W11" s="423">
        <v>0</v>
      </c>
      <c r="X11" s="423">
        <v>0</v>
      </c>
      <c r="Y11" s="423"/>
      <c r="Z11" s="264">
        <v>-4850</v>
      </c>
      <c r="AA11" s="423"/>
      <c r="AB11" s="273">
        <f>SUM('OPX_BN-1'!$T11:$AA11)</f>
        <v>-4850</v>
      </c>
      <c r="AC11" s="426"/>
      <c r="AD11" s="426"/>
      <c r="AE11" s="417">
        <v>0</v>
      </c>
      <c r="AF11" s="417">
        <v>0</v>
      </c>
      <c r="AG11" s="417">
        <v>0</v>
      </c>
      <c r="AH11" s="417">
        <v>0</v>
      </c>
      <c r="AI11" s="417">
        <v>0</v>
      </c>
      <c r="AJ11" s="271">
        <f>SUM('OPX_BN-1'!$AC11:$AI11)</f>
        <v>0</v>
      </c>
      <c r="AK11" s="429">
        <v>-15000</v>
      </c>
      <c r="AL11" s="276">
        <f>SUM('OPX_BN-1'!$J11,'OPX_BN-1'!$AB11,'OPX_BN-1'!$S11,'OPX_BN-1'!$AJ11,'OPX_BN-1'!$R11,'OPX_BN-1'!$AK11)</f>
        <v>-112505.65196220472</v>
      </c>
      <c r="AM11" s="427">
        <v>0</v>
      </c>
    </row>
    <row r="12" spans="1:40" ht="15">
      <c r="A12" s="329" t="s">
        <v>479</v>
      </c>
      <c r="B12" s="327" t="str">
        <f>VLOOKUP('OPX_BN-1'!$A12,Tableau106[],3,FALSE)</f>
        <v>A541</v>
      </c>
      <c r="C12" s="327" t="str">
        <f>VLOOKUP('OPX_BN-1'!$A12,Tableau106[],2,FALSE)</f>
        <v>FR57E04E</v>
      </c>
      <c r="D12" s="327" t="str">
        <f>VLOOKUP('OPX_BN-1'!$A12,Tableau106[],8,FALSE)</f>
        <v>EOLIEN</v>
      </c>
      <c r="E12" s="328">
        <f>VLOOKUP('OPX_BN-1'!$A12,Tableau106[],4,FALSE)</f>
        <v>12</v>
      </c>
      <c r="F12" s="327" t="str">
        <f>VLOOKUP('OPX_BN-1'!$A12,Tableau106[],5,FALSE)</f>
        <v>AMEL</v>
      </c>
      <c r="G12" s="327" t="str">
        <f>VLOOKUP('OPX_BN-1'!$A12,Tableau106[],7,FALSE)</f>
        <v>EGM</v>
      </c>
      <c r="H12" s="327" t="str">
        <f>VLOOKUP('OPX_BN-1'!$A12,Tableau106[],6,FALSE)</f>
        <v>N</v>
      </c>
      <c r="I12" s="327" t="str">
        <f>VLOOKUP('OPX_BN-1'!$A12,Tableau106[],9,FALSE)</f>
        <v>NoS</v>
      </c>
      <c r="J12" s="160">
        <v>-307815.93714434805</v>
      </c>
      <c r="K12" s="489">
        <v>-6000</v>
      </c>
      <c r="L12" s="490">
        <v>-39682.539682539682</v>
      </c>
      <c r="M12" s="229">
        <v>0</v>
      </c>
      <c r="N12" s="229">
        <v>0</v>
      </c>
      <c r="O12" s="229">
        <v>0</v>
      </c>
      <c r="P12" s="229">
        <v>-4200</v>
      </c>
      <c r="Q12" s="230">
        <v>-6000</v>
      </c>
      <c r="R12" s="274">
        <f>SUM('OPX_BN-1'!$K12:$Q12)</f>
        <v>-55882.539682539682</v>
      </c>
      <c r="S12" s="338">
        <v>0</v>
      </c>
      <c r="T12" s="423">
        <v>0</v>
      </c>
      <c r="U12" s="341"/>
      <c r="V12" s="423">
        <v>-2000</v>
      </c>
      <c r="W12" s="423">
        <v>0</v>
      </c>
      <c r="X12" s="423">
        <v>0</v>
      </c>
      <c r="Y12" s="423"/>
      <c r="Z12" s="264">
        <v>-6000</v>
      </c>
      <c r="AA12" s="423"/>
      <c r="AB12" s="273">
        <f>SUM('OPX_BN-1'!$T12:$AA12)</f>
        <v>-8000</v>
      </c>
      <c r="AC12" s="426"/>
      <c r="AD12" s="426"/>
      <c r="AE12" s="417">
        <v>0</v>
      </c>
      <c r="AF12" s="417">
        <v>0</v>
      </c>
      <c r="AG12" s="417">
        <v>0</v>
      </c>
      <c r="AH12" s="417">
        <v>0</v>
      </c>
      <c r="AI12" s="417">
        <v>0</v>
      </c>
      <c r="AJ12" s="271">
        <f>SUM('OPX_BN-1'!$AC12:$AI12)</f>
        <v>0</v>
      </c>
      <c r="AK12" s="429">
        <v>0</v>
      </c>
      <c r="AL12" s="276">
        <f>SUM('OPX_BN-1'!$J12,'OPX_BN-1'!$AB12,'OPX_BN-1'!$S12,'OPX_BN-1'!$AJ12,'OPX_BN-1'!$R12,'OPX_BN-1'!$AK12)</f>
        <v>-371698.47682688775</v>
      </c>
      <c r="AM12" s="427">
        <v>-3500000</v>
      </c>
    </row>
    <row r="13" spans="1:40" ht="15">
      <c r="A13" s="329" t="s">
        <v>508</v>
      </c>
      <c r="B13" s="327" t="str">
        <f>VLOOKUP('OPX_BN-1'!$A13,Tableau106[],3,FALSE)</f>
        <v>F245</v>
      </c>
      <c r="C13" s="327" t="str">
        <f>VLOOKUP('OPX_BN-1'!$A13,Tableau106[],2,FALSE)</f>
        <v>FR17E07E</v>
      </c>
      <c r="D13" s="327" t="str">
        <f>VLOOKUP('OPX_BN-1'!$A13,Tableau106[],8,FALSE)</f>
        <v>EOLIEN</v>
      </c>
      <c r="E13" s="328">
        <f>VLOOKUP('OPX_BN-1'!$A13,Tableau106[],4,FALSE)</f>
        <v>12</v>
      </c>
      <c r="F13" s="327" t="str">
        <f>VLOOKUP('OPX_BN-1'!$A13,Tableau106[],5,FALSE)</f>
        <v>ANPA</v>
      </c>
      <c r="G13" s="327" t="str">
        <f>VLOOKUP('OPX_BN-1'!$A13,Tableau106[],7,FALSE)</f>
        <v>FUTUREN</v>
      </c>
      <c r="H13" s="327" t="str">
        <f>VLOOKUP('OPX_BN-1'!$A13,Tableau106[],6,FALSE)</f>
        <v>N</v>
      </c>
      <c r="I13" s="327" t="str">
        <f>VLOOKUP('OPX_BN-1'!$A13,Tableau106[],9,FALSE)</f>
        <v>KéC</v>
      </c>
      <c r="J13" s="160">
        <v>0</v>
      </c>
      <c r="K13" s="489">
        <v>-6000</v>
      </c>
      <c r="L13" s="490">
        <v>0</v>
      </c>
      <c r="M13" s="229">
        <v>0</v>
      </c>
      <c r="N13" s="229">
        <v>0</v>
      </c>
      <c r="O13" s="229">
        <v>0</v>
      </c>
      <c r="P13" s="229">
        <v>0</v>
      </c>
      <c r="Q13" s="230">
        <v>-6000</v>
      </c>
      <c r="R13" s="274">
        <f>SUM('OPX_BN-1'!$K13:$Q13)</f>
        <v>-12000</v>
      </c>
      <c r="S13" s="338">
        <v>0</v>
      </c>
      <c r="T13" s="423">
        <v>0</v>
      </c>
      <c r="U13" s="341"/>
      <c r="V13" s="423">
        <v>0</v>
      </c>
      <c r="W13" s="423">
        <v>0</v>
      </c>
      <c r="X13" s="423">
        <v>0</v>
      </c>
      <c r="Y13" s="423"/>
      <c r="Z13" s="264">
        <v>-6000</v>
      </c>
      <c r="AA13" s="423"/>
      <c r="AB13" s="273">
        <f>SUM('OPX_BN-1'!$T13:$AA13)</f>
        <v>-6000</v>
      </c>
      <c r="AC13" s="426"/>
      <c r="AD13" s="426"/>
      <c r="AE13" s="417">
        <v>-5000</v>
      </c>
      <c r="AF13" s="417">
        <v>-20000</v>
      </c>
      <c r="AG13" s="417">
        <v>-25000</v>
      </c>
      <c r="AH13" s="417">
        <v>0</v>
      </c>
      <c r="AI13" s="417">
        <v>-10000</v>
      </c>
      <c r="AJ13" s="271">
        <f>SUM('OPX_BN-1'!$AC13:$AI13)</f>
        <v>-60000</v>
      </c>
      <c r="AK13" s="429">
        <v>0</v>
      </c>
      <c r="AL13" s="276">
        <f>SUM('OPX_BN-1'!$J13,'OPX_BN-1'!$AB13,'OPX_BN-1'!$S13,'OPX_BN-1'!$AJ13,'OPX_BN-1'!$R13,'OPX_BN-1'!$AK13)</f>
        <v>-78000</v>
      </c>
      <c r="AM13" s="427">
        <v>0</v>
      </c>
    </row>
    <row r="14" spans="1:40" ht="15">
      <c r="A14" s="329" t="s">
        <v>444</v>
      </c>
      <c r="B14" s="327" t="str">
        <f>VLOOKUP('OPX_BN-1'!$A14,Tableau106[],3,FALSE)</f>
        <v>A353</v>
      </c>
      <c r="C14" s="327" t="str">
        <f>VLOOKUP('OPX_BN-1'!$A14,Tableau106[],2,FALSE)</f>
        <v>FR30S13E</v>
      </c>
      <c r="D14" s="327" t="str">
        <f>VLOOKUP('OPX_BN-1'!$A14,Tableau106[],8,FALSE)</f>
        <v>SOLAIRE</v>
      </c>
      <c r="E14" s="328">
        <f>VLOOKUP('OPX_BN-1'!$A14,Tableau106[],4,FALSE)</f>
        <v>5</v>
      </c>
      <c r="F14" s="327" t="str">
        <f>VLOOKUP('OPX_BN-1'!$A14,Tableau106[],5,FALSE)</f>
        <v>ARAM</v>
      </c>
      <c r="G14" s="327" t="str">
        <f>VLOOKUP('OPX_BN-1'!$A14,Tableau106[],7,FALSE)</f>
        <v>GROUPE</v>
      </c>
      <c r="H14" s="327" t="str">
        <f>VLOOKUP('OPX_BN-1'!$A14,Tableau106[],6,FALSE)</f>
        <v>S</v>
      </c>
      <c r="I14" s="327" t="str">
        <f>VLOOKUP('OPX_BN-1'!$A14,Tableau106[],9,FALSE)</f>
        <v>ArB</v>
      </c>
      <c r="J14" s="160">
        <v>-59847.038557377033</v>
      </c>
      <c r="K14" s="491">
        <v>-2500</v>
      </c>
      <c r="L14" s="492">
        <v>0</v>
      </c>
      <c r="M14" s="229">
        <v>0</v>
      </c>
      <c r="N14" s="229">
        <v>0</v>
      </c>
      <c r="O14" s="229">
        <v>0</v>
      </c>
      <c r="P14" s="229">
        <v>0</v>
      </c>
      <c r="Q14" s="230">
        <v>-2500</v>
      </c>
      <c r="R14" s="274">
        <f>SUM('OPX_BN-1'!$K14:$Q14)</f>
        <v>-5000</v>
      </c>
      <c r="S14" s="338">
        <v>0</v>
      </c>
      <c r="T14" s="423">
        <v>0</v>
      </c>
      <c r="U14" s="341"/>
      <c r="V14" s="423">
        <v>-20000</v>
      </c>
      <c r="W14" s="423">
        <v>0</v>
      </c>
      <c r="X14" s="423">
        <v>0</v>
      </c>
      <c r="Y14" s="423"/>
      <c r="Z14" s="264">
        <v>-2500</v>
      </c>
      <c r="AA14" s="423"/>
      <c r="AB14" s="273">
        <f>SUM('OPX_BN-1'!$T14:$AA14)</f>
        <v>-22500</v>
      </c>
      <c r="AC14" s="426"/>
      <c r="AD14" s="426"/>
      <c r="AE14" s="417">
        <v>0</v>
      </c>
      <c r="AF14" s="417">
        <v>0</v>
      </c>
      <c r="AG14" s="417">
        <v>0</v>
      </c>
      <c r="AH14" s="417">
        <v>-5000</v>
      </c>
      <c r="AI14" s="417">
        <v>0</v>
      </c>
      <c r="AJ14" s="271">
        <f>SUM('OPX_BN-1'!$AC14:$AI14)</f>
        <v>-5000</v>
      </c>
      <c r="AK14" s="429">
        <v>-3000</v>
      </c>
      <c r="AL14" s="276">
        <f>SUM('OPX_BN-1'!$J14,'OPX_BN-1'!$AB14,'OPX_BN-1'!$S14,'OPX_BN-1'!$AJ14,'OPX_BN-1'!$R14,'OPX_BN-1'!$AK14)</f>
        <v>-95347.038557377033</v>
      </c>
      <c r="AM14" s="427">
        <v>0</v>
      </c>
    </row>
    <row r="15" spans="1:40" ht="15">
      <c r="A15" s="329" t="s">
        <v>445</v>
      </c>
      <c r="B15" s="327" t="str">
        <f>VLOOKUP('OPX_BN-1'!$A15,Tableau106[],3,FALSE)</f>
        <v>A353</v>
      </c>
      <c r="C15" s="327" t="str">
        <f>VLOOKUP('OPX_BN-1'!$A15,Tableau106[],2,FALSE)</f>
        <v>FR64S01E</v>
      </c>
      <c r="D15" s="327" t="str">
        <f>VLOOKUP('OPX_BN-1'!$A15,Tableau106[],8,FALSE)</f>
        <v>SOLAIRE</v>
      </c>
      <c r="E15" s="328">
        <f>VLOOKUP('OPX_BN-1'!$A15,Tableau106[],4,FALSE)</f>
        <v>4.2</v>
      </c>
      <c r="F15" s="327" t="str">
        <f>VLOOKUP('OPX_BN-1'!$A15,Tableau106[],5,FALSE)</f>
        <v>ARTI</v>
      </c>
      <c r="G15" s="327" t="str">
        <f>VLOOKUP('OPX_BN-1'!$A15,Tableau106[],7,FALSE)</f>
        <v>GROUPE</v>
      </c>
      <c r="H15" s="327" t="str">
        <f>VLOOKUP('OPX_BN-1'!$A15,Tableau106[],6,FALSE)</f>
        <v>S</v>
      </c>
      <c r="I15" s="327" t="str">
        <f>VLOOKUP('OPX_BN-1'!$A15,Tableau106[],9,FALSE)</f>
        <v>BaA</v>
      </c>
      <c r="J15" s="160">
        <v>-35863.065389305673</v>
      </c>
      <c r="K15" s="489">
        <v>-2100</v>
      </c>
      <c r="L15" s="490">
        <v>0</v>
      </c>
      <c r="M15" s="229">
        <v>0</v>
      </c>
      <c r="N15" s="229">
        <v>0</v>
      </c>
      <c r="O15" s="229">
        <v>0</v>
      </c>
      <c r="P15" s="229">
        <v>0</v>
      </c>
      <c r="Q15" s="230">
        <v>-2100</v>
      </c>
      <c r="R15" s="274">
        <f>SUM('OPX_BN-1'!$K15:$Q15)</f>
        <v>-4200</v>
      </c>
      <c r="S15" s="338">
        <v>0</v>
      </c>
      <c r="T15" s="423">
        <v>0</v>
      </c>
      <c r="U15" s="341"/>
      <c r="V15" s="423">
        <v>0</v>
      </c>
      <c r="W15" s="423">
        <v>0</v>
      </c>
      <c r="X15" s="423">
        <v>0</v>
      </c>
      <c r="Y15" s="423"/>
      <c r="Z15" s="264">
        <v>-2100</v>
      </c>
      <c r="AA15" s="423"/>
      <c r="AB15" s="273">
        <f>SUM('OPX_BN-1'!$T15:$AA15)</f>
        <v>-2100</v>
      </c>
      <c r="AC15" s="426"/>
      <c r="AD15" s="426"/>
      <c r="AE15" s="417">
        <v>0</v>
      </c>
      <c r="AF15" s="417">
        <v>0</v>
      </c>
      <c r="AG15" s="417">
        <v>0</v>
      </c>
      <c r="AH15" s="417">
        <v>0</v>
      </c>
      <c r="AI15" s="417">
        <v>0</v>
      </c>
      <c r="AJ15" s="271">
        <f>SUM('OPX_BN-1'!$AC15:$AI15)</f>
        <v>0</v>
      </c>
      <c r="AK15" s="429">
        <v>0</v>
      </c>
      <c r="AL15" s="276">
        <f>SUM('OPX_BN-1'!$J15,'OPX_BN-1'!$AB15,'OPX_BN-1'!$S15,'OPX_BN-1'!$AJ15,'OPX_BN-1'!$R15,'OPX_BN-1'!$AK15)</f>
        <v>-42163.065389305673</v>
      </c>
      <c r="AM15" s="427">
        <v>0</v>
      </c>
    </row>
    <row r="16" spans="1:40" ht="15">
      <c r="A16" s="329" t="s">
        <v>571</v>
      </c>
      <c r="B16" s="327" t="str">
        <f>VLOOKUP('OPX_BN-1'!$A16,Tableau106[],3,FALSE)</f>
        <v>A084</v>
      </c>
      <c r="C16" s="327" t="str">
        <f>VLOOKUP('OPX_BN-1'!$A16,Tableau106[],2,FALSE)</f>
        <v>FR34E93E</v>
      </c>
      <c r="D16" s="327" t="str">
        <f>VLOOKUP('OPX_BN-1'!$A16,Tableau106[],8,FALSE)</f>
        <v>EOLIEN</v>
      </c>
      <c r="E16" s="328">
        <f>VLOOKUP('OPX_BN-1'!$A16,Tableau106[],4,FALSE)</f>
        <v>14</v>
      </c>
      <c r="F16" s="327" t="str">
        <f>VLOOKUP('OPX_BN-1'!$A16,Tableau106[],5,FALSE)</f>
        <v>AUM3</v>
      </c>
      <c r="G16" s="327" t="str">
        <f>VLOOKUP('OPX_BN-1'!$A16,Tableau106[],7,FALSE)</f>
        <v>FUTUREN</v>
      </c>
      <c r="H16" s="327" t="str">
        <f>VLOOKUP('OPX_BN-1'!$A16,Tableau106[],6,FALSE)</f>
        <v>S</v>
      </c>
      <c r="I16" s="327" t="str">
        <f>VLOOKUP('OPX_BN-1'!$A16,Tableau106[],9,FALSE)</f>
        <v>KéD</v>
      </c>
      <c r="J16" s="160">
        <v>-414768.43159356836</v>
      </c>
      <c r="K16" s="489">
        <v>-21000</v>
      </c>
      <c r="L16" s="490">
        <v>0</v>
      </c>
      <c r="M16" s="229">
        <v>0</v>
      </c>
      <c r="N16" s="229">
        <v>0</v>
      </c>
      <c r="O16" s="229">
        <v>0</v>
      </c>
      <c r="P16" s="229">
        <v>-4900</v>
      </c>
      <c r="Q16" s="230">
        <v>-12550</v>
      </c>
      <c r="R16" s="274">
        <f>SUM('OPX_BN-1'!$K16:$Q16)</f>
        <v>-38450</v>
      </c>
      <c r="S16" s="338">
        <v>0</v>
      </c>
      <c r="T16" s="423">
        <v>0</v>
      </c>
      <c r="U16" s="341"/>
      <c r="V16" s="423">
        <v>-10000</v>
      </c>
      <c r="W16" s="423">
        <v>0</v>
      </c>
      <c r="X16" s="423">
        <v>0</v>
      </c>
      <c r="Y16" s="423"/>
      <c r="Z16" s="264">
        <v>-6250</v>
      </c>
      <c r="AA16" s="423"/>
      <c r="AB16" s="273">
        <f>SUM('OPX_BN-1'!$T16:$AA16)</f>
        <v>-16250</v>
      </c>
      <c r="AC16" s="426"/>
      <c r="AD16" s="426"/>
      <c r="AE16" s="417">
        <v>-47480</v>
      </c>
      <c r="AF16" s="417">
        <v>0</v>
      </c>
      <c r="AG16" s="417">
        <v>-25026</v>
      </c>
      <c r="AH16" s="417">
        <v>-43287.93</v>
      </c>
      <c r="AI16" s="417">
        <v>0</v>
      </c>
      <c r="AJ16" s="271">
        <f>SUM('OPX_BN-1'!$AC16:$AI16)</f>
        <v>-115793.93</v>
      </c>
      <c r="AK16" s="429">
        <v>-12000</v>
      </c>
      <c r="AL16" s="276">
        <f>SUM('OPX_BN-1'!$J16,'OPX_BN-1'!$AB16,'OPX_BN-1'!$S16,'OPX_BN-1'!$AJ16,'OPX_BN-1'!$R16,'OPX_BN-1'!$AK16)</f>
        <v>-597262.36159356835</v>
      </c>
      <c r="AM16" s="427">
        <v>0</v>
      </c>
    </row>
    <row r="17" spans="1:39" ht="15">
      <c r="A17" s="329" t="s">
        <v>494</v>
      </c>
      <c r="B17" s="327" t="str">
        <f>VLOOKUP('OPX_BN-1'!$A17,Tableau106[],3,FALSE)</f>
        <v>A530</v>
      </c>
      <c r="C17" s="327" t="str">
        <f>VLOOKUP('OPX_BN-1'!$A17,Tableau106[],2,FALSE)</f>
        <v>FR57E01E</v>
      </c>
      <c r="D17" s="327" t="str">
        <f>VLOOKUP('OPX_BN-1'!$A17,Tableau106[],8,FALSE)</f>
        <v>EOLIEN</v>
      </c>
      <c r="E17" s="328">
        <f>VLOOKUP('OPX_BN-1'!$A17,Tableau106[],4,FALSE)</f>
        <v>12</v>
      </c>
      <c r="F17" s="327" t="str">
        <f>VLOOKUP('OPX_BN-1'!$A17,Tableau106[],5,FALSE)</f>
        <v>BAMB</v>
      </c>
      <c r="G17" s="327" t="str">
        <f>VLOOKUP('OPX_BN-1'!$A17,Tableau106[],7,FALSE)</f>
        <v>GROUPE</v>
      </c>
      <c r="H17" s="327" t="str">
        <f>VLOOKUP('OPX_BN-1'!$A17,Tableau106[],6,FALSE)</f>
        <v>N</v>
      </c>
      <c r="I17" s="327" t="str">
        <f>VLOOKUP('OPX_BN-1'!$A17,Tableau106[],9,FALSE)</f>
        <v>HuB</v>
      </c>
      <c r="J17" s="160">
        <v>-12626.246851385387</v>
      </c>
      <c r="K17" s="489">
        <v>-7600</v>
      </c>
      <c r="L17" s="490">
        <v>0</v>
      </c>
      <c r="M17" s="229">
        <v>0</v>
      </c>
      <c r="N17" s="229">
        <v>0</v>
      </c>
      <c r="O17" s="229">
        <v>0</v>
      </c>
      <c r="P17" s="229">
        <v>0</v>
      </c>
      <c r="Q17" s="230">
        <v>-6000</v>
      </c>
      <c r="R17" s="274">
        <f>SUM('OPX_BN-1'!$K17:$Q17)</f>
        <v>-13600</v>
      </c>
      <c r="S17" s="338">
        <v>-363257.591312</v>
      </c>
      <c r="T17" s="423">
        <v>-2600</v>
      </c>
      <c r="U17" s="341"/>
      <c r="V17" s="423">
        <v>-1000</v>
      </c>
      <c r="W17" s="423">
        <v>0</v>
      </c>
      <c r="X17" s="423">
        <v>0</v>
      </c>
      <c r="Y17" s="423"/>
      <c r="Z17" s="264">
        <v>-6000</v>
      </c>
      <c r="AA17" s="423"/>
      <c r="AB17" s="273">
        <f>SUM('OPX_BN-1'!$T17:$AA17)</f>
        <v>-9600</v>
      </c>
      <c r="AC17" s="426"/>
      <c r="AD17" s="426"/>
      <c r="AE17" s="417">
        <v>0</v>
      </c>
      <c r="AF17" s="417">
        <v>0</v>
      </c>
      <c r="AG17" s="417">
        <v>0</v>
      </c>
      <c r="AH17" s="417">
        <v>0</v>
      </c>
      <c r="AI17" s="417">
        <v>0</v>
      </c>
      <c r="AJ17" s="271">
        <f>SUM('OPX_BN-1'!$AC17:$AI17)</f>
        <v>0</v>
      </c>
      <c r="AK17" s="429">
        <v>0</v>
      </c>
      <c r="AL17" s="276">
        <f>SUM('OPX_BN-1'!$J17,'OPX_BN-1'!$AB17,'OPX_BN-1'!$S17,'OPX_BN-1'!$AJ17,'OPX_BN-1'!$R17,'OPX_BN-1'!$AK17)</f>
        <v>-399083.8381633854</v>
      </c>
      <c r="AM17" s="427">
        <v>0</v>
      </c>
    </row>
    <row r="18" spans="1:39" ht="15">
      <c r="A18" s="329" t="s">
        <v>535</v>
      </c>
      <c r="B18" s="327" t="str">
        <f>VLOOKUP('OPX_BN-1'!$A18,Tableau106[],3,FALSE)</f>
        <v>A553</v>
      </c>
      <c r="C18" s="327" t="str">
        <f>VLOOKUP('OPX_BN-1'!$A18,Tableau106[],2,FALSE)</f>
        <v>FR62E02E</v>
      </c>
      <c r="D18" s="327" t="str">
        <f>VLOOKUP('OPX_BN-1'!$A18,Tableau106[],8,FALSE)</f>
        <v>EOLIEN</v>
      </c>
      <c r="E18" s="328">
        <f>VLOOKUP('OPX_BN-1'!$A18,Tableau106[],4,FALSE)</f>
        <v>15</v>
      </c>
      <c r="F18" s="327" t="str">
        <f>VLOOKUP('OPX_BN-1'!$A18,Tableau106[],5,FALSE)</f>
        <v>SBAP</v>
      </c>
      <c r="G18" s="327" t="str">
        <f>VLOOKUP('OPX_BN-1'!$A18,Tableau106[],7,FALSE)</f>
        <v>ENDF</v>
      </c>
      <c r="H18" s="327" t="str">
        <f>VLOOKUP('OPX_BN-1'!$A18,Tableau106[],6,FALSE)</f>
        <v>N</v>
      </c>
      <c r="I18" s="327" t="str">
        <f>VLOOKUP('OPX_BN-1'!$A18,Tableau106[],9,FALSE)</f>
        <v>NiD</v>
      </c>
      <c r="J18" s="160">
        <v>0</v>
      </c>
      <c r="K18" s="489">
        <v>-7500</v>
      </c>
      <c r="L18" s="490">
        <v>0</v>
      </c>
      <c r="M18" s="229">
        <v>0</v>
      </c>
      <c r="N18" s="229">
        <v>0</v>
      </c>
      <c r="O18" s="229">
        <v>0</v>
      </c>
      <c r="P18" s="229">
        <v>0</v>
      </c>
      <c r="Q18" s="230">
        <v>-7500</v>
      </c>
      <c r="R18" s="274">
        <f>SUM('OPX_BN-1'!$K18:$Q18)</f>
        <v>-15000</v>
      </c>
      <c r="S18" s="338">
        <v>-469783.9192</v>
      </c>
      <c r="T18" s="423">
        <v>-2000</v>
      </c>
      <c r="U18" s="341"/>
      <c r="V18" s="423">
        <v>0</v>
      </c>
      <c r="W18" s="423">
        <v>0</v>
      </c>
      <c r="X18" s="423">
        <v>0</v>
      </c>
      <c r="Y18" s="423"/>
      <c r="Z18" s="264">
        <v>-7500</v>
      </c>
      <c r="AA18" s="423"/>
      <c r="AB18" s="273">
        <f>SUM('OPX_BN-1'!$T18:$AA18)</f>
        <v>-9500</v>
      </c>
      <c r="AC18" s="426"/>
      <c r="AD18" s="426"/>
      <c r="AE18" s="417">
        <v>0</v>
      </c>
      <c r="AF18" s="417">
        <v>-10000</v>
      </c>
      <c r="AG18" s="417">
        <v>-25000</v>
      </c>
      <c r="AH18" s="417">
        <v>0</v>
      </c>
      <c r="AI18" s="417">
        <v>0</v>
      </c>
      <c r="AJ18" s="271">
        <f>SUM('OPX_BN-1'!$AC18:$AI18)</f>
        <v>-35000</v>
      </c>
      <c r="AK18" s="429">
        <v>0</v>
      </c>
      <c r="AL18" s="276">
        <f>SUM('OPX_BN-1'!$J18,'OPX_BN-1'!$AB18,'OPX_BN-1'!$S18,'OPX_BN-1'!$AJ18,'OPX_BN-1'!$R18,'OPX_BN-1'!$AK18)</f>
        <v>-529283.9192</v>
      </c>
      <c r="AM18" s="427">
        <v>-10000</v>
      </c>
    </row>
    <row r="19" spans="1:39" ht="15">
      <c r="A19" s="329" t="s">
        <v>583</v>
      </c>
      <c r="B19" s="327" t="str">
        <f>VLOOKUP('OPX_BN-1'!$A19,Tableau106[],3,FALSE)</f>
        <v>A095</v>
      </c>
      <c r="C19" s="327" t="str">
        <f>VLOOKUP('OPX_BN-1'!$A19,Tableau106[],2,FALSE)</f>
        <v>FR43E99E</v>
      </c>
      <c r="D19" s="327" t="str">
        <f>VLOOKUP('OPX_BN-1'!$A19,Tableau106[],8,FALSE)</f>
        <v>EOLIEN</v>
      </c>
      <c r="E19" s="328">
        <f>VLOOKUP('OPX_BN-1'!$A19,Tableau106[],4,FALSE)</f>
        <v>12</v>
      </c>
      <c r="F19" s="327" t="str">
        <f>VLOOKUP('OPX_BN-1'!$A19,Tableau106[],5,FALSE)</f>
        <v>BARB</v>
      </c>
      <c r="G19" s="327" t="str">
        <f>VLOOKUP('OPX_BN-1'!$A19,Tableau106[],7,FALSE)</f>
        <v>FUTUREN</v>
      </c>
      <c r="H19" s="327" t="str">
        <f>VLOOKUP('OPX_BN-1'!$A19,Tableau106[],6,FALSE)</f>
        <v>S</v>
      </c>
      <c r="I19" s="327" t="str">
        <f>VLOOKUP('OPX_BN-1'!$A19,Tableau106[],9,FALSE)</f>
        <v>OdP</v>
      </c>
      <c r="J19" s="160">
        <v>-12626.246851385387</v>
      </c>
      <c r="K19" s="489">
        <v>-6000</v>
      </c>
      <c r="L19" s="490">
        <v>0</v>
      </c>
      <c r="M19" s="229">
        <v>0</v>
      </c>
      <c r="N19" s="229">
        <v>-1500</v>
      </c>
      <c r="O19" s="229">
        <v>0</v>
      </c>
      <c r="P19" s="229">
        <v>-4200</v>
      </c>
      <c r="Q19" s="230">
        <v>-6000</v>
      </c>
      <c r="R19" s="274">
        <f>SUM('OPX_BN-1'!$K19:$Q19)</f>
        <v>-17700</v>
      </c>
      <c r="S19" s="338">
        <v>-287104.2</v>
      </c>
      <c r="T19" s="423">
        <v>0</v>
      </c>
      <c r="U19" s="341"/>
      <c r="V19" s="423">
        <v>-7500</v>
      </c>
      <c r="W19" s="423">
        <v>-7200</v>
      </c>
      <c r="X19" s="423">
        <v>-1300</v>
      </c>
      <c r="Y19" s="423"/>
      <c r="Z19" s="264">
        <v>-6000</v>
      </c>
      <c r="AA19" s="423"/>
      <c r="AB19" s="273">
        <f>SUM('OPX_BN-1'!$T19:$AA19)</f>
        <v>-22000</v>
      </c>
      <c r="AC19" s="426"/>
      <c r="AD19" s="426"/>
      <c r="AE19" s="417">
        <v>0</v>
      </c>
      <c r="AF19" s="417">
        <v>0</v>
      </c>
      <c r="AG19" s="417">
        <v>-12000</v>
      </c>
      <c r="AH19" s="417">
        <v>0</v>
      </c>
      <c r="AI19" s="417">
        <v>0</v>
      </c>
      <c r="AJ19" s="271">
        <f>SUM('OPX_BN-1'!$AC19:$AI19)</f>
        <v>-12000</v>
      </c>
      <c r="AK19" s="429">
        <v>0</v>
      </c>
      <c r="AL19" s="276">
        <f>SUM('OPX_BN-1'!$J19,'OPX_BN-1'!$AB19,'OPX_BN-1'!$S19,'OPX_BN-1'!$AJ19,'OPX_BN-1'!$R19,'OPX_BN-1'!$AK19)</f>
        <v>-351430.44685138541</v>
      </c>
      <c r="AM19" s="427">
        <v>0</v>
      </c>
    </row>
    <row r="20" spans="1:39" ht="15">
      <c r="A20" s="329" t="s">
        <v>525</v>
      </c>
      <c r="B20" s="327" t="str">
        <f>VLOOKUP('OPX_BN-1'!$A20,Tableau106[],3,FALSE)</f>
        <v>A554</v>
      </c>
      <c r="C20" s="327" t="str">
        <f>VLOOKUP('OPX_BN-1'!$A20,Tableau106[],2,FALSE)</f>
        <v>FR02E08E</v>
      </c>
      <c r="D20" s="327" t="str">
        <f>VLOOKUP('OPX_BN-1'!$A20,Tableau106[],8,FALSE)</f>
        <v>EOLIEN</v>
      </c>
      <c r="E20" s="328">
        <f>VLOOKUP('OPX_BN-1'!$A20,Tableau106[],4,FALSE)</f>
        <v>12</v>
      </c>
      <c r="F20" s="327" t="str">
        <f>VLOOKUP('OPX_BN-1'!$A20,Tableau106[],5,FALSE)</f>
        <v>BTS1</v>
      </c>
      <c r="G20" s="327" t="str">
        <f>VLOOKUP('OPX_BN-1'!$A20,Tableau106[],7,FALSE)</f>
        <v>ENDF</v>
      </c>
      <c r="H20" s="327" t="str">
        <f>VLOOKUP('OPX_BN-1'!$A20,Tableau106[],6,FALSE)</f>
        <v>N</v>
      </c>
      <c r="I20" s="327" t="str">
        <f>VLOOKUP('OPX_BN-1'!$A20,Tableau106[],9,FALSE)</f>
        <v>BoK</v>
      </c>
      <c r="J20" s="160">
        <v>0</v>
      </c>
      <c r="K20" s="489">
        <v>-6000</v>
      </c>
      <c r="L20" s="490">
        <v>0</v>
      </c>
      <c r="M20" s="229">
        <v>0</v>
      </c>
      <c r="N20" s="229">
        <v>0</v>
      </c>
      <c r="O20" s="229">
        <v>0</v>
      </c>
      <c r="P20" s="229">
        <v>0</v>
      </c>
      <c r="Q20" s="230">
        <v>-6000</v>
      </c>
      <c r="R20" s="274">
        <f>SUM('OPX_BN-1'!$K20:$Q20)</f>
        <v>-12000</v>
      </c>
      <c r="S20" s="338">
        <v>-361331.43774099997</v>
      </c>
      <c r="T20" s="423">
        <v>0</v>
      </c>
      <c r="U20" s="341"/>
      <c r="V20" s="423">
        <v>-2000</v>
      </c>
      <c r="W20" s="423">
        <v>0</v>
      </c>
      <c r="X20" s="423">
        <v>0</v>
      </c>
      <c r="Y20" s="423"/>
      <c r="Z20" s="264">
        <v>-6000</v>
      </c>
      <c r="AA20" s="423"/>
      <c r="AB20" s="273">
        <f>SUM('OPX_BN-1'!$T20:$AA20)</f>
        <v>-8000</v>
      </c>
      <c r="AC20" s="426"/>
      <c r="AD20" s="426"/>
      <c r="AE20" s="417">
        <v>0</v>
      </c>
      <c r="AF20" s="417">
        <v>0</v>
      </c>
      <c r="AG20" s="417">
        <v>0</v>
      </c>
      <c r="AH20" s="417">
        <v>0</v>
      </c>
      <c r="AI20" s="417">
        <v>0</v>
      </c>
      <c r="AJ20" s="271">
        <f>SUM('OPX_BN-1'!$AC20:$AI20)</f>
        <v>0</v>
      </c>
      <c r="AK20" s="429">
        <v>0</v>
      </c>
      <c r="AL20" s="276">
        <f>SUM('OPX_BN-1'!$J20,'OPX_BN-1'!$AB20,'OPX_BN-1'!$S20,'OPX_BN-1'!$AJ20,'OPX_BN-1'!$R20,'OPX_BN-1'!$AK20)</f>
        <v>-381331.43774099997</v>
      </c>
      <c r="AM20" s="427">
        <v>0</v>
      </c>
    </row>
    <row r="21" spans="1:39" ht="15">
      <c r="A21" s="329" t="s">
        <v>598</v>
      </c>
      <c r="B21" s="327" t="str">
        <f>VLOOKUP('OPX_BN-1'!$A21,Tableau106[],3,FALSE)</f>
        <v>A555</v>
      </c>
      <c r="C21" s="327" t="str">
        <f>VLOOKUP('OPX_BN-1'!$A21,Tableau106[],2,FALSE)</f>
        <v>FR02E09E</v>
      </c>
      <c r="D21" s="327" t="str">
        <f>VLOOKUP('OPX_BN-1'!$A21,Tableau106[],8,FALSE)</f>
        <v>EOLIEN</v>
      </c>
      <c r="E21" s="328">
        <f>VLOOKUP('OPX_BN-1'!$A21,Tableau106[],4,FALSE)</f>
        <v>12</v>
      </c>
      <c r="F21" s="327" t="str">
        <f>VLOOKUP('OPX_BN-1'!$A21,Tableau106[],5,FALSE)</f>
        <v>BTS2</v>
      </c>
      <c r="G21" s="327" t="str">
        <f>VLOOKUP('OPX_BN-1'!$A21,Tableau106[],7,FALSE)</f>
        <v>ENDF</v>
      </c>
      <c r="H21" s="327" t="str">
        <f>VLOOKUP('OPX_BN-1'!$A21,Tableau106[],6,FALSE)</f>
        <v>N</v>
      </c>
      <c r="I21" s="327" t="str">
        <f>VLOOKUP('OPX_BN-1'!$A21,Tableau106[],9,FALSE)</f>
        <v>BoK</v>
      </c>
      <c r="J21" s="160">
        <v>0</v>
      </c>
      <c r="K21" s="489">
        <v>-6000</v>
      </c>
      <c r="L21" s="490">
        <v>0</v>
      </c>
      <c r="M21" s="229">
        <v>0</v>
      </c>
      <c r="N21" s="229">
        <v>0</v>
      </c>
      <c r="O21" s="229">
        <v>-3000</v>
      </c>
      <c r="P21" s="229">
        <v>0</v>
      </c>
      <c r="Q21" s="230">
        <v>-6000</v>
      </c>
      <c r="R21" s="274">
        <f>SUM('OPX_BN-1'!$K21:$Q21)</f>
        <v>-15000</v>
      </c>
      <c r="S21" s="338">
        <v>-361331.43774099997</v>
      </c>
      <c r="T21" s="423">
        <v>0</v>
      </c>
      <c r="U21" s="341"/>
      <c r="V21" s="423">
        <v>0</v>
      </c>
      <c r="W21" s="423">
        <v>0</v>
      </c>
      <c r="X21" s="423">
        <v>-9000</v>
      </c>
      <c r="Y21" s="423"/>
      <c r="Z21" s="264">
        <v>-6000</v>
      </c>
      <c r="AA21" s="423"/>
      <c r="AB21" s="273">
        <f>SUM('OPX_BN-1'!$T21:$AA21)</f>
        <v>-15000</v>
      </c>
      <c r="AC21" s="426"/>
      <c r="AD21" s="426"/>
      <c r="AE21" s="417">
        <v>0</v>
      </c>
      <c r="AF21" s="417">
        <v>0</v>
      </c>
      <c r="AG21" s="417">
        <v>0</v>
      </c>
      <c r="AH21" s="417">
        <v>0</v>
      </c>
      <c r="AI21" s="417">
        <v>0</v>
      </c>
      <c r="AJ21" s="271">
        <f>SUM('OPX_BN-1'!$AC21:$AI21)</f>
        <v>0</v>
      </c>
      <c r="AK21" s="429">
        <v>0</v>
      </c>
      <c r="AL21" s="276">
        <f>SUM('OPX_BN-1'!$J21,'OPX_BN-1'!$AB21,'OPX_BN-1'!$S21,'OPX_BN-1'!$AJ21,'OPX_BN-1'!$R21,'OPX_BN-1'!$AK21)</f>
        <v>-391331.43774099997</v>
      </c>
      <c r="AM21" s="427">
        <v>-10000</v>
      </c>
    </row>
    <row r="22" spans="1:39" ht="15">
      <c r="A22" s="329" t="s">
        <v>489</v>
      </c>
      <c r="B22" s="327" t="str">
        <f>VLOOKUP('OPX_BN-1'!$A22,Tableau106[],3,FALSE)</f>
        <v>A905</v>
      </c>
      <c r="C22" s="327" t="str">
        <f>VLOOKUP('OPX_BN-1'!$A22,Tableau106[],2,FALSE)</f>
        <v>FR69E01E</v>
      </c>
      <c r="D22" s="327" t="str">
        <f>VLOOKUP('OPX_BN-1'!$A22,Tableau106[],8,FALSE)</f>
        <v>EOLIEN</v>
      </c>
      <c r="E22" s="328">
        <f>VLOOKUP('OPX_BN-1'!$A22,Tableau106[],4,FALSE)</f>
        <v>12</v>
      </c>
      <c r="F22" s="327" t="str">
        <f>VLOOKUP('OPX_BN-1'!$A22,Tableau106[],5,FALSE)</f>
        <v>BVER</v>
      </c>
      <c r="G22" s="327" t="str">
        <f>VLOOKUP('OPX_BN-1'!$A22,Tableau106[],7,FALSE)</f>
        <v>GROUPE</v>
      </c>
      <c r="H22" s="327" t="str">
        <f>VLOOKUP('OPX_BN-1'!$A22,Tableau106[],6,FALSE)</f>
        <v>S</v>
      </c>
      <c r="I22" s="327" t="str">
        <f>VLOOKUP('OPX_BN-1'!$A22,Tableau106[],9,FALSE)</f>
        <v>KéC</v>
      </c>
      <c r="J22" s="160">
        <v>0</v>
      </c>
      <c r="K22" s="489">
        <v>-6000</v>
      </c>
      <c r="L22" s="490">
        <v>0</v>
      </c>
      <c r="M22" s="229">
        <v>0</v>
      </c>
      <c r="N22" s="229">
        <v>0</v>
      </c>
      <c r="O22" s="229">
        <v>0</v>
      </c>
      <c r="P22" s="229">
        <v>-4200</v>
      </c>
      <c r="Q22" s="230">
        <v>-3000</v>
      </c>
      <c r="R22" s="274">
        <f>SUM('OPX_BN-1'!$K22:$Q22)</f>
        <v>-13200</v>
      </c>
      <c r="S22" s="338">
        <v>-156285.4767</v>
      </c>
      <c r="T22" s="423">
        <v>0</v>
      </c>
      <c r="U22" s="341"/>
      <c r="V22" s="423">
        <v>0</v>
      </c>
      <c r="W22" s="423">
        <v>-800</v>
      </c>
      <c r="X22" s="423">
        <v>0</v>
      </c>
      <c r="Y22" s="423"/>
      <c r="Z22" s="264">
        <v>-6000</v>
      </c>
      <c r="AA22" s="423"/>
      <c r="AB22" s="273">
        <f>SUM('OPX_BN-1'!$T22:$AA22)</f>
        <v>-6800</v>
      </c>
      <c r="AC22" s="426"/>
      <c r="AD22" s="426"/>
      <c r="AE22" s="417">
        <v>-5650</v>
      </c>
      <c r="AF22" s="417">
        <v>0</v>
      </c>
      <c r="AG22" s="417">
        <v>0</v>
      </c>
      <c r="AH22" s="417">
        <v>0</v>
      </c>
      <c r="AI22" s="417">
        <v>0</v>
      </c>
      <c r="AJ22" s="271">
        <f>SUM('OPX_BN-1'!$AC22:$AI22)</f>
        <v>-5650</v>
      </c>
      <c r="AK22" s="429">
        <v>-10000</v>
      </c>
      <c r="AL22" s="276">
        <f>SUM('OPX_BN-1'!$J22,'OPX_BN-1'!$AB22,'OPX_BN-1'!$S22,'OPX_BN-1'!$AJ22,'OPX_BN-1'!$R22,'OPX_BN-1'!$AK22)</f>
        <v>-191935.4767</v>
      </c>
      <c r="AM22" s="427">
        <v>0</v>
      </c>
    </row>
    <row r="23" spans="1:39" ht="15">
      <c r="A23" s="329" t="s">
        <v>454</v>
      </c>
      <c r="B23" s="327" t="str">
        <f>VLOOKUP('OPX_BN-1'!$A23,Tableau106[],3,FALSE)</f>
        <v>A295</v>
      </c>
      <c r="C23" s="327" t="str">
        <f>VLOOKUP('OPX_BN-1'!$A23,Tableau106[],2,FALSE)</f>
        <v>FR85S02E</v>
      </c>
      <c r="D23" s="327" t="str">
        <f>VLOOKUP('OPX_BN-1'!$A23,Tableau106[],8,FALSE)</f>
        <v>SOLAIRE</v>
      </c>
      <c r="E23" s="328">
        <f>VLOOKUP('OPX_BN-1'!$A23,Tableau106[],4,FALSE)</f>
        <v>12.8</v>
      </c>
      <c r="F23" s="327" t="str">
        <f>VLOOKUP('OPX_BN-1'!$A23,Tableau106[],5,FALSE)</f>
        <v>BEAU</v>
      </c>
      <c r="G23" s="327" t="str">
        <f>VLOOKUP('OPX_BN-1'!$A23,Tableau106[],7,FALSE)</f>
        <v>GROUPE</v>
      </c>
      <c r="H23" s="327" t="str">
        <f>VLOOKUP('OPX_BN-1'!$A23,Tableau106[],6,FALSE)</f>
        <v>N</v>
      </c>
      <c r="I23" s="327" t="str">
        <f>VLOOKUP('OPX_BN-1'!$A23,Tableau106[],9,FALSE)</f>
        <v>ZaA</v>
      </c>
      <c r="J23" s="160">
        <v>-65025</v>
      </c>
      <c r="K23" s="489">
        <v>-6375</v>
      </c>
      <c r="L23" s="490">
        <v>0</v>
      </c>
      <c r="M23" s="229">
        <v>0</v>
      </c>
      <c r="N23" s="229">
        <v>0</v>
      </c>
      <c r="O23" s="229">
        <v>0</v>
      </c>
      <c r="P23" s="229">
        <v>0</v>
      </c>
      <c r="Q23" s="230">
        <v>-6375</v>
      </c>
      <c r="R23" s="274">
        <f>SUM('OPX_BN-1'!$K23:$Q23)</f>
        <v>-12750</v>
      </c>
      <c r="S23" s="338">
        <v>0</v>
      </c>
      <c r="T23" s="423">
        <v>0</v>
      </c>
      <c r="U23" s="341"/>
      <c r="V23" s="423">
        <v>0</v>
      </c>
      <c r="W23" s="423">
        <v>0</v>
      </c>
      <c r="X23" s="423">
        <v>0</v>
      </c>
      <c r="Y23" s="423"/>
      <c r="Z23" s="264">
        <v>-6375</v>
      </c>
      <c r="AA23" s="423"/>
      <c r="AB23" s="273">
        <f>SUM('OPX_BN-1'!$T23:$AA23)</f>
        <v>-6375</v>
      </c>
      <c r="AC23" s="426"/>
      <c r="AD23" s="426"/>
      <c r="AE23" s="417">
        <v>0</v>
      </c>
      <c r="AF23" s="417">
        <v>0</v>
      </c>
      <c r="AG23" s="417">
        <v>0</v>
      </c>
      <c r="AH23" s="417">
        <v>-5000</v>
      </c>
      <c r="AI23" s="417">
        <v>0</v>
      </c>
      <c r="AJ23" s="271">
        <f>SUM('OPX_BN-1'!$AC23:$AI23)</f>
        <v>-5000</v>
      </c>
      <c r="AK23" s="429">
        <v>0</v>
      </c>
      <c r="AL23" s="276">
        <f>SUM('OPX_BN-1'!$J23,'OPX_BN-1'!$AB23,'OPX_BN-1'!$S23,'OPX_BN-1'!$AJ23,'OPX_BN-1'!$R23,'OPX_BN-1'!$AK23)</f>
        <v>-89150</v>
      </c>
      <c r="AM23" s="427">
        <v>0</v>
      </c>
    </row>
    <row r="24" spans="1:39" ht="15">
      <c r="A24" s="329" t="s">
        <v>473</v>
      </c>
      <c r="B24" s="327" t="str">
        <f>VLOOKUP('OPX_BN-1'!$A24,Tableau106[],3,FALSE)</f>
        <v>A177</v>
      </c>
      <c r="C24" s="327" t="str">
        <f>VLOOKUP('OPX_BN-1'!$A24,Tableau106[],2,FALSE)</f>
        <v>FR88E99E</v>
      </c>
      <c r="D24" s="327" t="str">
        <f>VLOOKUP('OPX_BN-1'!$A24,Tableau106[],8,FALSE)</f>
        <v>EOLIEN</v>
      </c>
      <c r="E24" s="328">
        <f>VLOOKUP('OPX_BN-1'!$A24,Tableau106[],4,FALSE)</f>
        <v>20</v>
      </c>
      <c r="F24" s="327" t="str">
        <f>VLOOKUP('OPX_BN-1'!$A24,Tableau106[],5,FALSE)</f>
        <v>BDBS</v>
      </c>
      <c r="G24" s="327" t="str">
        <f>VLOOKUP('OPX_BN-1'!$A24,Tableau106[],7,FALSE)</f>
        <v>GROUPE</v>
      </c>
      <c r="H24" s="327" t="str">
        <f>VLOOKUP('OPX_BN-1'!$A24,Tableau106[],6,FALSE)</f>
        <v>N</v>
      </c>
      <c r="I24" s="327" t="str">
        <f>VLOOKUP('OPX_BN-1'!$A24,Tableau106[],9,FALSE)</f>
        <v>AyB</v>
      </c>
      <c r="J24" s="160">
        <v>0</v>
      </c>
      <c r="K24" s="489">
        <v>-10000</v>
      </c>
      <c r="L24" s="490">
        <v>0</v>
      </c>
      <c r="M24" s="229">
        <v>0</v>
      </c>
      <c r="N24" s="229">
        <v>0</v>
      </c>
      <c r="O24" s="229">
        <v>-2700</v>
      </c>
      <c r="P24" s="229">
        <v>-7000</v>
      </c>
      <c r="Q24" s="230">
        <v>-10000</v>
      </c>
      <c r="R24" s="274">
        <f>SUM('OPX_BN-1'!$K24:$Q24)</f>
        <v>-29700</v>
      </c>
      <c r="S24" s="338">
        <v>-442677.00670000003</v>
      </c>
      <c r="T24" s="423">
        <v>-5000</v>
      </c>
      <c r="U24" s="341"/>
      <c r="V24" s="423">
        <v>-5000</v>
      </c>
      <c r="W24" s="423">
        <v>-4500</v>
      </c>
      <c r="X24" s="423">
        <v>-20000</v>
      </c>
      <c r="Y24" s="423"/>
      <c r="Z24" s="264">
        <v>-10000</v>
      </c>
      <c r="AA24" s="423"/>
      <c r="AB24" s="273">
        <f>SUM('OPX_BN-1'!$T24:$AA24)</f>
        <v>-44500</v>
      </c>
      <c r="AC24" s="426"/>
      <c r="AD24" s="426"/>
      <c r="AE24" s="417">
        <v>-15000</v>
      </c>
      <c r="AF24" s="417">
        <v>0</v>
      </c>
      <c r="AG24" s="417">
        <v>0</v>
      </c>
      <c r="AH24" s="417">
        <v>0</v>
      </c>
      <c r="AI24" s="417">
        <v>-2500</v>
      </c>
      <c r="AJ24" s="271">
        <f>SUM('OPX_BN-1'!$AC24:$AI24)</f>
        <v>-17500</v>
      </c>
      <c r="AK24" s="429">
        <v>0</v>
      </c>
      <c r="AL24" s="276">
        <f>SUM('OPX_BN-1'!$J24,'OPX_BN-1'!$AB24,'OPX_BN-1'!$S24,'OPX_BN-1'!$AJ24,'OPX_BN-1'!$R24,'OPX_BN-1'!$AK24)</f>
        <v>-534377.00670000003</v>
      </c>
      <c r="AM24" s="427">
        <v>0</v>
      </c>
    </row>
    <row r="25" spans="1:39" ht="15">
      <c r="A25" s="329" t="s">
        <v>457</v>
      </c>
      <c r="B25" s="327" t="str">
        <f>VLOOKUP('OPX_BN-1'!$A25,Tableau106[],3,FALSE)</f>
        <v>A133</v>
      </c>
      <c r="C25" s="327" t="str">
        <f>VLOOKUP('OPX_BN-1'!$A25,Tableau106[],2,FALSE)</f>
        <v>FR84S01E</v>
      </c>
      <c r="D25" s="327" t="str">
        <f>VLOOKUP('OPX_BN-1'!$A25,Tableau106[],8,FALSE)</f>
        <v>SOLAIRE</v>
      </c>
      <c r="E25" s="328">
        <f>VLOOKUP('OPX_BN-1'!$A25,Tableau106[],4,FALSE)</f>
        <v>2.61</v>
      </c>
      <c r="F25" s="327" t="str">
        <f>VLOOKUP('OPX_BN-1'!$A25,Tableau106[],5,FALSE)</f>
        <v>BLAU</v>
      </c>
      <c r="G25" s="327" t="str">
        <f>VLOOKUP('OPX_BN-1'!$A25,Tableau106[],7,FALSE)</f>
        <v>GROUPE</v>
      </c>
      <c r="H25" s="327" t="str">
        <f>VLOOKUP('OPX_BN-1'!$A25,Tableau106[],6,FALSE)</f>
        <v>S</v>
      </c>
      <c r="I25" s="327" t="str">
        <f>VLOOKUP('OPX_BN-1'!$A25,Tableau106[],9,FALSE)</f>
        <v>ArB</v>
      </c>
      <c r="J25" s="160">
        <v>-91070.639942483875</v>
      </c>
      <c r="K25" s="489">
        <v>-1305</v>
      </c>
      <c r="L25" s="490">
        <v>0</v>
      </c>
      <c r="M25" s="229">
        <v>0</v>
      </c>
      <c r="N25" s="229">
        <v>0</v>
      </c>
      <c r="O25" s="229">
        <v>0</v>
      </c>
      <c r="P25" s="229">
        <v>0</v>
      </c>
      <c r="Q25" s="230">
        <v>-1305</v>
      </c>
      <c r="R25" s="274">
        <f>SUM('OPX_BN-1'!$K25:$Q25)</f>
        <v>-2610</v>
      </c>
      <c r="S25" s="338">
        <v>0</v>
      </c>
      <c r="T25" s="423">
        <v>0</v>
      </c>
      <c r="U25" s="341"/>
      <c r="V25" s="423">
        <v>0</v>
      </c>
      <c r="W25" s="423">
        <v>0</v>
      </c>
      <c r="X25" s="423">
        <v>0</v>
      </c>
      <c r="Y25" s="423"/>
      <c r="Z25" s="264">
        <v>-1305</v>
      </c>
      <c r="AA25" s="423"/>
      <c r="AB25" s="273">
        <f>SUM('OPX_BN-1'!$T25:$AA25)</f>
        <v>-1305</v>
      </c>
      <c r="AC25" s="426"/>
      <c r="AD25" s="426"/>
      <c r="AE25" s="417">
        <v>0</v>
      </c>
      <c r="AF25" s="417">
        <v>0</v>
      </c>
      <c r="AG25" s="417">
        <v>0</v>
      </c>
      <c r="AH25" s="417">
        <v>0</v>
      </c>
      <c r="AI25" s="417">
        <v>0</v>
      </c>
      <c r="AJ25" s="271">
        <f>SUM('OPX_BN-1'!$AC25:$AI25)</f>
        <v>0</v>
      </c>
      <c r="AK25" s="429">
        <v>-7000</v>
      </c>
      <c r="AL25" s="276">
        <f>SUM('OPX_BN-1'!$J25,'OPX_BN-1'!$AB25,'OPX_BN-1'!$S25,'OPX_BN-1'!$AJ25,'OPX_BN-1'!$R25,'OPX_BN-1'!$AK25)</f>
        <v>-101985.63994248387</v>
      </c>
      <c r="AM25" s="427">
        <v>0</v>
      </c>
    </row>
    <row r="26" spans="1:39" ht="15">
      <c r="A26" s="329" t="s">
        <v>437</v>
      </c>
      <c r="B26" s="327" t="str">
        <f>VLOOKUP('OPX_BN-1'!$A26,Tableau106[],3,FALSE)</f>
        <v>A541</v>
      </c>
      <c r="C26" s="327" t="str">
        <f>VLOOKUP('OPX_BN-1'!$A26,Tableau106[],2,FALSE)</f>
        <v>FR57E05E</v>
      </c>
      <c r="D26" s="327" t="str">
        <f>VLOOKUP('OPX_BN-1'!$A26,Tableau106[],8,FALSE)</f>
        <v>EOLIEN</v>
      </c>
      <c r="E26" s="328">
        <f>VLOOKUP('OPX_BN-1'!$A26,Tableau106[],4,FALSE)</f>
        <v>10.5</v>
      </c>
      <c r="F26" s="327" t="str">
        <f>VLOOKUP('OPX_BN-1'!$A26,Tableau106[],5,FALSE)</f>
        <v>BOUS</v>
      </c>
      <c r="G26" s="327" t="str">
        <f>VLOOKUP('OPX_BN-1'!$A26,Tableau106[],7,FALSE)</f>
        <v>EGM</v>
      </c>
      <c r="H26" s="327" t="str">
        <f>VLOOKUP('OPX_BN-1'!$A26,Tableau106[],6,FALSE)</f>
        <v>N</v>
      </c>
      <c r="I26" s="327" t="str">
        <f>VLOOKUP('OPX_BN-1'!$A26,Tableau106[],9,FALSE)</f>
        <v>NoS</v>
      </c>
      <c r="J26" s="160">
        <v>-256678.59608762685</v>
      </c>
      <c r="K26" s="489">
        <v>-5250</v>
      </c>
      <c r="L26" s="490">
        <v>-34722.222222222226</v>
      </c>
      <c r="M26" s="229">
        <v>0</v>
      </c>
      <c r="N26" s="229">
        <v>0</v>
      </c>
      <c r="O26" s="229">
        <v>0</v>
      </c>
      <c r="P26" s="229">
        <v>-3675</v>
      </c>
      <c r="Q26" s="230">
        <v>-5250</v>
      </c>
      <c r="R26" s="274">
        <f>SUM('OPX_BN-1'!$K26:$Q26)</f>
        <v>-48897.222222222226</v>
      </c>
      <c r="S26" s="338">
        <v>0</v>
      </c>
      <c r="T26" s="423">
        <v>0</v>
      </c>
      <c r="U26" s="341"/>
      <c r="V26" s="423">
        <v>-2000</v>
      </c>
      <c r="W26" s="423">
        <v>0</v>
      </c>
      <c r="X26" s="423">
        <v>0</v>
      </c>
      <c r="Y26" s="423"/>
      <c r="Z26" s="264">
        <v>-5250</v>
      </c>
      <c r="AA26" s="423"/>
      <c r="AB26" s="273">
        <f>SUM('OPX_BN-1'!$T26:$AA26)</f>
        <v>-7250</v>
      </c>
      <c r="AC26" s="426"/>
      <c r="AD26" s="426"/>
      <c r="AE26" s="417">
        <v>-12000</v>
      </c>
      <c r="AF26" s="417">
        <v>0</v>
      </c>
      <c r="AG26" s="417">
        <v>0</v>
      </c>
      <c r="AH26" s="417">
        <v>0</v>
      </c>
      <c r="AI26" s="417">
        <v>0</v>
      </c>
      <c r="AJ26" s="271">
        <f>SUM('OPX_BN-1'!$AC26:$AI26)</f>
        <v>-12000</v>
      </c>
      <c r="AK26" s="429">
        <v>0</v>
      </c>
      <c r="AL26" s="276">
        <f>SUM('OPX_BN-1'!$J26,'OPX_BN-1'!$AB26,'OPX_BN-1'!$S26,'OPX_BN-1'!$AJ26,'OPX_BN-1'!$R26,'OPX_BN-1'!$AK26)</f>
        <v>-324825.81830984913</v>
      </c>
      <c r="AM26" s="427">
        <v>0</v>
      </c>
    </row>
    <row r="27" spans="1:39" ht="15">
      <c r="A27" s="329" t="s">
        <v>459</v>
      </c>
      <c r="B27" s="327" t="str">
        <f>VLOOKUP('OPX_BN-1'!$A27,Tableau106[],3,FALSE)</f>
        <v>A145</v>
      </c>
      <c r="C27" s="327" t="str">
        <f>VLOOKUP('OPX_BN-1'!$A27,Tableau106[],2,FALSE)</f>
        <v>FR31S01E</v>
      </c>
      <c r="D27" s="327" t="str">
        <f>VLOOKUP('OPX_BN-1'!$A27,Tableau106[],8,FALSE)</f>
        <v>SOLAIRE</v>
      </c>
      <c r="E27" s="328">
        <f>VLOOKUP('OPX_BN-1'!$A27,Tableau106[],4,FALSE)</f>
        <v>10.15</v>
      </c>
      <c r="F27" s="327" t="str">
        <f>VLOOKUP('OPX_BN-1'!$A27,Tableau106[],5,FALSE)</f>
        <v>BOUL</v>
      </c>
      <c r="G27" s="327" t="str">
        <f>VLOOKUP('OPX_BN-1'!$A27,Tableau106[],7,FALSE)</f>
        <v>GROUPE</v>
      </c>
      <c r="H27" s="327" t="str">
        <f>VLOOKUP('OPX_BN-1'!$A27,Tableau106[],6,FALSE)</f>
        <v>S</v>
      </c>
      <c r="I27" s="327" t="str">
        <f>VLOOKUP('OPX_BN-1'!$A27,Tableau106[],9,FALSE)</f>
        <v>BaA</v>
      </c>
      <c r="J27" s="160">
        <v>-286256.19418276625</v>
      </c>
      <c r="K27" s="489">
        <v>-25075</v>
      </c>
      <c r="L27" s="490">
        <v>0</v>
      </c>
      <c r="M27" s="229">
        <v>0</v>
      </c>
      <c r="N27" s="229">
        <v>0</v>
      </c>
      <c r="O27" s="229">
        <v>0</v>
      </c>
      <c r="P27" s="229">
        <v>-70000</v>
      </c>
      <c r="Q27" s="230">
        <v>-3000</v>
      </c>
      <c r="R27" s="274">
        <f>SUM('OPX_BN-1'!$K27:$Q27)</f>
        <v>-98075</v>
      </c>
      <c r="S27" s="338">
        <v>0</v>
      </c>
      <c r="T27" s="423">
        <v>0</v>
      </c>
      <c r="U27" s="341"/>
      <c r="V27" s="423">
        <v>0</v>
      </c>
      <c r="W27" s="423">
        <v>0</v>
      </c>
      <c r="X27" s="423">
        <v>0</v>
      </c>
      <c r="Y27" s="423"/>
      <c r="Z27" s="264">
        <v>-3000</v>
      </c>
      <c r="AA27" s="423"/>
      <c r="AB27" s="273">
        <f>SUM('OPX_BN-1'!$T27:$AA27)</f>
        <v>-3000</v>
      </c>
      <c r="AC27" s="426"/>
      <c r="AD27" s="426"/>
      <c r="AE27" s="417">
        <v>0</v>
      </c>
      <c r="AF27" s="417">
        <v>0</v>
      </c>
      <c r="AG27" s="417">
        <v>0</v>
      </c>
      <c r="AH27" s="417">
        <v>-4400</v>
      </c>
      <c r="AI27" s="417">
        <v>0</v>
      </c>
      <c r="AJ27" s="271">
        <f>SUM('OPX_BN-1'!$AC27:$AI27)</f>
        <v>-4400</v>
      </c>
      <c r="AK27" s="429">
        <v>-20000</v>
      </c>
      <c r="AL27" s="276">
        <f>SUM('OPX_BN-1'!$J27,'OPX_BN-1'!$AB27,'OPX_BN-1'!$S27,'OPX_BN-1'!$AJ27,'OPX_BN-1'!$R27,'OPX_BN-1'!$AK27)</f>
        <v>-411731.19418276625</v>
      </c>
      <c r="AM27" s="427">
        <v>0</v>
      </c>
    </row>
    <row r="28" spans="1:39" ht="15">
      <c r="A28" s="329" t="s">
        <v>54</v>
      </c>
      <c r="B28" s="327" t="str">
        <f>VLOOKUP('OPX_BN-1'!$A28,Tableau106[],3,FALSE)</f>
        <v>A272</v>
      </c>
      <c r="C28" s="327" t="str">
        <f>VLOOKUP('OPX_BN-1'!$A28,Tableau106[],2,FALSE)</f>
        <v>FR45S03E</v>
      </c>
      <c r="D28" s="327" t="str">
        <f>VLOOKUP('OPX_BN-1'!$A28,Tableau106[],8,FALSE)</f>
        <v>SOLAIRE</v>
      </c>
      <c r="E28" s="328">
        <f>VLOOKUP('OPX_BN-1'!$A28,Tableau106[],4,FALSE)</f>
        <v>15.5</v>
      </c>
      <c r="F28" s="327" t="str">
        <f>VLOOKUP('OPX_BN-1'!$A28,Tableau106[],5,FALSE)</f>
        <v>BRIA</v>
      </c>
      <c r="G28" s="327" t="str">
        <f>VLOOKUP('OPX_BN-1'!$A28,Tableau106[],7,FALSE)</f>
        <v>GROUPE</v>
      </c>
      <c r="H28" s="327" t="str">
        <f>VLOOKUP('OPX_BN-1'!$A28,Tableau106[],6,FALSE)</f>
        <v>N</v>
      </c>
      <c r="I28" s="327" t="str">
        <f>VLOOKUP('OPX_BN-1'!$A28,Tableau106[],9,FALSE)</f>
        <v>LoG</v>
      </c>
      <c r="J28" s="160">
        <v>-79050</v>
      </c>
      <c r="K28" s="489">
        <v>-7750</v>
      </c>
      <c r="L28" s="490">
        <v>0</v>
      </c>
      <c r="M28" s="229">
        <v>0</v>
      </c>
      <c r="N28" s="229">
        <v>0</v>
      </c>
      <c r="O28" s="229">
        <v>0</v>
      </c>
      <c r="P28" s="229">
        <v>0</v>
      </c>
      <c r="Q28" s="230">
        <v>-7750</v>
      </c>
      <c r="R28" s="274">
        <f>SUM('OPX_BN-1'!$K28:$Q28)</f>
        <v>-15500</v>
      </c>
      <c r="S28" s="338">
        <v>0</v>
      </c>
      <c r="T28" s="423">
        <v>0</v>
      </c>
      <c r="U28" s="341"/>
      <c r="V28" s="423">
        <v>0</v>
      </c>
      <c r="W28" s="423">
        <v>0</v>
      </c>
      <c r="X28" s="423">
        <v>0</v>
      </c>
      <c r="Y28" s="423"/>
      <c r="Z28" s="264">
        <v>-7750</v>
      </c>
      <c r="AA28" s="423"/>
      <c r="AB28" s="273">
        <f>SUM('OPX_BN-1'!$T28:$AA28)</f>
        <v>-7750</v>
      </c>
      <c r="AC28" s="426"/>
      <c r="AD28" s="426"/>
      <c r="AE28" s="417">
        <v>0</v>
      </c>
      <c r="AF28" s="417">
        <v>0</v>
      </c>
      <c r="AG28" s="417">
        <v>0</v>
      </c>
      <c r="AH28" s="417">
        <v>0</v>
      </c>
      <c r="AI28" s="417">
        <v>0</v>
      </c>
      <c r="AJ28" s="271">
        <f>SUM('OPX_BN-1'!$AC28:$AI28)</f>
        <v>0</v>
      </c>
      <c r="AK28" s="429">
        <v>0</v>
      </c>
      <c r="AL28" s="276">
        <f>SUM('OPX_BN-1'!$J28,'OPX_BN-1'!$AB28,'OPX_BN-1'!$S28,'OPX_BN-1'!$AJ28,'OPX_BN-1'!$R28,'OPX_BN-1'!$AK28)</f>
        <v>-102300</v>
      </c>
      <c r="AM28" s="427">
        <v>0</v>
      </c>
    </row>
    <row r="29" spans="1:39" ht="15">
      <c r="A29" s="329" t="s">
        <v>510</v>
      </c>
      <c r="B29" s="327" t="str">
        <f>VLOOKUP('OPX_BN-1'!$A29,Tableau106[],3,FALSE)</f>
        <v>A540</v>
      </c>
      <c r="C29" s="327" t="str">
        <f>VLOOKUP('OPX_BN-1'!$A29,Tableau106[],2,FALSE)</f>
        <v>FR02E03E</v>
      </c>
      <c r="D29" s="327" t="str">
        <f>VLOOKUP('OPX_BN-1'!$A29,Tableau106[],8,FALSE)</f>
        <v>EOLIEN</v>
      </c>
      <c r="E29" s="328">
        <f>VLOOKUP('OPX_BN-1'!$A29,Tableau106[],4,FALSE)</f>
        <v>6</v>
      </c>
      <c r="F29" s="327" t="str">
        <f>VLOOKUP('OPX_BN-1'!$A29,Tableau106[],5,FALSE)</f>
        <v>BRIY</v>
      </c>
      <c r="G29" s="327" t="str">
        <f>VLOOKUP('OPX_BN-1'!$A29,Tableau106[],7,FALSE)</f>
        <v>EGM</v>
      </c>
      <c r="H29" s="327" t="str">
        <f>VLOOKUP('OPX_BN-1'!$A29,Tableau106[],6,FALSE)</f>
        <v>N</v>
      </c>
      <c r="I29" s="327" t="str">
        <f>VLOOKUP('OPX_BN-1'!$A29,Tableau106[],9,FALSE)</f>
        <v>NoS</v>
      </c>
      <c r="J29" s="160">
        <v>-154007.1576525761</v>
      </c>
      <c r="K29" s="489">
        <v>-3000</v>
      </c>
      <c r="L29" s="490">
        <v>-19841.269841269841</v>
      </c>
      <c r="M29" s="229">
        <v>0</v>
      </c>
      <c r="N29" s="229">
        <v>0</v>
      </c>
      <c r="O29" s="229">
        <v>0</v>
      </c>
      <c r="P29" s="229">
        <v>-2100</v>
      </c>
      <c r="Q29" s="230">
        <v>-3000</v>
      </c>
      <c r="R29" s="274">
        <f>SUM('OPX_BN-1'!$K29:$Q29)</f>
        <v>-27941.269841269841</v>
      </c>
      <c r="S29" s="338">
        <v>0</v>
      </c>
      <c r="T29" s="423">
        <v>0</v>
      </c>
      <c r="U29" s="341"/>
      <c r="V29" s="423">
        <v>-1000</v>
      </c>
      <c r="W29" s="423">
        <v>0</v>
      </c>
      <c r="X29" s="423">
        <v>0</v>
      </c>
      <c r="Y29" s="423"/>
      <c r="Z29" s="264">
        <v>-3000</v>
      </c>
      <c r="AA29" s="423"/>
      <c r="AB29" s="273">
        <f>SUM('OPX_BN-1'!$T29:$AA29)</f>
        <v>-4000</v>
      </c>
      <c r="AC29" s="426"/>
      <c r="AD29" s="426"/>
      <c r="AE29" s="417">
        <v>0</v>
      </c>
      <c r="AF29" s="417">
        <v>0</v>
      </c>
      <c r="AG29" s="417">
        <v>0</v>
      </c>
      <c r="AH29" s="417">
        <v>0</v>
      </c>
      <c r="AI29" s="417">
        <v>0</v>
      </c>
      <c r="AJ29" s="271">
        <f>SUM('OPX_BN-1'!$AC29:$AI29)</f>
        <v>0</v>
      </c>
      <c r="AK29" s="429">
        <v>0</v>
      </c>
      <c r="AL29" s="276">
        <f>SUM('OPX_BN-1'!$J29,'OPX_BN-1'!$AB29,'OPX_BN-1'!$S29,'OPX_BN-1'!$AJ29,'OPX_BN-1'!$R29,'OPX_BN-1'!$AK29)</f>
        <v>-185948.42749384596</v>
      </c>
      <c r="AM29" s="427">
        <v>0</v>
      </c>
    </row>
    <row r="30" spans="1:39" ht="15">
      <c r="A30" s="329" t="s">
        <v>558</v>
      </c>
      <c r="B30" s="327" t="str">
        <f>VLOOKUP('OPX_BN-1'!$A30,Tableau106[],3,FALSE)</f>
        <v>A540</v>
      </c>
      <c r="C30" s="327" t="str">
        <f>VLOOKUP('OPX_BN-1'!$A30,Tableau106[],2,FALSE)</f>
        <v>FR56E01E</v>
      </c>
      <c r="D30" s="327" t="str">
        <f>VLOOKUP('OPX_BN-1'!$A30,Tableau106[],8,FALSE)</f>
        <v>EOLIEN</v>
      </c>
      <c r="E30" s="328">
        <f>VLOOKUP('OPX_BN-1'!$A30,Tableau106[],4,FALSE)</f>
        <v>12</v>
      </c>
      <c r="F30" s="327" t="str">
        <f>VLOOKUP('OPX_BN-1'!$A30,Tableau106[],5,FALSE)</f>
        <v>LBDF</v>
      </c>
      <c r="G30" s="327" t="str">
        <f>VLOOKUP('OPX_BN-1'!$A30,Tableau106[],7,FALSE)</f>
        <v>EGM</v>
      </c>
      <c r="H30" s="327" t="str">
        <f>VLOOKUP('OPX_BN-1'!$A30,Tableau106[],6,FALSE)</f>
        <v>N</v>
      </c>
      <c r="I30" s="327" t="str">
        <f>VLOOKUP('OPX_BN-1'!$A30,Tableau106[],9,FALSE)</f>
        <v>BoK</v>
      </c>
      <c r="J30" s="160">
        <v>-308014.31530515221</v>
      </c>
      <c r="K30" s="489">
        <v>-6000</v>
      </c>
      <c r="L30" s="490">
        <v>-39682.539682539682</v>
      </c>
      <c r="M30" s="229">
        <v>0</v>
      </c>
      <c r="N30" s="229">
        <v>0</v>
      </c>
      <c r="O30" s="229">
        <v>0</v>
      </c>
      <c r="P30" s="229">
        <v>-4200</v>
      </c>
      <c r="Q30" s="230">
        <v>-6000</v>
      </c>
      <c r="R30" s="274">
        <f>SUM('OPX_BN-1'!$K30:$Q30)</f>
        <v>-55882.539682539682</v>
      </c>
      <c r="S30" s="338">
        <v>0</v>
      </c>
      <c r="T30" s="423">
        <v>0</v>
      </c>
      <c r="U30" s="341"/>
      <c r="V30" s="423">
        <v>-2000</v>
      </c>
      <c r="W30" s="423">
        <v>0</v>
      </c>
      <c r="X30" s="423">
        <v>0</v>
      </c>
      <c r="Y30" s="423"/>
      <c r="Z30" s="264">
        <v>-6000</v>
      </c>
      <c r="AA30" s="423"/>
      <c r="AB30" s="273">
        <f>SUM('OPX_BN-1'!$T30:$AA30)</f>
        <v>-8000</v>
      </c>
      <c r="AC30" s="426"/>
      <c r="AD30" s="426"/>
      <c r="AE30" s="417">
        <v>0</v>
      </c>
      <c r="AF30" s="417">
        <v>0</v>
      </c>
      <c r="AG30" s="417">
        <v>0</v>
      </c>
      <c r="AH30" s="417">
        <v>0</v>
      </c>
      <c r="AI30" s="417">
        <v>0</v>
      </c>
      <c r="AJ30" s="271">
        <f>SUM('OPX_BN-1'!$AC30:$AI30)</f>
        <v>0</v>
      </c>
      <c r="AK30" s="429">
        <v>0</v>
      </c>
      <c r="AL30" s="276">
        <f>SUM('OPX_BN-1'!$J30,'OPX_BN-1'!$AB30,'OPX_BN-1'!$S30,'OPX_BN-1'!$AJ30,'OPX_BN-1'!$R30,'OPX_BN-1'!$AK30)</f>
        <v>-371896.85498769191</v>
      </c>
      <c r="AM30" s="427">
        <v>0</v>
      </c>
    </row>
    <row r="31" spans="1:39" ht="15">
      <c r="A31" s="329" t="s">
        <v>563</v>
      </c>
      <c r="B31" s="327" t="str">
        <f>VLOOKUP('OPX_BN-1'!$A31,Tableau106[],3,FALSE)</f>
        <v>A114</v>
      </c>
      <c r="C31" s="327" t="str">
        <f>VLOOKUP('OPX_BN-1'!$A31,Tableau106[],2,FALSE)</f>
        <v>FR11E95E</v>
      </c>
      <c r="D31" s="327" t="str">
        <f>VLOOKUP('OPX_BN-1'!$A31,Tableau106[],8,FALSE)</f>
        <v>EOLIEN</v>
      </c>
      <c r="E31" s="328">
        <f>VLOOKUP('OPX_BN-1'!$A31,Tableau106[],4,FALSE)</f>
        <v>11.5</v>
      </c>
      <c r="F31" s="327" t="str">
        <f>VLOOKUP('OPX_BN-1'!$A31,Tableau106[],5,FALSE)</f>
        <v>CAMB</v>
      </c>
      <c r="G31" s="327" t="str">
        <f>VLOOKUP('OPX_BN-1'!$A31,Tableau106[],7,FALSE)</f>
        <v>GROUPE</v>
      </c>
      <c r="H31" s="327" t="str">
        <f>VLOOKUP('OPX_BN-1'!$A31,Tableau106[],6,FALSE)</f>
        <v>S</v>
      </c>
      <c r="I31" s="327" t="str">
        <f>VLOOKUP('OPX_BN-1'!$A31,Tableau106[],9,FALSE)</f>
        <v>ThC</v>
      </c>
      <c r="J31" s="160">
        <v>-12626.246851385387</v>
      </c>
      <c r="K31" s="489">
        <v>-5750</v>
      </c>
      <c r="L31" s="490">
        <v>0</v>
      </c>
      <c r="M31" s="229">
        <v>0</v>
      </c>
      <c r="N31" s="229">
        <v>0</v>
      </c>
      <c r="O31" s="229">
        <v>0</v>
      </c>
      <c r="P31" s="229">
        <v>-4025</v>
      </c>
      <c r="Q31" s="230">
        <v>-5750</v>
      </c>
      <c r="R31" s="274">
        <f>SUM('OPX_BN-1'!$K31:$Q31)</f>
        <v>-15525</v>
      </c>
      <c r="S31" s="338">
        <v>-346716.19482000003</v>
      </c>
      <c r="T31" s="423">
        <v>0</v>
      </c>
      <c r="U31" s="341"/>
      <c r="V31" s="423">
        <v>-6000</v>
      </c>
      <c r="W31" s="423">
        <v>-6000</v>
      </c>
      <c r="X31" s="423">
        <v>0</v>
      </c>
      <c r="Y31" s="423"/>
      <c r="Z31" s="264">
        <v>-5750</v>
      </c>
      <c r="AA31" s="423"/>
      <c r="AB31" s="273">
        <f>SUM('OPX_BN-1'!$T31:$AA31)</f>
        <v>-17750</v>
      </c>
      <c r="AC31" s="426"/>
      <c r="AD31" s="426"/>
      <c r="AE31" s="417">
        <v>0</v>
      </c>
      <c r="AF31" s="417">
        <v>0</v>
      </c>
      <c r="AG31" s="417">
        <v>0</v>
      </c>
      <c r="AH31" s="417">
        <v>-8000</v>
      </c>
      <c r="AI31" s="417">
        <v>-10000</v>
      </c>
      <c r="AJ31" s="271">
        <f>SUM('OPX_BN-1'!$AC31:$AI31)</f>
        <v>-18000</v>
      </c>
      <c r="AK31" s="429">
        <v>0</v>
      </c>
      <c r="AL31" s="276">
        <f>SUM('OPX_BN-1'!$J31,'OPX_BN-1'!$AB31,'OPX_BN-1'!$S31,'OPX_BN-1'!$AJ31,'OPX_BN-1'!$R31,'OPX_BN-1'!$AK31)</f>
        <v>-410617.44167138543</v>
      </c>
      <c r="AM31" s="427">
        <v>0</v>
      </c>
    </row>
    <row r="32" spans="1:39" ht="15">
      <c r="A32" s="329" t="s">
        <v>466</v>
      </c>
      <c r="B32" s="327" t="str">
        <f>VLOOKUP('OPX_BN-1'!$A32,Tableau106[],3,FALSE)</f>
        <v>A047</v>
      </c>
      <c r="C32" s="327" t="str">
        <f>VLOOKUP('OPX_BN-1'!$A32,Tableau106[],2,FALSE)</f>
        <v>FR97S76E</v>
      </c>
      <c r="D32" s="327" t="str">
        <f>VLOOKUP('OPX_BN-1'!$A32,Tableau106[],8,FALSE)</f>
        <v>SOLAIRE DOM</v>
      </c>
      <c r="E32" s="328">
        <f>VLOOKUP('OPX_BN-1'!$A32,Tableau106[],4,FALSE)</f>
        <v>0.68200000000000005</v>
      </c>
      <c r="F32" s="327" t="str">
        <f>VLOOKUP('OPX_BN-1'!$A32,Tableau106[],5,FALSE)</f>
        <v>CANO</v>
      </c>
      <c r="G32" s="327" t="str">
        <f>VLOOKUP('OPX_BN-1'!$A32,Tableau106[],7,FALSE)</f>
        <v>GROUPE</v>
      </c>
      <c r="H32" s="327" t="str">
        <f>VLOOKUP('OPX_BN-1'!$A32,Tableau106[],6,FALSE)</f>
        <v>DOM</v>
      </c>
      <c r="I32" s="327" t="str">
        <f>VLOOKUP('OPX_BN-1'!$A32,Tableau106[],9,FALSE)</f>
        <v>DoJ</v>
      </c>
      <c r="J32" s="160">
        <v>0</v>
      </c>
      <c r="K32" s="489">
        <v>-341</v>
      </c>
      <c r="L32" s="490">
        <v>0</v>
      </c>
      <c r="M32" s="229">
        <v>0</v>
      </c>
      <c r="N32" s="229">
        <v>0</v>
      </c>
      <c r="O32" s="229">
        <v>0</v>
      </c>
      <c r="P32" s="229">
        <v>0</v>
      </c>
      <c r="Q32" s="230">
        <v>-500</v>
      </c>
      <c r="R32" s="274">
        <f>SUM('OPX_BN-1'!$K32:$Q32)</f>
        <v>-841</v>
      </c>
      <c r="S32" s="338">
        <v>-31561.1</v>
      </c>
      <c r="T32" s="423">
        <v>-6000</v>
      </c>
      <c r="U32" s="341"/>
      <c r="V32" s="423">
        <v>-4000</v>
      </c>
      <c r="W32" s="423">
        <v>-1220</v>
      </c>
      <c r="X32" s="423">
        <v>0</v>
      </c>
      <c r="Y32" s="423"/>
      <c r="Z32" s="264">
        <v>-3500</v>
      </c>
      <c r="AA32" s="423"/>
      <c r="AB32" s="273">
        <f>SUM('OPX_BN-1'!$T32:$AA32)</f>
        <v>-14720</v>
      </c>
      <c r="AC32" s="426"/>
      <c r="AD32" s="426"/>
      <c r="AE32" s="417">
        <v>0</v>
      </c>
      <c r="AF32" s="417">
        <v>0</v>
      </c>
      <c r="AG32" s="417">
        <v>0</v>
      </c>
      <c r="AH32" s="417">
        <v>0</v>
      </c>
      <c r="AI32" s="417">
        <v>0</v>
      </c>
      <c r="AJ32" s="271">
        <f>SUM('OPX_BN-1'!$AC32:$AI32)</f>
        <v>0</v>
      </c>
      <c r="AK32" s="429">
        <v>0</v>
      </c>
      <c r="AL32" s="276">
        <f>SUM('OPX_BN-1'!$J32,'OPX_BN-1'!$AB32,'OPX_BN-1'!$S32,'OPX_BN-1'!$AJ32,'OPX_BN-1'!$R32,'OPX_BN-1'!$AK32)</f>
        <v>-47122.1</v>
      </c>
      <c r="AM32" s="427">
        <v>0</v>
      </c>
    </row>
    <row r="33" spans="1:39" ht="15">
      <c r="A33" s="329" t="s">
        <v>590</v>
      </c>
      <c r="B33" s="327" t="str">
        <f>VLOOKUP('OPX_BN-1'!$A33,Tableau106[],3,FALSE)</f>
        <v>A124</v>
      </c>
      <c r="C33" s="327" t="str">
        <f>VLOOKUP('OPX_BN-1'!$A33,Tableau106[],2,FALSE)</f>
        <v>FR28E99E</v>
      </c>
      <c r="D33" s="327" t="str">
        <f>VLOOKUP('OPX_BN-1'!$A33,Tableau106[],8,FALSE)</f>
        <v>EOLIEN</v>
      </c>
      <c r="E33" s="328">
        <f>VLOOKUP('OPX_BN-1'!$A33,Tableau106[],4,FALSE)</f>
        <v>12</v>
      </c>
      <c r="F33" s="327" t="str">
        <f>VLOOKUP('OPX_BN-1'!$A33,Tableau106[],5,FALSE)</f>
        <v>CDBO</v>
      </c>
      <c r="G33" s="327" t="str">
        <f>VLOOKUP('OPX_BN-1'!$A33,Tableau106[],7,FALSE)</f>
        <v>GROUPE</v>
      </c>
      <c r="H33" s="327" t="str">
        <f>VLOOKUP('OPX_BN-1'!$A33,Tableau106[],6,FALSE)</f>
        <v>N</v>
      </c>
      <c r="I33" s="327" t="str">
        <f>VLOOKUP('OPX_BN-1'!$A33,Tableau106[],9,FALSE)</f>
        <v>LoH</v>
      </c>
      <c r="J33" s="160">
        <v>-23605.591939546579</v>
      </c>
      <c r="K33" s="489">
        <v>-12000</v>
      </c>
      <c r="L33" s="490">
        <v>0</v>
      </c>
      <c r="M33" s="229">
        <v>0</v>
      </c>
      <c r="N33" s="229">
        <v>0</v>
      </c>
      <c r="O33" s="229">
        <v>-3000</v>
      </c>
      <c r="P33" s="229">
        <v>-8400</v>
      </c>
      <c r="Q33" s="230">
        <v>-12000</v>
      </c>
      <c r="R33" s="274">
        <f>SUM('OPX_BN-1'!$K33:$Q33)</f>
        <v>-35400</v>
      </c>
      <c r="S33" s="338">
        <v>-648514.14343199995</v>
      </c>
      <c r="T33" s="423">
        <v>0</v>
      </c>
      <c r="U33" s="341"/>
      <c r="V33" s="423">
        <v>-2000</v>
      </c>
      <c r="W33" s="423">
        <v>0</v>
      </c>
      <c r="X33" s="423">
        <v>-4000</v>
      </c>
      <c r="Y33" s="423"/>
      <c r="Z33" s="264">
        <v>-12000</v>
      </c>
      <c r="AA33" s="423"/>
      <c r="AB33" s="273">
        <f>SUM('OPX_BN-1'!$T33:$AA33)</f>
        <v>-18000</v>
      </c>
      <c r="AC33" s="426"/>
      <c r="AD33" s="426"/>
      <c r="AE33" s="417">
        <v>0</v>
      </c>
      <c r="AF33" s="417">
        <v>0</v>
      </c>
      <c r="AG33" s="417">
        <v>0</v>
      </c>
      <c r="AH33" s="417">
        <v>0</v>
      </c>
      <c r="AI33" s="417">
        <v>0</v>
      </c>
      <c r="AJ33" s="271">
        <f>SUM('OPX_BN-1'!$AC33:$AI33)</f>
        <v>0</v>
      </c>
      <c r="AK33" s="429">
        <v>0</v>
      </c>
      <c r="AL33" s="276">
        <f>SUM('OPX_BN-1'!$J33,'OPX_BN-1'!$AB33,'OPX_BN-1'!$S33,'OPX_BN-1'!$AJ33,'OPX_BN-1'!$R33,'OPX_BN-1'!$AK33)</f>
        <v>-725519.73537154659</v>
      </c>
      <c r="AM33" s="427">
        <v>0</v>
      </c>
    </row>
    <row r="34" spans="1:39" ht="15">
      <c r="A34" s="329" t="s">
        <v>485</v>
      </c>
      <c r="B34" s="327" t="str">
        <f>VLOOKUP('OPX_BN-1'!$A34,Tableau106[],3,FALSE)</f>
        <v>A534</v>
      </c>
      <c r="C34" s="327" t="str">
        <f>VLOOKUP('OPX_BN-1'!$A34,Tableau106[],2,FALSE)</f>
        <v>FR62E03E</v>
      </c>
      <c r="D34" s="327" t="str">
        <f>VLOOKUP('OPX_BN-1'!$A34,Tableau106[],8,FALSE)</f>
        <v>EOLIEN</v>
      </c>
      <c r="E34" s="328">
        <f>VLOOKUP('OPX_BN-1'!$A34,Tableau106[],4,FALSE)</f>
        <v>19.8</v>
      </c>
      <c r="F34" s="327" t="str">
        <f>VLOOKUP('OPX_BN-1'!$A34,Tableau106[],5,FALSE)</f>
        <v>CARN</v>
      </c>
      <c r="G34" s="327" t="str">
        <f>VLOOKUP('OPX_BN-1'!$A34,Tableau106[],7,FALSE)</f>
        <v>GROUPE</v>
      </c>
      <c r="H34" s="327" t="str">
        <f>VLOOKUP('OPX_BN-1'!$A34,Tableau106[],6,FALSE)</f>
        <v>N</v>
      </c>
      <c r="I34" s="327" t="str">
        <f>VLOOKUP('OPX_BN-1'!$A34,Tableau106[],9,FALSE)</f>
        <v>NiL</v>
      </c>
      <c r="J34" s="160">
        <v>-456411.6933063934</v>
      </c>
      <c r="K34" s="489">
        <v>-9900</v>
      </c>
      <c r="L34" s="490">
        <v>0</v>
      </c>
      <c r="M34" s="229">
        <v>0</v>
      </c>
      <c r="N34" s="229">
        <v>0</v>
      </c>
      <c r="O34" s="229">
        <v>0</v>
      </c>
      <c r="P34" s="229">
        <v>-6930</v>
      </c>
      <c r="Q34" s="230">
        <v>-9900</v>
      </c>
      <c r="R34" s="274">
        <f>SUM('OPX_BN-1'!$K34:$Q34)</f>
        <v>-26730</v>
      </c>
      <c r="S34" s="338">
        <v>0</v>
      </c>
      <c r="T34" s="423">
        <v>0</v>
      </c>
      <c r="U34" s="341"/>
      <c r="V34" s="423">
        <v>-3000</v>
      </c>
      <c r="W34" s="423">
        <v>0</v>
      </c>
      <c r="X34" s="423">
        <v>0</v>
      </c>
      <c r="Y34" s="423"/>
      <c r="Z34" s="264">
        <v>-9900</v>
      </c>
      <c r="AA34" s="423"/>
      <c r="AB34" s="273">
        <f>SUM('OPX_BN-1'!$T34:$AA34)</f>
        <v>-12900</v>
      </c>
      <c r="AC34" s="426"/>
      <c r="AD34" s="426"/>
      <c r="AE34" s="417">
        <v>0</v>
      </c>
      <c r="AF34" s="417">
        <v>0</v>
      </c>
      <c r="AG34" s="417">
        <v>-12000</v>
      </c>
      <c r="AH34" s="417">
        <v>0</v>
      </c>
      <c r="AI34" s="417">
        <v>0</v>
      </c>
      <c r="AJ34" s="271">
        <f>SUM('OPX_BN-1'!$AC34:$AI34)</f>
        <v>-12000</v>
      </c>
      <c r="AK34" s="429">
        <v>0</v>
      </c>
      <c r="AL34" s="276">
        <f>SUM('OPX_BN-1'!$J34,'OPX_BN-1'!$AB34,'OPX_BN-1'!$S34,'OPX_BN-1'!$AJ34,'OPX_BN-1'!$R34,'OPX_BN-1'!$AK34)</f>
        <v>-508041.6933063934</v>
      </c>
      <c r="AM34" s="427">
        <v>0</v>
      </c>
    </row>
    <row r="35" spans="1:39" ht="15">
      <c r="A35" s="329" t="s">
        <v>622</v>
      </c>
      <c r="B35" s="327" t="str">
        <f>VLOOKUP('OPX_BN-1'!$A35,Tableau106[],3,FALSE)</f>
        <v>A049</v>
      </c>
      <c r="C35" s="327" t="str">
        <f>VLOOKUP('OPX_BN-1'!$A35,Tableau106[],2,FALSE)</f>
        <v>FR34E96E</v>
      </c>
      <c r="D35" s="327" t="str">
        <f>VLOOKUP('OPX_BN-1'!$A35,Tableau106[],8,FALSE)</f>
        <v>EOLIEN</v>
      </c>
      <c r="E35" s="328">
        <f>VLOOKUP('OPX_BN-1'!$A35,Tableau106[],4,FALSE)</f>
        <v>11.5</v>
      </c>
      <c r="F35" s="327" t="str">
        <f>VLOOKUP('OPX_BN-1'!$A35,Tableau106[],5,FALSE)</f>
        <v>CASH</v>
      </c>
      <c r="G35" s="327" t="str">
        <f>VLOOKUP('OPX_BN-1'!$A35,Tableau106[],7,FALSE)</f>
        <v>GROUPE</v>
      </c>
      <c r="H35" s="327" t="str">
        <f>VLOOKUP('OPX_BN-1'!$A35,Tableau106[],6,FALSE)</f>
        <v>S</v>
      </c>
      <c r="I35" s="327" t="str">
        <f>VLOOKUP('OPX_BN-1'!$A35,Tableau106[],9,FALSE)</f>
        <v>OdP</v>
      </c>
      <c r="J35" s="160">
        <v>-430826.58</v>
      </c>
      <c r="K35" s="489">
        <v>-5750</v>
      </c>
      <c r="L35" s="490">
        <v>0</v>
      </c>
      <c r="M35" s="229">
        <v>0</v>
      </c>
      <c r="N35" s="229">
        <v>0</v>
      </c>
      <c r="O35" s="229">
        <v>0</v>
      </c>
      <c r="P35" s="229">
        <v>-4025</v>
      </c>
      <c r="Q35" s="230">
        <v>-5750</v>
      </c>
      <c r="R35" s="274">
        <f>SUM('OPX_BN-1'!$K35:$Q35)</f>
        <v>-15525</v>
      </c>
      <c r="S35" s="338">
        <v>0</v>
      </c>
      <c r="T35" s="423">
        <v>0</v>
      </c>
      <c r="U35" s="341"/>
      <c r="V35" s="423">
        <v>-5000</v>
      </c>
      <c r="W35" s="423">
        <v>0</v>
      </c>
      <c r="X35" s="423">
        <v>0</v>
      </c>
      <c r="Y35" s="423"/>
      <c r="Z35" s="264">
        <v>-5750</v>
      </c>
      <c r="AA35" s="423"/>
      <c r="AB35" s="273">
        <f>SUM('OPX_BN-1'!$T35:$AA35)</f>
        <v>-10750</v>
      </c>
      <c r="AC35" s="426"/>
      <c r="AD35" s="426"/>
      <c r="AE35" s="417">
        <v>0</v>
      </c>
      <c r="AF35" s="417">
        <v>0</v>
      </c>
      <c r="AG35" s="417">
        <v>0</v>
      </c>
      <c r="AH35" s="417">
        <v>0</v>
      </c>
      <c r="AI35" s="417">
        <v>0</v>
      </c>
      <c r="AJ35" s="271">
        <f>SUM('OPX_BN-1'!$AC35:$AI35)</f>
        <v>0</v>
      </c>
      <c r="AK35" s="429">
        <v>0</v>
      </c>
      <c r="AL35" s="276">
        <f>SUM('OPX_BN-1'!$J35,'OPX_BN-1'!$AB35,'OPX_BN-1'!$S35,'OPX_BN-1'!$AJ35,'OPX_BN-1'!$R35,'OPX_BN-1'!$AK35)</f>
        <v>-457101.58</v>
      </c>
      <c r="AM35" s="427">
        <v>0</v>
      </c>
    </row>
    <row r="36" spans="1:39" ht="15">
      <c r="A36" s="329" t="s">
        <v>471</v>
      </c>
      <c r="B36" s="327" t="str">
        <f>VLOOKUP('OPX_BN-1'!$A36,Tableau106[],3,FALSE)</f>
        <v>A043</v>
      </c>
      <c r="C36" s="327" t="str">
        <f>VLOOKUP('OPX_BN-1'!$A36,Tableau106[],2,FALSE)</f>
        <v>FR97S77E</v>
      </c>
      <c r="D36" s="327" t="str">
        <f>VLOOKUP('OPX_BN-1'!$A36,Tableau106[],8,FALSE)</f>
        <v>SOLAIRE DOM</v>
      </c>
      <c r="E36" s="328">
        <f>VLOOKUP('OPX_BN-1'!$A36,Tableau106[],4,FALSE)</f>
        <v>0.68200000000000005</v>
      </c>
      <c r="F36" s="327" t="str">
        <f>VLOOKUP('OPX_BN-1'!$A36,Tableau106[],5,FALSE)</f>
        <v>CESA</v>
      </c>
      <c r="G36" s="327" t="str">
        <f>VLOOKUP('OPX_BN-1'!$A36,Tableau106[],7,FALSE)</f>
        <v>GROUPE</v>
      </c>
      <c r="H36" s="327" t="str">
        <f>VLOOKUP('OPX_BN-1'!$A36,Tableau106[],6,FALSE)</f>
        <v>DOM</v>
      </c>
      <c r="I36" s="327" t="str">
        <f>VLOOKUP('OPX_BN-1'!$A36,Tableau106[],9,FALSE)</f>
        <v>DoJ</v>
      </c>
      <c r="J36" s="160">
        <v>0</v>
      </c>
      <c r="K36" s="489">
        <v>-341</v>
      </c>
      <c r="L36" s="490">
        <v>0</v>
      </c>
      <c r="M36" s="229">
        <v>0</v>
      </c>
      <c r="N36" s="229">
        <v>0</v>
      </c>
      <c r="O36" s="229">
        <v>0</v>
      </c>
      <c r="P36" s="229">
        <v>0</v>
      </c>
      <c r="Q36" s="230">
        <v>-500</v>
      </c>
      <c r="R36" s="274">
        <f>SUM('OPX_BN-1'!$K36:$Q36)</f>
        <v>-841</v>
      </c>
      <c r="S36" s="338">
        <v>-31561.1</v>
      </c>
      <c r="T36" s="423">
        <v>-6000</v>
      </c>
      <c r="U36" s="341"/>
      <c r="V36" s="423">
        <v>0</v>
      </c>
      <c r="W36" s="423">
        <v>-1220</v>
      </c>
      <c r="X36" s="423">
        <v>0</v>
      </c>
      <c r="Y36" s="423"/>
      <c r="Z36" s="264">
        <v>-3500</v>
      </c>
      <c r="AA36" s="423"/>
      <c r="AB36" s="273">
        <f>SUM('OPX_BN-1'!$T36:$AA36)</f>
        <v>-10720</v>
      </c>
      <c r="AC36" s="426"/>
      <c r="AD36" s="426"/>
      <c r="AE36" s="417">
        <v>0</v>
      </c>
      <c r="AF36" s="417">
        <v>0</v>
      </c>
      <c r="AG36" s="417">
        <v>0</v>
      </c>
      <c r="AH36" s="417">
        <v>0</v>
      </c>
      <c r="AI36" s="417">
        <v>0</v>
      </c>
      <c r="AJ36" s="271">
        <f>SUM('OPX_BN-1'!$AC36:$AI36)</f>
        <v>0</v>
      </c>
      <c r="AK36" s="429">
        <v>0</v>
      </c>
      <c r="AL36" s="276">
        <f>SUM('OPX_BN-1'!$J36,'OPX_BN-1'!$AB36,'OPX_BN-1'!$S36,'OPX_BN-1'!$AJ36,'OPX_BN-1'!$R36,'OPX_BN-1'!$AK36)</f>
        <v>-43122.1</v>
      </c>
      <c r="AM36" s="427">
        <v>0</v>
      </c>
    </row>
    <row r="37" spans="1:39" ht="15">
      <c r="A37" s="329" t="s">
        <v>83</v>
      </c>
      <c r="B37" s="327" t="str">
        <f>VLOOKUP('OPX_BN-1'!$A37,Tableau106[],3,FALSE)</f>
        <v>A253</v>
      </c>
      <c r="C37" s="327" t="str">
        <f>VLOOKUP('OPX_BN-1'!$A37,Tableau106[],2,FALSE)</f>
        <v>FR21S01E</v>
      </c>
      <c r="D37" s="327" t="str">
        <f>VLOOKUP('OPX_BN-1'!$A37,Tableau106[],8,FALSE)</f>
        <v>SOLAIRE</v>
      </c>
      <c r="E37" s="328">
        <f>VLOOKUP('OPX_BN-1'!$A37,Tableau106[],4,FALSE)</f>
        <v>15.5</v>
      </c>
      <c r="F37" s="327" t="str">
        <f>VLOOKUP('OPX_BN-1'!$A37,Tableau106[],5,FALSE)</f>
        <v>DIJO</v>
      </c>
      <c r="G37" s="327" t="str">
        <f>VLOOKUP('OPX_BN-1'!$A37,Tableau106[],7,FALSE)</f>
        <v>GROUPE</v>
      </c>
      <c r="H37" s="327" t="str">
        <f>VLOOKUP('OPX_BN-1'!$A37,Tableau106[],6,FALSE)</f>
        <v>N</v>
      </c>
      <c r="I37" s="327" t="str">
        <f>VLOOKUP('OPX_BN-1'!$A37,Tableau106[],9,FALSE)</f>
        <v>LoG</v>
      </c>
      <c r="J37" s="160">
        <v>-36312</v>
      </c>
      <c r="K37" s="489">
        <v>-22700</v>
      </c>
      <c r="L37" s="490">
        <v>0</v>
      </c>
      <c r="M37" s="229">
        <v>0</v>
      </c>
      <c r="N37" s="229">
        <v>0</v>
      </c>
      <c r="O37" s="229">
        <v>0</v>
      </c>
      <c r="P37" s="229">
        <v>0</v>
      </c>
      <c r="Q37" s="230">
        <v>-7200</v>
      </c>
      <c r="R37" s="274">
        <f>SUM('OPX_BN-1'!$K37:$Q37)</f>
        <v>-29900</v>
      </c>
      <c r="S37" s="338">
        <v>0</v>
      </c>
      <c r="T37" s="423">
        <v>0</v>
      </c>
      <c r="U37" s="341"/>
      <c r="V37" s="423">
        <v>0</v>
      </c>
      <c r="W37" s="423">
        <v>0</v>
      </c>
      <c r="X37" s="423">
        <v>0</v>
      </c>
      <c r="Y37" s="423"/>
      <c r="Z37" s="264">
        <v>-7200</v>
      </c>
      <c r="AA37" s="423"/>
      <c r="AB37" s="273">
        <f>SUM('OPX_BN-1'!$T37:$AA37)</f>
        <v>-7200</v>
      </c>
      <c r="AC37" s="426"/>
      <c r="AD37" s="426"/>
      <c r="AE37" s="417">
        <v>0</v>
      </c>
      <c r="AF37" s="417">
        <v>0</v>
      </c>
      <c r="AG37" s="417">
        <v>0</v>
      </c>
      <c r="AH37" s="417">
        <v>0</v>
      </c>
      <c r="AI37" s="417">
        <v>0</v>
      </c>
      <c r="AJ37" s="271">
        <f>SUM('OPX_BN-1'!$AC37:$AI37)</f>
        <v>0</v>
      </c>
      <c r="AK37" s="429">
        <v>0</v>
      </c>
      <c r="AL37" s="276">
        <f>SUM('OPX_BN-1'!$J37,'OPX_BN-1'!$AB37,'OPX_BN-1'!$S37,'OPX_BN-1'!$AJ37,'OPX_BN-1'!$R37,'OPX_BN-1'!$AK37)</f>
        <v>-73412</v>
      </c>
      <c r="AM37" s="427">
        <v>0</v>
      </c>
    </row>
    <row r="38" spans="1:39" ht="15">
      <c r="A38" s="329" t="s">
        <v>472</v>
      </c>
      <c r="B38" s="327" t="str">
        <f>VLOOKUP('OPX_BN-1'!$A38,Tableau106[],3,FALSE)</f>
        <v>A257</v>
      </c>
      <c r="C38" s="327" t="str">
        <f>VLOOKUP('OPX_BN-1'!$A38,Tableau106[],2,FALSE)</f>
        <v>FR71S06E</v>
      </c>
      <c r="D38" s="327" t="str">
        <f>VLOOKUP('OPX_BN-1'!$A38,Tableau106[],8,FALSE)</f>
        <v>SOLAIRE</v>
      </c>
      <c r="E38" s="328">
        <f>VLOOKUP('OPX_BN-1'!$A38,Tableau106[],4,FALSE)</f>
        <v>4.4000000000000004</v>
      </c>
      <c r="F38" s="327" t="str">
        <f>VLOOKUP('OPX_BN-1'!$A38,Tableau106[],5,FALSE)</f>
        <v>CHAG</v>
      </c>
      <c r="G38" s="327" t="str">
        <f>VLOOKUP('OPX_BN-1'!$A38,Tableau106[],7,FALSE)</f>
        <v>GROUPE</v>
      </c>
      <c r="H38" s="327" t="str">
        <f>VLOOKUP('OPX_BN-1'!$A38,Tableau106[],6,FALSE)</f>
        <v>N</v>
      </c>
      <c r="I38" s="327" t="str">
        <f>VLOOKUP('OPX_BN-1'!$A38,Tableau106[],9,FALSE)</f>
        <v>LoG</v>
      </c>
      <c r="J38" s="160">
        <v>-21930</v>
      </c>
      <c r="K38" s="489">
        <v>-2150</v>
      </c>
      <c r="L38" s="490">
        <v>0</v>
      </c>
      <c r="M38" s="229">
        <v>0</v>
      </c>
      <c r="N38" s="229">
        <v>0</v>
      </c>
      <c r="O38" s="229">
        <v>0</v>
      </c>
      <c r="P38" s="229">
        <v>0</v>
      </c>
      <c r="Q38" s="230">
        <v>-2150</v>
      </c>
      <c r="R38" s="274">
        <f>SUM('OPX_BN-1'!$K38:$Q38)</f>
        <v>-4300</v>
      </c>
      <c r="S38" s="338">
        <v>0</v>
      </c>
      <c r="T38" s="423">
        <v>0</v>
      </c>
      <c r="U38" s="341"/>
      <c r="V38" s="423">
        <v>0</v>
      </c>
      <c r="W38" s="423">
        <v>0</v>
      </c>
      <c r="X38" s="423">
        <v>0</v>
      </c>
      <c r="Y38" s="423"/>
      <c r="Z38" s="264">
        <v>-2150</v>
      </c>
      <c r="AA38" s="423"/>
      <c r="AB38" s="273">
        <f>SUM('OPX_BN-1'!$T38:$AA38)</f>
        <v>-2150</v>
      </c>
      <c r="AC38" s="426"/>
      <c r="AD38" s="426"/>
      <c r="AE38" s="417">
        <v>0</v>
      </c>
      <c r="AF38" s="417">
        <v>0</v>
      </c>
      <c r="AG38" s="417">
        <v>0</v>
      </c>
      <c r="AH38" s="417">
        <v>-3500</v>
      </c>
      <c r="AI38" s="417">
        <v>0</v>
      </c>
      <c r="AJ38" s="271">
        <f>SUM('OPX_BN-1'!$AC38:$AI38)</f>
        <v>-3500</v>
      </c>
      <c r="AK38" s="429">
        <v>0</v>
      </c>
      <c r="AL38" s="276">
        <f>SUM('OPX_BN-1'!$J38,'OPX_BN-1'!$AB38,'OPX_BN-1'!$S38,'OPX_BN-1'!$AJ38,'OPX_BN-1'!$R38,'OPX_BN-1'!$AK38)</f>
        <v>-31880</v>
      </c>
      <c r="AM38" s="427">
        <v>0</v>
      </c>
    </row>
    <row r="39" spans="1:39" ht="15">
      <c r="A39" s="329" t="s">
        <v>538</v>
      </c>
      <c r="B39" s="327" t="str">
        <f>VLOOKUP('OPX_BN-1'!$A39,Tableau106[],3,FALSE)</f>
        <v>A992</v>
      </c>
      <c r="C39" s="327" t="str">
        <f>VLOOKUP('OPX_BN-1'!$A39,Tableau106[],2,FALSE)</f>
        <v>FR89E03E</v>
      </c>
      <c r="D39" s="327" t="str">
        <f>VLOOKUP('OPX_BN-1'!$A39,Tableau106[],8,FALSE)</f>
        <v>EOLIEN</v>
      </c>
      <c r="E39" s="328">
        <f>VLOOKUP('OPX_BN-1'!$A39,Tableau106[],4,FALSE)</f>
        <v>21.700000000000003</v>
      </c>
      <c r="F39" s="327" t="str">
        <f>VLOOKUP('OPX_BN-1'!$A39,Tableau106[],5,FALSE)</f>
        <v>GOUR</v>
      </c>
      <c r="G39" s="327" t="str">
        <f>VLOOKUP('OPX_BN-1'!$A39,Tableau106[],7,FALSE)</f>
        <v>GROUPE</v>
      </c>
      <c r="H39" s="327" t="str">
        <f>VLOOKUP('OPX_BN-1'!$A39,Tableau106[],6,FALSE)</f>
        <v>N</v>
      </c>
      <c r="I39" s="327" t="str">
        <f>VLOOKUP('OPX_BN-1'!$A39,Tableau106[],9,FALSE)</f>
        <v>LoH</v>
      </c>
      <c r="J39" s="160">
        <v>-10708.233070866139</v>
      </c>
      <c r="K39" s="489">
        <v>-11400</v>
      </c>
      <c r="L39" s="490">
        <v>0</v>
      </c>
      <c r="M39" s="229">
        <v>0</v>
      </c>
      <c r="N39" s="229">
        <v>0</v>
      </c>
      <c r="O39" s="229">
        <v>0</v>
      </c>
      <c r="P39" s="229">
        <v>-7980</v>
      </c>
      <c r="Q39" s="230">
        <v>-11400</v>
      </c>
      <c r="R39" s="274">
        <f>SUM('OPX_BN-1'!$K39:$Q39)</f>
        <v>-30780</v>
      </c>
      <c r="S39" s="338">
        <v>-315433.85060000001</v>
      </c>
      <c r="T39" s="423">
        <v>0</v>
      </c>
      <c r="U39" s="341"/>
      <c r="V39" s="423">
        <v>0</v>
      </c>
      <c r="W39" s="423">
        <v>-3650</v>
      </c>
      <c r="X39" s="423">
        <v>0</v>
      </c>
      <c r="Y39" s="423"/>
      <c r="Z39" s="264">
        <v>-11400</v>
      </c>
      <c r="AA39" s="423"/>
      <c r="AB39" s="273">
        <f>SUM('OPX_BN-1'!$T39:$AA39)</f>
        <v>-15050</v>
      </c>
      <c r="AC39" s="426"/>
      <c r="AD39" s="426"/>
      <c r="AE39" s="417">
        <v>-15000</v>
      </c>
      <c r="AF39" s="417">
        <v>-7150</v>
      </c>
      <c r="AG39" s="417">
        <v>-18430</v>
      </c>
      <c r="AH39" s="417">
        <v>0</v>
      </c>
      <c r="AI39" s="417">
        <v>0</v>
      </c>
      <c r="AJ39" s="271">
        <f>SUM('OPX_BN-1'!$AC39:$AI39)</f>
        <v>-40580</v>
      </c>
      <c r="AK39" s="429">
        <v>0</v>
      </c>
      <c r="AL39" s="276">
        <f>SUM('OPX_BN-1'!$J39,'OPX_BN-1'!$AB39,'OPX_BN-1'!$S39,'OPX_BN-1'!$AJ39,'OPX_BN-1'!$R39,'OPX_BN-1'!$AK39)</f>
        <v>-412552.08367086615</v>
      </c>
      <c r="AM39" s="427">
        <v>0</v>
      </c>
    </row>
    <row r="40" spans="1:39" ht="15">
      <c r="A40" s="329" t="s">
        <v>524</v>
      </c>
      <c r="B40" s="327" t="str">
        <f>VLOOKUP('OPX_BN-1'!$A40,Tableau106[],3,FALSE)</f>
        <v>A419</v>
      </c>
      <c r="C40" s="327" t="str">
        <f>VLOOKUP('OPX_BN-1'!$A40,Tableau106[],2,FALSE)</f>
        <v>FR02E02E</v>
      </c>
      <c r="D40" s="327" t="str">
        <f>VLOOKUP('OPX_BN-1'!$A40,Tableau106[],8,FALSE)</f>
        <v>EOLIEN</v>
      </c>
      <c r="E40" s="328">
        <f>VLOOKUP('OPX_BN-1'!$A40,Tableau106[],4,FALSE)</f>
        <v>72</v>
      </c>
      <c r="F40" s="327" t="str">
        <f>VLOOKUP('OPX_BN-1'!$A40,Tableau106[],5,FALSE)</f>
        <v>CHPI</v>
      </c>
      <c r="G40" s="327" t="str">
        <f>VLOOKUP('OPX_BN-1'!$A40,Tableau106[],7,FALSE)</f>
        <v>GROUPE</v>
      </c>
      <c r="H40" s="327" t="str">
        <f>VLOOKUP('OPX_BN-1'!$A40,Tableau106[],6,FALSE)</f>
        <v>N</v>
      </c>
      <c r="I40" s="327" t="str">
        <f>VLOOKUP('OPX_BN-1'!$A40,Tableau106[],9,FALSE)</f>
        <v>MéS</v>
      </c>
      <c r="J40" s="160">
        <v>-1536011.4480049179</v>
      </c>
      <c r="K40" s="489">
        <v>-36000</v>
      </c>
      <c r="L40" s="490">
        <v>0</v>
      </c>
      <c r="M40" s="229">
        <v>0</v>
      </c>
      <c r="N40" s="229">
        <v>0</v>
      </c>
      <c r="O40" s="229">
        <v>-3000</v>
      </c>
      <c r="P40" s="229">
        <v>-25200</v>
      </c>
      <c r="Q40" s="230">
        <v>-36000</v>
      </c>
      <c r="R40" s="274">
        <f>SUM('OPX_BN-1'!$K40:$Q40)</f>
        <v>-100200</v>
      </c>
      <c r="S40" s="338">
        <v>0</v>
      </c>
      <c r="T40" s="423">
        <v>0</v>
      </c>
      <c r="U40" s="341"/>
      <c r="V40" s="423">
        <v>-5000</v>
      </c>
      <c r="W40" s="423">
        <v>-2000</v>
      </c>
      <c r="X40" s="423">
        <v>-4000</v>
      </c>
      <c r="Y40" s="423"/>
      <c r="Z40" s="264">
        <v>-57900</v>
      </c>
      <c r="AA40" s="423"/>
      <c r="AB40" s="273">
        <f>SUM('OPX_BN-1'!$T40:$AA40)</f>
        <v>-68900</v>
      </c>
      <c r="AC40" s="426"/>
      <c r="AD40" s="426"/>
      <c r="AE40" s="417">
        <v>-10000</v>
      </c>
      <c r="AF40" s="417">
        <v>0</v>
      </c>
      <c r="AG40" s="417">
        <v>0</v>
      </c>
      <c r="AH40" s="417">
        <v>0</v>
      </c>
      <c r="AI40" s="417">
        <v>0</v>
      </c>
      <c r="AJ40" s="271">
        <f>SUM('OPX_BN-1'!$AC40:$AI40)</f>
        <v>-10000</v>
      </c>
      <c r="AK40" s="429">
        <v>0</v>
      </c>
      <c r="AL40" s="276">
        <f>SUM('OPX_BN-1'!$J40,'OPX_BN-1'!$AB40,'OPX_BN-1'!$S40,'OPX_BN-1'!$AJ40,'OPX_BN-1'!$R40,'OPX_BN-1'!$AK40)</f>
        <v>-1715111.4480049179</v>
      </c>
      <c r="AM40" s="427">
        <v>0</v>
      </c>
    </row>
    <row r="41" spans="1:39" ht="15">
      <c r="A41" s="329" t="s">
        <v>92</v>
      </c>
      <c r="B41" s="327" t="str">
        <f>VLOOKUP('OPX_BN-1'!$A41,Tableau106[],3,FALSE)</f>
        <v>F212</v>
      </c>
      <c r="C41" s="327" t="str">
        <f>VLOOKUP('OPX_BN-1'!$A41,Tableau106[],2,FALSE)</f>
        <v>FR10E01E</v>
      </c>
      <c r="D41" s="327" t="str">
        <f>VLOOKUP('OPX_BN-1'!$A41,Tableau106[],8,FALSE)</f>
        <v>EOLIEN</v>
      </c>
      <c r="E41" s="328">
        <f>VLOOKUP('OPX_BN-1'!$A41,Tableau106[],4,FALSE)</f>
        <v>18</v>
      </c>
      <c r="F41" s="327" t="str">
        <f>VLOOKUP('OPX_BN-1'!$A41,Tableau106[],5,FALSE)</f>
        <v>CPE1, CPE2</v>
      </c>
      <c r="G41" s="327" t="str">
        <f>VLOOKUP('OPX_BN-1'!$A41,Tableau106[],7,FALSE)</f>
        <v>FUTUREN</v>
      </c>
      <c r="H41" s="327" t="str">
        <f>VLOOKUP('OPX_BN-1'!$A41,Tableau106[],6,FALSE)</f>
        <v>N</v>
      </c>
      <c r="I41" s="327" t="str">
        <f>VLOOKUP('OPX_BN-1'!$A41,Tableau106[],9,FALSE)</f>
        <v>AlY</v>
      </c>
      <c r="J41" s="160">
        <v>-18386.52</v>
      </c>
      <c r="K41" s="489">
        <v>-9000</v>
      </c>
      <c r="L41" s="490">
        <v>0</v>
      </c>
      <c r="M41" s="229">
        <v>0</v>
      </c>
      <c r="N41" s="229">
        <v>0</v>
      </c>
      <c r="O41" s="229">
        <v>0</v>
      </c>
      <c r="P41" s="229">
        <v>0</v>
      </c>
      <c r="Q41" s="230">
        <v>-9000</v>
      </c>
      <c r="R41" s="274">
        <f>SUM('OPX_BN-1'!$K41:$Q41)</f>
        <v>-18000</v>
      </c>
      <c r="S41" s="338">
        <v>-469255.52529999998</v>
      </c>
      <c r="T41" s="423">
        <v>-4050</v>
      </c>
      <c r="U41" s="341"/>
      <c r="V41" s="423">
        <v>-3160</v>
      </c>
      <c r="W41" s="423">
        <v>0</v>
      </c>
      <c r="X41" s="423">
        <v>0</v>
      </c>
      <c r="Y41" s="423"/>
      <c r="Z41" s="264">
        <v>-9000</v>
      </c>
      <c r="AA41" s="423"/>
      <c r="AB41" s="273">
        <f>SUM('OPX_BN-1'!$T41:$AA41)</f>
        <v>-16210</v>
      </c>
      <c r="AC41" s="426"/>
      <c r="AD41" s="426"/>
      <c r="AE41" s="417">
        <v>-4039.2000000000003</v>
      </c>
      <c r="AF41" s="417">
        <v>0</v>
      </c>
      <c r="AG41" s="417">
        <v>0</v>
      </c>
      <c r="AH41" s="417">
        <v>0</v>
      </c>
      <c r="AI41" s="417">
        <v>0</v>
      </c>
      <c r="AJ41" s="271">
        <f>SUM('OPX_BN-1'!$AC41:$AI41)</f>
        <v>-4039.2000000000003</v>
      </c>
      <c r="AK41" s="429">
        <v>0</v>
      </c>
      <c r="AL41" s="276">
        <f>SUM('OPX_BN-1'!$J41,'OPX_BN-1'!$AB41,'OPX_BN-1'!$S41,'OPX_BN-1'!$AJ41,'OPX_BN-1'!$R41,'OPX_BN-1'!$AK41)</f>
        <v>-525891.24530000007</v>
      </c>
      <c r="AM41" s="427">
        <v>0</v>
      </c>
    </row>
    <row r="42" spans="1:39" ht="15">
      <c r="A42" s="329" t="s">
        <v>476</v>
      </c>
      <c r="B42" s="327" t="str">
        <f>VLOOKUP('OPX_BN-1'!$A42,Tableau106[],3,FALSE)</f>
        <v>A290</v>
      </c>
      <c r="C42" s="327" t="str">
        <f>VLOOKUP('OPX_BN-1'!$A42,Tableau106[],2,FALSE)</f>
        <v>FR86S03E</v>
      </c>
      <c r="D42" s="327" t="str">
        <f>VLOOKUP('OPX_BN-1'!$A42,Tableau106[],8,FALSE)</f>
        <v>SOLAIRE</v>
      </c>
      <c r="E42" s="328">
        <f>VLOOKUP('OPX_BN-1'!$A42,Tableau106[],4,FALSE)</f>
        <v>5.5</v>
      </c>
      <c r="F42" s="327" t="str">
        <f>VLOOKUP('OPX_BN-1'!$A42,Tableau106[],5,FALSE)</f>
        <v>CIVA</v>
      </c>
      <c r="G42" s="327" t="str">
        <f>VLOOKUP('OPX_BN-1'!$A42,Tableau106[],7,FALSE)</f>
        <v>GROUPE</v>
      </c>
      <c r="H42" s="327" t="str">
        <f>VLOOKUP('OPX_BN-1'!$A42,Tableau106[],6,FALSE)</f>
        <v>N</v>
      </c>
      <c r="I42" s="327" t="str">
        <f>VLOOKUP('OPX_BN-1'!$A42,Tableau106[],9,FALSE)</f>
        <v>ArB</v>
      </c>
      <c r="J42" s="160">
        <v>0</v>
      </c>
      <c r="K42" s="489">
        <v>-2750</v>
      </c>
      <c r="L42" s="490">
        <v>0</v>
      </c>
      <c r="M42" s="229">
        <v>0</v>
      </c>
      <c r="N42" s="229">
        <v>0</v>
      </c>
      <c r="O42" s="229">
        <v>0</v>
      </c>
      <c r="P42" s="229">
        <v>0</v>
      </c>
      <c r="Q42" s="230">
        <v>-2750</v>
      </c>
      <c r="R42" s="274">
        <f>SUM('OPX_BN-1'!$K42:$Q42)</f>
        <v>-5500</v>
      </c>
      <c r="S42" s="338">
        <v>-44000</v>
      </c>
      <c r="T42" s="423">
        <v>0</v>
      </c>
      <c r="U42" s="341"/>
      <c r="V42" s="423">
        <v>0</v>
      </c>
      <c r="W42" s="423">
        <v>0</v>
      </c>
      <c r="X42" s="423">
        <v>0</v>
      </c>
      <c r="Y42" s="423"/>
      <c r="Z42" s="264">
        <v>-2750</v>
      </c>
      <c r="AA42" s="423"/>
      <c r="AB42" s="273">
        <f>SUM('OPX_BN-1'!$T42:$AA42)</f>
        <v>-2750</v>
      </c>
      <c r="AC42" s="426"/>
      <c r="AD42" s="426"/>
      <c r="AE42" s="417">
        <v>0</v>
      </c>
      <c r="AF42" s="417">
        <v>0</v>
      </c>
      <c r="AG42" s="417">
        <v>0</v>
      </c>
      <c r="AH42" s="417">
        <v>0</v>
      </c>
      <c r="AI42" s="417">
        <v>0</v>
      </c>
      <c r="AJ42" s="271">
        <f>SUM('OPX_BN-1'!$AC42:$AI42)</f>
        <v>0</v>
      </c>
      <c r="AK42" s="429">
        <v>0</v>
      </c>
      <c r="AL42" s="276">
        <f>SUM('OPX_BN-1'!$J42,'OPX_BN-1'!$AB42,'OPX_BN-1'!$S42,'OPX_BN-1'!$AJ42,'OPX_BN-1'!$R42,'OPX_BN-1'!$AK42)</f>
        <v>-52250</v>
      </c>
      <c r="AM42" s="427">
        <v>0</v>
      </c>
    </row>
    <row r="43" spans="1:39" ht="15">
      <c r="A43" s="329" t="s">
        <v>570</v>
      </c>
      <c r="B43" s="327" t="str">
        <f>VLOOKUP('OPX_BN-1'!$A43,Tableau106[],3,FALSE)</f>
        <v>A532</v>
      </c>
      <c r="C43" s="327" t="str">
        <f>VLOOKUP('OPX_BN-1'!$A43,Tableau106[],2,FALSE)</f>
        <v>FR51E03E</v>
      </c>
      <c r="D43" s="327" t="str">
        <f>VLOOKUP('OPX_BN-1'!$A43,Tableau106[],8,FALSE)</f>
        <v>EOLIEN</v>
      </c>
      <c r="E43" s="328">
        <f>VLOOKUP('OPX_BN-1'!$A43,Tableau106[],4,FALSE)</f>
        <v>10.02</v>
      </c>
      <c r="F43" s="327" t="str">
        <f>VLOOKUP('OPX_BN-1'!$A43,Tableau106[],5,FALSE)</f>
        <v>CLAM</v>
      </c>
      <c r="G43" s="327" t="str">
        <f>VLOOKUP('OPX_BN-1'!$A43,Tableau106[],7,FALSE)</f>
        <v>GROUPE</v>
      </c>
      <c r="H43" s="327" t="str">
        <f>VLOOKUP('OPX_BN-1'!$A43,Tableau106[],6,FALSE)</f>
        <v>N</v>
      </c>
      <c r="I43" s="327" t="str">
        <f>VLOOKUP('OPX_BN-1'!$A43,Tableau106[],9,FALSE)</f>
        <v>AyB</v>
      </c>
      <c r="J43" s="160">
        <v>-12626.246851385387</v>
      </c>
      <c r="K43" s="489">
        <v>-5010</v>
      </c>
      <c r="L43" s="490">
        <v>0</v>
      </c>
      <c r="M43" s="229">
        <v>0</v>
      </c>
      <c r="N43" s="229">
        <v>0</v>
      </c>
      <c r="O43" s="229">
        <v>0</v>
      </c>
      <c r="P43" s="229">
        <v>0</v>
      </c>
      <c r="Q43" s="230">
        <v>-5010</v>
      </c>
      <c r="R43" s="274">
        <f>SUM('OPX_BN-1'!$K43:$Q43)</f>
        <v>-10020</v>
      </c>
      <c r="S43" s="338">
        <v>-338017.34480000002</v>
      </c>
      <c r="T43" s="423">
        <v>0</v>
      </c>
      <c r="U43" s="341"/>
      <c r="V43" s="423">
        <v>-400</v>
      </c>
      <c r="W43" s="423">
        <v>0</v>
      </c>
      <c r="X43" s="423">
        <v>0</v>
      </c>
      <c r="Y43" s="423"/>
      <c r="Z43" s="264">
        <v>-5010</v>
      </c>
      <c r="AA43" s="423"/>
      <c r="AB43" s="273">
        <f>SUM('OPX_BN-1'!$T43:$AA43)</f>
        <v>-5410</v>
      </c>
      <c r="AC43" s="426"/>
      <c r="AD43" s="426"/>
      <c r="AE43" s="417">
        <v>0</v>
      </c>
      <c r="AF43" s="417">
        <v>-8000</v>
      </c>
      <c r="AG43" s="417">
        <v>-30000</v>
      </c>
      <c r="AH43" s="417">
        <v>0</v>
      </c>
      <c r="AI43" s="417">
        <v>0</v>
      </c>
      <c r="AJ43" s="271">
        <f>SUM('OPX_BN-1'!$AC43:$AI43)</f>
        <v>-38000</v>
      </c>
      <c r="AK43" s="429">
        <v>0</v>
      </c>
      <c r="AL43" s="276">
        <f>SUM('OPX_BN-1'!$J43,'OPX_BN-1'!$AB43,'OPX_BN-1'!$S43,'OPX_BN-1'!$AJ43,'OPX_BN-1'!$R43,'OPX_BN-1'!$AK43)</f>
        <v>-404073.59165138542</v>
      </c>
      <c r="AM43" s="427">
        <v>0</v>
      </c>
    </row>
    <row r="44" spans="1:39" ht="15">
      <c r="A44" s="329" t="s">
        <v>567</v>
      </c>
      <c r="B44" s="327" t="str">
        <f>VLOOKUP('OPX_BN-1'!$A44,Tableau106[],3,FALSE)</f>
        <v>A532</v>
      </c>
      <c r="C44" s="327" t="str">
        <f>VLOOKUP('OPX_BN-1'!$A44,Tableau106[],2,FALSE)</f>
        <v>FR51E04E</v>
      </c>
      <c r="D44" s="327" t="str">
        <f>VLOOKUP('OPX_BN-1'!$A44,Tableau106[],8,FALSE)</f>
        <v>EOLIEN</v>
      </c>
      <c r="E44" s="328">
        <f>VLOOKUP('OPX_BN-1'!$A44,Tableau106[],4,FALSE)</f>
        <v>4</v>
      </c>
      <c r="F44" s="327" t="str">
        <f>VLOOKUP('OPX_BN-1'!$A44,Tableau106[],5,FALSE)</f>
        <v>CLA2</v>
      </c>
      <c r="G44" s="327" t="str">
        <f>VLOOKUP('OPX_BN-1'!$A44,Tableau106[],7,FALSE)</f>
        <v>GROUPE</v>
      </c>
      <c r="H44" s="327" t="str">
        <f>VLOOKUP('OPX_BN-1'!$A44,Tableau106[],6,FALSE)</f>
        <v>N</v>
      </c>
      <c r="I44" s="327" t="str">
        <f>VLOOKUP('OPX_BN-1'!$A44,Tableau106[],9,FALSE)</f>
        <v>AyB</v>
      </c>
      <c r="J44" s="160">
        <v>-23605.591939546593</v>
      </c>
      <c r="K44" s="489">
        <v>-2000</v>
      </c>
      <c r="L44" s="490">
        <v>0</v>
      </c>
      <c r="M44" s="229">
        <v>0</v>
      </c>
      <c r="N44" s="229">
        <v>0</v>
      </c>
      <c r="O44" s="229">
        <v>0</v>
      </c>
      <c r="P44" s="229">
        <v>-1400</v>
      </c>
      <c r="Q44" s="230">
        <v>-2000</v>
      </c>
      <c r="R44" s="274">
        <f>SUM('OPX_BN-1'!$K44:$Q44)</f>
        <v>-5400</v>
      </c>
      <c r="S44" s="338">
        <v>-105443.24256499999</v>
      </c>
      <c r="T44" s="423">
        <v>-900</v>
      </c>
      <c r="U44" s="341"/>
      <c r="V44" s="423">
        <v>-200</v>
      </c>
      <c r="W44" s="423">
        <v>0</v>
      </c>
      <c r="X44" s="423">
        <v>0</v>
      </c>
      <c r="Y44" s="423"/>
      <c r="Z44" s="264">
        <v>-2000</v>
      </c>
      <c r="AA44" s="423"/>
      <c r="AB44" s="273">
        <f>SUM('OPX_BN-1'!$T44:$AA44)</f>
        <v>-3100</v>
      </c>
      <c r="AC44" s="426"/>
      <c r="AD44" s="426"/>
      <c r="AE44" s="417">
        <v>0</v>
      </c>
      <c r="AF44" s="417">
        <v>-2000</v>
      </c>
      <c r="AG44" s="417">
        <v>-10000</v>
      </c>
      <c r="AH44" s="417">
        <v>0</v>
      </c>
      <c r="AI44" s="417">
        <v>0</v>
      </c>
      <c r="AJ44" s="271">
        <f>SUM('OPX_BN-1'!$AC44:$AI44)</f>
        <v>-12000</v>
      </c>
      <c r="AK44" s="429">
        <v>0</v>
      </c>
      <c r="AL44" s="276">
        <f>SUM('OPX_BN-1'!$J44,'OPX_BN-1'!$AB44,'OPX_BN-1'!$S44,'OPX_BN-1'!$AJ44,'OPX_BN-1'!$R44,'OPX_BN-1'!$AK44)</f>
        <v>-149548.8345045466</v>
      </c>
      <c r="AM44" s="427">
        <v>0</v>
      </c>
    </row>
    <row r="45" spans="1:39" ht="15">
      <c r="A45" s="329" t="s">
        <v>552</v>
      </c>
      <c r="B45" s="327" t="str">
        <f>VLOOKUP('OPX_BN-1'!$A45,Tableau106[],3,FALSE)</f>
        <v>A535</v>
      </c>
      <c r="C45" s="327" t="str">
        <f>VLOOKUP('OPX_BN-1'!$A45,Tableau106[],2,FALSE)</f>
        <v>FR02E10E</v>
      </c>
      <c r="D45" s="327" t="str">
        <f>VLOOKUP('OPX_BN-1'!$A45,Tableau106[],8,FALSE)</f>
        <v>EOLIEN</v>
      </c>
      <c r="E45" s="328">
        <f>VLOOKUP('OPX_BN-1'!$A45,Tableau106[],4,FALSE)</f>
        <v>15</v>
      </c>
      <c r="F45" s="327" t="str">
        <f>VLOOKUP('OPX_BN-1'!$A45,Tableau106[],5,FALSE)</f>
        <v>CLAN</v>
      </c>
      <c r="G45" s="327" t="str">
        <f>VLOOKUP('OPX_BN-1'!$A45,Tableau106[],7,FALSE)</f>
        <v>FUTUREN</v>
      </c>
      <c r="H45" s="327" t="str">
        <f>VLOOKUP('OPX_BN-1'!$A45,Tableau106[],6,FALSE)</f>
        <v>N</v>
      </c>
      <c r="I45" s="327" t="str">
        <f>VLOOKUP('OPX_BN-1'!$A45,Tableau106[],9,FALSE)</f>
        <v>NiL</v>
      </c>
      <c r="J45" s="160">
        <v>-277478.79254408041</v>
      </c>
      <c r="K45" s="489">
        <v>-6600</v>
      </c>
      <c r="L45" s="490">
        <v>0</v>
      </c>
      <c r="M45" s="229">
        <v>0</v>
      </c>
      <c r="N45" s="229">
        <v>0</v>
      </c>
      <c r="O45" s="229">
        <v>0</v>
      </c>
      <c r="P45" s="229">
        <v>-4620</v>
      </c>
      <c r="Q45" s="230">
        <v>-6600</v>
      </c>
      <c r="R45" s="274">
        <f>SUM('OPX_BN-1'!$K45:$Q45)</f>
        <v>-17820</v>
      </c>
      <c r="S45" s="338">
        <v>0</v>
      </c>
      <c r="T45" s="423">
        <v>0</v>
      </c>
      <c r="U45" s="341"/>
      <c r="V45" s="423">
        <v>-2000</v>
      </c>
      <c r="W45" s="423">
        <v>0</v>
      </c>
      <c r="X45" s="423">
        <v>0</v>
      </c>
      <c r="Y45" s="423"/>
      <c r="Z45" s="264">
        <v>-6600</v>
      </c>
      <c r="AA45" s="423"/>
      <c r="AB45" s="273">
        <f>SUM('OPX_BN-1'!$T45:$AA45)</f>
        <v>-8600</v>
      </c>
      <c r="AC45" s="426"/>
      <c r="AD45" s="426"/>
      <c r="AE45" s="417">
        <v>0</v>
      </c>
      <c r="AF45" s="417">
        <v>0</v>
      </c>
      <c r="AG45" s="417">
        <v>-12000</v>
      </c>
      <c r="AH45" s="417">
        <v>0</v>
      </c>
      <c r="AI45" s="417">
        <v>0</v>
      </c>
      <c r="AJ45" s="271">
        <f>SUM('OPX_BN-1'!$AC45:$AI45)</f>
        <v>-12000</v>
      </c>
      <c r="AK45" s="429">
        <v>0</v>
      </c>
      <c r="AL45" s="276">
        <f>SUM('OPX_BN-1'!$J45,'OPX_BN-1'!$AB45,'OPX_BN-1'!$S45,'OPX_BN-1'!$AJ45,'OPX_BN-1'!$R45,'OPX_BN-1'!$AK45)</f>
        <v>-315898.79254408041</v>
      </c>
      <c r="AM45" s="427">
        <v>0</v>
      </c>
    </row>
    <row r="46" spans="1:39" ht="15">
      <c r="A46" s="329" t="s">
        <v>468</v>
      </c>
      <c r="B46" s="327" t="str">
        <f>VLOOKUP('OPX_BN-1'!$A46,Tableau106[],3,FALSE)</f>
        <v>A893</v>
      </c>
      <c r="C46" s="327" t="str">
        <f>VLOOKUP('OPX_BN-1'!$A46,Tableau106[],2,FALSE)</f>
        <v>FR50E99E</v>
      </c>
      <c r="D46" s="327" t="str">
        <f>VLOOKUP('OPX_BN-1'!$A46,Tableau106[],8,FALSE)</f>
        <v>EOLIEN</v>
      </c>
      <c r="E46" s="328">
        <f>VLOOKUP('OPX_BN-1'!$A46,Tableau106[],4,FALSE)</f>
        <v>3.3</v>
      </c>
      <c r="F46" s="327" t="str">
        <f>VLOOKUP('OPX_BN-1'!$A46,Tableau106[],5,FALSE)</f>
        <v>CLIT</v>
      </c>
      <c r="G46" s="327" t="str">
        <f>VLOOKUP('OPX_BN-1'!$A46,Tableau106[],7,FALSE)</f>
        <v>GROUPE</v>
      </c>
      <c r="H46" s="327" t="str">
        <f>VLOOKUP('OPX_BN-1'!$A46,Tableau106[],6,FALSE)</f>
        <v>N</v>
      </c>
      <c r="I46" s="327" t="str">
        <f>VLOOKUP('OPX_BN-1'!$A46,Tableau106[],9,FALSE)</f>
        <v>AnN</v>
      </c>
      <c r="J46" s="160">
        <v>-57305.231999999996</v>
      </c>
      <c r="K46" s="489">
        <v>-56730</v>
      </c>
      <c r="L46" s="490">
        <v>0</v>
      </c>
      <c r="M46" s="229">
        <v>0</v>
      </c>
      <c r="N46" s="229">
        <v>0</v>
      </c>
      <c r="O46" s="229">
        <v>0</v>
      </c>
      <c r="P46" s="229">
        <v>0</v>
      </c>
      <c r="Q46" s="230">
        <v>-1650</v>
      </c>
      <c r="R46" s="274">
        <f>SUM('OPX_BN-1'!$K46:$Q46)</f>
        <v>-58380</v>
      </c>
      <c r="S46" s="338">
        <v>0</v>
      </c>
      <c r="T46" s="423">
        <v>0</v>
      </c>
      <c r="U46" s="341"/>
      <c r="V46" s="423">
        <v>-700</v>
      </c>
      <c r="W46" s="423">
        <v>0</v>
      </c>
      <c r="X46" s="423">
        <v>0</v>
      </c>
      <c r="Y46" s="423"/>
      <c r="Z46" s="264">
        <v>-1650</v>
      </c>
      <c r="AA46" s="423"/>
      <c r="AB46" s="273">
        <f>SUM('OPX_BN-1'!$T46:$AA46)</f>
        <v>-2350</v>
      </c>
      <c r="AC46" s="426"/>
      <c r="AD46" s="426"/>
      <c r="AE46" s="417">
        <v>0</v>
      </c>
      <c r="AF46" s="417">
        <v>0</v>
      </c>
      <c r="AG46" s="417">
        <v>0</v>
      </c>
      <c r="AH46" s="417">
        <v>0</v>
      </c>
      <c r="AI46" s="417">
        <v>0</v>
      </c>
      <c r="AJ46" s="271">
        <f>SUM('OPX_BN-1'!$AC46:$AI46)</f>
        <v>0</v>
      </c>
      <c r="AK46" s="429">
        <v>0</v>
      </c>
      <c r="AL46" s="276">
        <f>SUM('OPX_BN-1'!$J46,'OPX_BN-1'!$AB46,'OPX_BN-1'!$S46,'OPX_BN-1'!$AJ46,'OPX_BN-1'!$R46,'OPX_BN-1'!$AK46)</f>
        <v>-118035.23199999999</v>
      </c>
      <c r="AM46" s="427">
        <v>0</v>
      </c>
    </row>
    <row r="47" spans="1:39" ht="15">
      <c r="A47" s="329" t="s">
        <v>481</v>
      </c>
      <c r="B47" s="327" t="str">
        <f>VLOOKUP('OPX_BN-1'!$A47,Tableau106[],3,FALSE)</f>
        <v>A313</v>
      </c>
      <c r="C47" s="327" t="str">
        <f>VLOOKUP('OPX_BN-1'!$A47,Tableau106[],2,FALSE)</f>
        <v>FR21S03E</v>
      </c>
      <c r="D47" s="327" t="str">
        <f>VLOOKUP('OPX_BN-1'!$A47,Tableau106[],8,FALSE)</f>
        <v>SOLAIRE</v>
      </c>
      <c r="E47" s="328">
        <f>VLOOKUP('OPX_BN-1'!$A47,Tableau106[],4,FALSE)</f>
        <v>5</v>
      </c>
      <c r="F47" s="327" t="str">
        <f>VLOOKUP('OPX_BN-1'!$A47,Tableau106[],5,FALSE)</f>
        <v>COLB</v>
      </c>
      <c r="G47" s="327" t="str">
        <f>VLOOKUP('OPX_BN-1'!$A47,Tableau106[],7,FALSE)</f>
        <v>GROUPE</v>
      </c>
      <c r="H47" s="327" t="str">
        <f>VLOOKUP('OPX_BN-1'!$A47,Tableau106[],6,FALSE)</f>
        <v>N</v>
      </c>
      <c r="I47" s="327" t="str">
        <f>VLOOKUP('OPX_BN-1'!$A47,Tableau106[],9,FALSE)</f>
        <v>LoG</v>
      </c>
      <c r="J47" s="160">
        <v>-25000</v>
      </c>
      <c r="K47" s="489">
        <v>-2500</v>
      </c>
      <c r="L47" s="490">
        <v>0</v>
      </c>
      <c r="M47" s="229">
        <v>0</v>
      </c>
      <c r="N47" s="229">
        <v>0</v>
      </c>
      <c r="O47" s="229">
        <v>0</v>
      </c>
      <c r="P47" s="229">
        <v>0</v>
      </c>
      <c r="Q47" s="230">
        <v>-2500</v>
      </c>
      <c r="R47" s="274">
        <f>SUM('OPX_BN-1'!$K47:$Q47)</f>
        <v>-5000</v>
      </c>
      <c r="S47" s="338">
        <v>0</v>
      </c>
      <c r="T47" s="423">
        <v>0</v>
      </c>
      <c r="U47" s="341"/>
      <c r="V47" s="423">
        <v>0</v>
      </c>
      <c r="W47" s="423">
        <v>0</v>
      </c>
      <c r="X47" s="423">
        <v>0</v>
      </c>
      <c r="Y47" s="423"/>
      <c r="Z47" s="264">
        <v>-2500</v>
      </c>
      <c r="AA47" s="423"/>
      <c r="AB47" s="273">
        <f>SUM('OPX_BN-1'!$T47:$AA47)</f>
        <v>-2500</v>
      </c>
      <c r="AC47" s="426"/>
      <c r="AD47" s="426"/>
      <c r="AE47" s="417">
        <v>0</v>
      </c>
      <c r="AF47" s="417">
        <v>0</v>
      </c>
      <c r="AG47" s="417">
        <v>0</v>
      </c>
      <c r="AH47" s="417">
        <v>-14000</v>
      </c>
      <c r="AI47" s="417">
        <v>0</v>
      </c>
      <c r="AJ47" s="271">
        <f>SUM('OPX_BN-1'!$AC47:$AI47)</f>
        <v>-14000</v>
      </c>
      <c r="AK47" s="429">
        <v>0</v>
      </c>
      <c r="AL47" s="276">
        <f>SUM('OPX_BN-1'!$J47,'OPX_BN-1'!$AB47,'OPX_BN-1'!$S47,'OPX_BN-1'!$AJ47,'OPX_BN-1'!$R47,'OPX_BN-1'!$AK47)</f>
        <v>-46500</v>
      </c>
      <c r="AM47" s="427">
        <v>0</v>
      </c>
    </row>
    <row r="48" spans="1:39" ht="15">
      <c r="A48" s="329" t="s">
        <v>544</v>
      </c>
      <c r="B48" s="327" t="str">
        <f>VLOOKUP('OPX_BN-1'!$A48,Tableau106[],3,FALSE)</f>
        <v>A958</v>
      </c>
      <c r="C48" s="327" t="str">
        <f>VLOOKUP('OPX_BN-1'!$A48,Tableau106[],2,FALSE)</f>
        <v>FR11E92E</v>
      </c>
      <c r="D48" s="327" t="str">
        <f>VLOOKUP('OPX_BN-1'!$A48,Tableau106[],8,FALSE)</f>
        <v>EOLIEN</v>
      </c>
      <c r="E48" s="328">
        <f>VLOOKUP('OPX_BN-1'!$A48,Tableau106[],4,FALSE)</f>
        <v>9.1999999999999993</v>
      </c>
      <c r="F48" s="327" t="str">
        <f>VLOOKUP('OPX_BN-1'!$A48,Tableau106[],5,FALSE)</f>
        <v>CONI</v>
      </c>
      <c r="G48" s="327" t="str">
        <f>VLOOKUP('OPX_BN-1'!$A48,Tableau106[],7,FALSE)</f>
        <v>FUTUREN</v>
      </c>
      <c r="H48" s="327" t="str">
        <f>VLOOKUP('OPX_BN-1'!$A48,Tableau106[],6,FALSE)</f>
        <v>S</v>
      </c>
      <c r="I48" s="327" t="str">
        <f>VLOOKUP('OPX_BN-1'!$A48,Tableau106[],9,FALSE)</f>
        <v>StE</v>
      </c>
      <c r="J48" s="160">
        <v>-12626.246851385387</v>
      </c>
      <c r="K48" s="489">
        <v>-4600</v>
      </c>
      <c r="L48" s="490">
        <v>0</v>
      </c>
      <c r="M48" s="229">
        <v>0</v>
      </c>
      <c r="N48" s="229">
        <v>0</v>
      </c>
      <c r="O48" s="229">
        <v>0</v>
      </c>
      <c r="P48" s="229">
        <v>-3220</v>
      </c>
      <c r="Q48" s="230">
        <v>-4600</v>
      </c>
      <c r="R48" s="274">
        <f>SUM('OPX_BN-1'!$K48:$Q48)</f>
        <v>-12420</v>
      </c>
      <c r="S48" s="338">
        <v>-267680.84747600002</v>
      </c>
      <c r="T48" s="423">
        <v>0</v>
      </c>
      <c r="U48" s="341"/>
      <c r="V48" s="423">
        <v>-6000</v>
      </c>
      <c r="W48" s="423">
        <v>-6000</v>
      </c>
      <c r="X48" s="423">
        <v>0</v>
      </c>
      <c r="Y48" s="423"/>
      <c r="Z48" s="264">
        <v>-4600</v>
      </c>
      <c r="AA48" s="423"/>
      <c r="AB48" s="273">
        <f>SUM('OPX_BN-1'!$T48:$AA48)</f>
        <v>-16600</v>
      </c>
      <c r="AC48" s="426"/>
      <c r="AD48" s="426"/>
      <c r="AE48" s="417">
        <v>-5000</v>
      </c>
      <c r="AF48" s="417">
        <v>0</v>
      </c>
      <c r="AG48" s="417">
        <v>0</v>
      </c>
      <c r="AH48" s="417">
        <v>0</v>
      </c>
      <c r="AI48" s="417">
        <v>-5000</v>
      </c>
      <c r="AJ48" s="271">
        <f>SUM('OPX_BN-1'!$AC48:$AI48)</f>
        <v>-10000</v>
      </c>
      <c r="AK48" s="429">
        <v>0</v>
      </c>
      <c r="AL48" s="276">
        <f>SUM('OPX_BN-1'!$J48,'OPX_BN-1'!$AB48,'OPX_BN-1'!$S48,'OPX_BN-1'!$AJ48,'OPX_BN-1'!$R48,'OPX_BN-1'!$AK48)</f>
        <v>-319327.09432738542</v>
      </c>
      <c r="AM48" s="427">
        <v>0</v>
      </c>
    </row>
    <row r="49" spans="1:39" ht="15">
      <c r="A49" s="329" t="s">
        <v>580</v>
      </c>
      <c r="B49" s="327" t="str">
        <f>VLOOKUP('OPX_BN-1'!$A49,Tableau106[],3,FALSE)</f>
        <v>A064</v>
      </c>
      <c r="C49" s="327" t="str">
        <f>VLOOKUP('OPX_BN-1'!$A49,Tableau106[],2,FALSE)</f>
        <v>FR34E92E</v>
      </c>
      <c r="D49" s="327" t="str">
        <f>VLOOKUP('OPX_BN-1'!$A49,Tableau106[],8,FALSE)</f>
        <v>EOLIEN</v>
      </c>
      <c r="E49" s="328">
        <f>VLOOKUP('OPX_BN-1'!$A49,Tableau106[],4,FALSE)</f>
        <v>12</v>
      </c>
      <c r="F49" s="327" t="str">
        <f>VLOOKUP('OPX_BN-1'!$A49,Tableau106[],5,FALSE)</f>
        <v>AUCO</v>
      </c>
      <c r="G49" s="327" t="str">
        <f>VLOOKUP('OPX_BN-1'!$A49,Tableau106[],7,FALSE)</f>
        <v>GROUPE</v>
      </c>
      <c r="H49" s="327" t="str">
        <f>VLOOKUP('OPX_BN-1'!$A49,Tableau106[],6,FALSE)</f>
        <v>S</v>
      </c>
      <c r="I49" s="327" t="str">
        <f>VLOOKUP('OPX_BN-1'!$A49,Tableau106[],9,FALSE)</f>
        <v>KéD</v>
      </c>
      <c r="J49" s="160">
        <v>-419600.46</v>
      </c>
      <c r="K49" s="489">
        <v>-18000</v>
      </c>
      <c r="L49" s="490">
        <v>0</v>
      </c>
      <c r="M49" s="229">
        <v>0</v>
      </c>
      <c r="N49" s="229">
        <v>0</v>
      </c>
      <c r="O49" s="229">
        <v>0</v>
      </c>
      <c r="P49" s="229">
        <v>-4200</v>
      </c>
      <c r="Q49" s="230">
        <v>-24000</v>
      </c>
      <c r="R49" s="274">
        <f>SUM('OPX_BN-1'!$K49:$Q49)</f>
        <v>-46200</v>
      </c>
      <c r="S49" s="338">
        <v>0</v>
      </c>
      <c r="T49" s="423">
        <v>0</v>
      </c>
      <c r="U49" s="341"/>
      <c r="V49" s="423">
        <v>-15000</v>
      </c>
      <c r="W49" s="423">
        <v>0</v>
      </c>
      <c r="X49" s="423">
        <v>0</v>
      </c>
      <c r="Y49" s="423"/>
      <c r="Z49" s="264">
        <v>-29000</v>
      </c>
      <c r="AA49" s="423"/>
      <c r="AB49" s="273">
        <f>SUM('OPX_BN-1'!$T49:$AA49)</f>
        <v>-44000</v>
      </c>
      <c r="AC49" s="426"/>
      <c r="AD49" s="426"/>
      <c r="AE49" s="417">
        <v>0</v>
      </c>
      <c r="AF49" s="417">
        <v>0</v>
      </c>
      <c r="AG49" s="417">
        <v>-21451</v>
      </c>
      <c r="AH49" s="417">
        <v>-37103.94</v>
      </c>
      <c r="AI49" s="417">
        <v>0</v>
      </c>
      <c r="AJ49" s="271">
        <f>SUM('OPX_BN-1'!$AC49:$AI49)</f>
        <v>-58554.94</v>
      </c>
      <c r="AK49" s="429">
        <v>0</v>
      </c>
      <c r="AL49" s="276">
        <f>SUM('OPX_BN-1'!$J49,'OPX_BN-1'!$AB49,'OPX_BN-1'!$S49,'OPX_BN-1'!$AJ49,'OPX_BN-1'!$R49,'OPX_BN-1'!$AK49)</f>
        <v>-568355.4</v>
      </c>
      <c r="AM49" s="427">
        <v>0</v>
      </c>
    </row>
    <row r="50" spans="1:39" ht="15">
      <c r="A50" s="329" t="s">
        <v>106</v>
      </c>
      <c r="B50" s="327" t="str">
        <f>VLOOKUP('OPX_BN-1'!$A50,Tableau106[],3,FALSE)</f>
        <v>F069</v>
      </c>
      <c r="C50" s="327" t="str">
        <f>VLOOKUP('OPX_BN-1'!$A50,Tableau106[],2,FALSE)</f>
        <v>FR20E01E</v>
      </c>
      <c r="D50" s="327" t="str">
        <f>VLOOKUP('OPX_BN-1'!$A50,Tableau106[],8,FALSE)</f>
        <v>EOLIEN</v>
      </c>
      <c r="E50" s="328">
        <f>VLOOKUP('OPX_BN-1'!$A50,Tableau106[],4,FALSE)</f>
        <v>6</v>
      </c>
      <c r="F50" s="327" t="str">
        <f>VLOOKUP('OPX_BN-1'!$A50,Tableau106[],5,FALSE)</f>
        <v>CORS</v>
      </c>
      <c r="G50" s="327" t="str">
        <f>VLOOKUP('OPX_BN-1'!$A50,Tableau106[],7,FALSE)</f>
        <v>FUTUREN</v>
      </c>
      <c r="H50" s="327" t="str">
        <f>VLOOKUP('OPX_BN-1'!$A50,Tableau106[],6,FALSE)</f>
        <v>S</v>
      </c>
      <c r="I50" s="327" t="str">
        <f>VLOOKUP('OPX_BN-1'!$A50,Tableau106[],9,FALSE)</f>
        <v>SaH</v>
      </c>
      <c r="J50" s="160">
        <v>-3408.4386885245899</v>
      </c>
      <c r="K50" s="489">
        <v>-3000</v>
      </c>
      <c r="L50" s="490">
        <v>0</v>
      </c>
      <c r="M50" s="229">
        <v>0</v>
      </c>
      <c r="N50" s="229">
        <v>0</v>
      </c>
      <c r="O50" s="229">
        <v>0</v>
      </c>
      <c r="P50" s="229">
        <v>0</v>
      </c>
      <c r="Q50" s="230">
        <v>-3000</v>
      </c>
      <c r="R50" s="274">
        <f>SUM('OPX_BN-1'!$K50:$Q50)</f>
        <v>-6000</v>
      </c>
      <c r="S50" s="338">
        <v>-286086.09999999998</v>
      </c>
      <c r="T50" s="423">
        <v>-2000</v>
      </c>
      <c r="U50" s="341"/>
      <c r="V50" s="423">
        <v>-6000</v>
      </c>
      <c r="W50" s="423">
        <v>-13500</v>
      </c>
      <c r="X50" s="423">
        <v>0</v>
      </c>
      <c r="Y50" s="423"/>
      <c r="Z50" s="264">
        <v>-3000</v>
      </c>
      <c r="AA50" s="423"/>
      <c r="AB50" s="273">
        <f>SUM('OPX_BN-1'!$T50:$AA50)</f>
        <v>-24500</v>
      </c>
      <c r="AC50" s="426"/>
      <c r="AD50" s="426"/>
      <c r="AE50" s="417">
        <v>0</v>
      </c>
      <c r="AF50" s="417">
        <v>0</v>
      </c>
      <c r="AG50" s="417">
        <v>0</v>
      </c>
      <c r="AH50" s="417">
        <v>0</v>
      </c>
      <c r="AI50" s="417">
        <v>0</v>
      </c>
      <c r="AJ50" s="271">
        <f>SUM('OPX_BN-1'!$AC50:$AI50)</f>
        <v>0</v>
      </c>
      <c r="AK50" s="429">
        <v>0</v>
      </c>
      <c r="AL50" s="276">
        <f>SUM('OPX_BN-1'!$J50,'OPX_BN-1'!$AB50,'OPX_BN-1'!$S50,'OPX_BN-1'!$AJ50,'OPX_BN-1'!$R50,'OPX_BN-1'!$AK50)</f>
        <v>-319994.53868852457</v>
      </c>
      <c r="AM50" s="427">
        <v>0</v>
      </c>
    </row>
    <row r="51" spans="1:39" ht="15">
      <c r="A51" s="329" t="s">
        <v>443</v>
      </c>
      <c r="B51" s="327" t="str">
        <f>VLOOKUP('OPX_BN-1'!$A51,Tableau106[],3,FALSE)</f>
        <v>A051</v>
      </c>
      <c r="C51" s="327" t="str">
        <f>VLOOKUP('OPX_BN-1'!$A51,Tableau106[],2,FALSE)</f>
        <v>FR85E99E</v>
      </c>
      <c r="D51" s="327" t="str">
        <f>VLOOKUP('OPX_BN-1'!$A51,Tableau106[],8,FALSE)</f>
        <v>EOLIEN</v>
      </c>
      <c r="E51" s="328">
        <f>VLOOKUP('OPX_BN-1'!$A51,Tableau106[],4,FALSE)</f>
        <v>12</v>
      </c>
      <c r="F51" s="327" t="str">
        <f>VLOOKUP('OPX_BN-1'!$A51,Tableau106[],5,FALSE)</f>
        <v>JADE</v>
      </c>
      <c r="G51" s="327" t="str">
        <f>VLOOKUP('OPX_BN-1'!$A51,Tableau106[],7,FALSE)</f>
        <v>GROUPE</v>
      </c>
      <c r="H51" s="327" t="str">
        <f>VLOOKUP('OPX_BN-1'!$A51,Tableau106[],6,FALSE)</f>
        <v>N</v>
      </c>
      <c r="I51" s="327" t="str">
        <f>VLOOKUP('OPX_BN-1'!$A51,Tableau106[],9,FALSE)</f>
        <v>AyB</v>
      </c>
      <c r="J51" s="160">
        <v>0</v>
      </c>
      <c r="K51" s="489">
        <v>-6000</v>
      </c>
      <c r="L51" s="490">
        <v>0</v>
      </c>
      <c r="M51" s="229">
        <v>0</v>
      </c>
      <c r="N51" s="229">
        <v>0</v>
      </c>
      <c r="O51" s="229">
        <v>0</v>
      </c>
      <c r="P51" s="229">
        <v>-4200</v>
      </c>
      <c r="Q51" s="230">
        <v>-6000</v>
      </c>
      <c r="R51" s="274">
        <f>SUM('OPX_BN-1'!$K51:$Q51)</f>
        <v>-16200</v>
      </c>
      <c r="S51" s="338">
        <v>-213721.26240799998</v>
      </c>
      <c r="T51" s="423">
        <v>-5000</v>
      </c>
      <c r="U51" s="341"/>
      <c r="V51" s="423">
        <v>-5000</v>
      </c>
      <c r="W51" s="423">
        <v>0</v>
      </c>
      <c r="X51" s="423">
        <v>0</v>
      </c>
      <c r="Y51" s="423"/>
      <c r="Z51" s="264">
        <v>-6000</v>
      </c>
      <c r="AA51" s="423"/>
      <c r="AB51" s="273">
        <f>SUM('OPX_BN-1'!$T51:$AA51)</f>
        <v>-16000</v>
      </c>
      <c r="AC51" s="426"/>
      <c r="AD51" s="426"/>
      <c r="AE51" s="417">
        <v>-10000</v>
      </c>
      <c r="AF51" s="417">
        <v>-10000</v>
      </c>
      <c r="AG51" s="417">
        <v>-20000</v>
      </c>
      <c r="AH51" s="417">
        <v>0</v>
      </c>
      <c r="AI51" s="417">
        <v>-10000</v>
      </c>
      <c r="AJ51" s="271">
        <f>SUM('OPX_BN-1'!$AC51:$AI51)</f>
        <v>-50000</v>
      </c>
      <c r="AK51" s="429">
        <v>0</v>
      </c>
      <c r="AL51" s="276">
        <f>SUM('OPX_BN-1'!$J51,'OPX_BN-1'!$AB51,'OPX_BN-1'!$S51,'OPX_BN-1'!$AJ51,'OPX_BN-1'!$R51,'OPX_BN-1'!$AK51)</f>
        <v>-295921.26240799995</v>
      </c>
      <c r="AM51" s="427">
        <v>0</v>
      </c>
    </row>
    <row r="52" spans="1:39" ht="15">
      <c r="A52" s="329" t="s">
        <v>620</v>
      </c>
      <c r="B52" s="327" t="str">
        <f>VLOOKUP('OPX_BN-1'!$A52,Tableau106[],3,FALSE)</f>
        <v>A541</v>
      </c>
      <c r="C52" s="327" t="str">
        <f>VLOOKUP('OPX_BN-1'!$A52,Tableau106[],2,FALSE)</f>
        <v>FR55E02E</v>
      </c>
      <c r="D52" s="327" t="str">
        <f>VLOOKUP('OPX_BN-1'!$A52,Tableau106[],8,FALSE)</f>
        <v>EOLIEN</v>
      </c>
      <c r="E52" s="328">
        <f>VLOOKUP('OPX_BN-1'!$A52,Tableau106[],4,FALSE)</f>
        <v>12</v>
      </c>
      <c r="F52" s="327" t="str">
        <f>VLOOKUP('OPX_BN-1'!$A52,Tableau106[],5,FALSE)</f>
        <v>COUR</v>
      </c>
      <c r="G52" s="327" t="str">
        <f>VLOOKUP('OPX_BN-1'!$A52,Tableau106[],7,FALSE)</f>
        <v>EGM</v>
      </c>
      <c r="H52" s="327" t="str">
        <f>VLOOKUP('OPX_BN-1'!$A52,Tableau106[],6,FALSE)</f>
        <v>N</v>
      </c>
      <c r="I52" s="327" t="str">
        <f>VLOOKUP('OPX_BN-1'!$A52,Tableau106[],9,FALSE)</f>
        <v>BaB</v>
      </c>
      <c r="J52" s="160">
        <v>-307815.93714434805</v>
      </c>
      <c r="K52" s="489">
        <v>-6000</v>
      </c>
      <c r="L52" s="490">
        <v>-39682.539682539682</v>
      </c>
      <c r="M52" s="229">
        <v>0</v>
      </c>
      <c r="N52" s="229">
        <v>0</v>
      </c>
      <c r="O52" s="229">
        <v>0</v>
      </c>
      <c r="P52" s="229">
        <v>-4200</v>
      </c>
      <c r="Q52" s="230">
        <v>-6000</v>
      </c>
      <c r="R52" s="274">
        <f>SUM('OPX_BN-1'!$K52:$Q52)</f>
        <v>-55882.539682539682</v>
      </c>
      <c r="S52" s="338">
        <v>0</v>
      </c>
      <c r="T52" s="423">
        <v>0</v>
      </c>
      <c r="U52" s="341"/>
      <c r="V52" s="423">
        <v>-1800</v>
      </c>
      <c r="W52" s="423">
        <v>0</v>
      </c>
      <c r="X52" s="423">
        <v>0</v>
      </c>
      <c r="Y52" s="423"/>
      <c r="Z52" s="264">
        <v>-6000</v>
      </c>
      <c r="AA52" s="423"/>
      <c r="AB52" s="273">
        <f>SUM('OPX_BN-1'!$T52:$AA52)</f>
        <v>-7800</v>
      </c>
      <c r="AC52" s="426"/>
      <c r="AD52" s="426"/>
      <c r="AE52" s="417">
        <v>0</v>
      </c>
      <c r="AF52" s="417">
        <v>0</v>
      </c>
      <c r="AG52" s="417">
        <v>0</v>
      </c>
      <c r="AH52" s="417">
        <v>0</v>
      </c>
      <c r="AI52" s="417">
        <v>0</v>
      </c>
      <c r="AJ52" s="271">
        <f>SUM('OPX_BN-1'!$AC52:$AI52)</f>
        <v>0</v>
      </c>
      <c r="AK52" s="429">
        <v>0</v>
      </c>
      <c r="AL52" s="276">
        <f>SUM('OPX_BN-1'!$J52,'OPX_BN-1'!$AB52,'OPX_BN-1'!$S52,'OPX_BN-1'!$AJ52,'OPX_BN-1'!$R52,'OPX_BN-1'!$AK52)</f>
        <v>-371498.47682688775</v>
      </c>
      <c r="AM52" s="427">
        <v>0</v>
      </c>
    </row>
    <row r="53" spans="1:39" ht="15">
      <c r="A53" s="329" t="s">
        <v>486</v>
      </c>
      <c r="B53" s="327" t="str">
        <f>VLOOKUP('OPX_BN-1'!$A53,Tableau106[],3,FALSE)</f>
        <v>A290</v>
      </c>
      <c r="C53" s="327" t="str">
        <f>VLOOKUP('OPX_BN-1'!$A53,Tableau106[],2,FALSE)</f>
        <v>FR38S07E</v>
      </c>
      <c r="D53" s="327" t="str">
        <f>VLOOKUP('OPX_BN-1'!$A53,Tableau106[],8,FALSE)</f>
        <v>SOLAIRE</v>
      </c>
      <c r="E53" s="328">
        <f>VLOOKUP('OPX_BN-1'!$A53,Tableau106[],4,FALSE)</f>
        <v>10.8</v>
      </c>
      <c r="F53" s="327" t="str">
        <f>VLOOKUP('OPX_BN-1'!$A53,Tableau106[],5,FALSE)</f>
        <v>CRMA</v>
      </c>
      <c r="G53" s="327" t="str">
        <f>VLOOKUP('OPX_BN-1'!$A53,Tableau106[],7,FALSE)</f>
        <v>GROUPE</v>
      </c>
      <c r="H53" s="327" t="str">
        <f>VLOOKUP('OPX_BN-1'!$A53,Tableau106[],6,FALSE)</f>
        <v>S</v>
      </c>
      <c r="I53" s="327" t="str">
        <f>VLOOKUP('OPX_BN-1'!$A53,Tableau106[],9,FALSE)</f>
        <v>ZaA</v>
      </c>
      <c r="J53" s="160">
        <v>-88128</v>
      </c>
      <c r="K53" s="489">
        <v>-5400</v>
      </c>
      <c r="L53" s="490">
        <v>0</v>
      </c>
      <c r="M53" s="229">
        <v>0</v>
      </c>
      <c r="N53" s="229">
        <v>0</v>
      </c>
      <c r="O53" s="229">
        <v>0</v>
      </c>
      <c r="P53" s="229">
        <v>0</v>
      </c>
      <c r="Q53" s="230">
        <v>-5400</v>
      </c>
      <c r="R53" s="274">
        <f>SUM('OPX_BN-1'!$K53:$Q53)</f>
        <v>-10800</v>
      </c>
      <c r="S53" s="338">
        <v>0</v>
      </c>
      <c r="T53" s="423">
        <v>0</v>
      </c>
      <c r="U53" s="341"/>
      <c r="V53" s="423">
        <v>0</v>
      </c>
      <c r="W53" s="423">
        <v>0</v>
      </c>
      <c r="X53" s="423">
        <v>0</v>
      </c>
      <c r="Y53" s="423"/>
      <c r="Z53" s="264">
        <v>-5400</v>
      </c>
      <c r="AA53" s="423"/>
      <c r="AB53" s="273">
        <f>SUM('OPX_BN-1'!$T53:$AA53)</f>
        <v>-5400</v>
      </c>
      <c r="AC53" s="426"/>
      <c r="AD53" s="426"/>
      <c r="AE53" s="417">
        <v>0</v>
      </c>
      <c r="AF53" s="417">
        <v>0</v>
      </c>
      <c r="AG53" s="417">
        <v>0</v>
      </c>
      <c r="AH53" s="417">
        <v>-10000</v>
      </c>
      <c r="AI53" s="417">
        <v>-9000</v>
      </c>
      <c r="AJ53" s="271">
        <f>SUM('OPX_BN-1'!$AC53:$AI53)</f>
        <v>-19000</v>
      </c>
      <c r="AK53" s="429">
        <v>0</v>
      </c>
      <c r="AL53" s="276">
        <f>SUM('OPX_BN-1'!$J53,'OPX_BN-1'!$AB53,'OPX_BN-1'!$S53,'OPX_BN-1'!$AJ53,'OPX_BN-1'!$R53,'OPX_BN-1'!$AK53)</f>
        <v>-123328</v>
      </c>
      <c r="AM53" s="427">
        <v>0</v>
      </c>
    </row>
    <row r="54" spans="1:39" ht="15">
      <c r="A54" s="329" t="s">
        <v>487</v>
      </c>
      <c r="B54" s="327" t="str">
        <f>VLOOKUP('OPX_BN-1'!$A54,Tableau106[],3,FALSE)</f>
        <v>A385</v>
      </c>
      <c r="C54" s="327" t="str">
        <f>VLOOKUP('OPX_BN-1'!$A54,Tableau106[],2,FALSE)</f>
        <v>FR28S02E</v>
      </c>
      <c r="D54" s="327" t="str">
        <f>VLOOKUP('OPX_BN-1'!$A54,Tableau106[],8,FALSE)</f>
        <v>SOLAIRE</v>
      </c>
      <c r="E54" s="328">
        <f>VLOOKUP('OPX_BN-1'!$A54,Tableau106[],4,FALSE)</f>
        <v>36</v>
      </c>
      <c r="F54" s="327" t="str">
        <f>VLOOKUP('OPX_BN-1'!$A54,Tableau106[],5,FALSE)</f>
        <v>CY11, CY12, CY13</v>
      </c>
      <c r="G54" s="327" t="str">
        <f>VLOOKUP('OPX_BN-1'!$A54,Tableau106[],7,FALSE)</f>
        <v>GROUPE</v>
      </c>
      <c r="H54" s="327" t="str">
        <f>VLOOKUP('OPX_BN-1'!$A54,Tableau106[],6,FALSE)</f>
        <v>N</v>
      </c>
      <c r="I54" s="327" t="str">
        <f>VLOOKUP('OPX_BN-1'!$A54,Tableau106[],9,FALSE)</f>
        <v>LoG</v>
      </c>
      <c r="J54" s="160">
        <v>-791487</v>
      </c>
      <c r="K54" s="489">
        <v>-48000</v>
      </c>
      <c r="L54" s="490">
        <v>0</v>
      </c>
      <c r="M54" s="229">
        <v>-27000</v>
      </c>
      <c r="N54" s="229">
        <v>0</v>
      </c>
      <c r="O54" s="229">
        <v>0</v>
      </c>
      <c r="P54" s="229">
        <v>0</v>
      </c>
      <c r="Q54" s="230">
        <v>-18000</v>
      </c>
      <c r="R54" s="274">
        <f>SUM('OPX_BN-1'!$K54:$Q54)</f>
        <v>-93000</v>
      </c>
      <c r="S54" s="338">
        <v>0</v>
      </c>
      <c r="T54" s="423">
        <v>0</v>
      </c>
      <c r="U54" s="341"/>
      <c r="V54" s="423">
        <v>-30000</v>
      </c>
      <c r="W54" s="423">
        <v>0</v>
      </c>
      <c r="X54" s="423">
        <v>0</v>
      </c>
      <c r="Y54" s="423"/>
      <c r="Z54" s="264">
        <v>-38000</v>
      </c>
      <c r="AA54" s="423"/>
      <c r="AB54" s="273">
        <f>SUM('OPX_BN-1'!$T54:$AA54)</f>
        <v>-68000</v>
      </c>
      <c r="AC54" s="426"/>
      <c r="AD54" s="426"/>
      <c r="AE54" s="417">
        <v>0</v>
      </c>
      <c r="AF54" s="417">
        <v>0</v>
      </c>
      <c r="AG54" s="417">
        <v>0</v>
      </c>
      <c r="AH54" s="417">
        <v>0</v>
      </c>
      <c r="AI54" s="417">
        <v>-10000</v>
      </c>
      <c r="AJ54" s="271">
        <f>SUM('OPX_BN-1'!$AC54:$AI54)</f>
        <v>-10000</v>
      </c>
      <c r="AK54" s="429">
        <v>-48000</v>
      </c>
      <c r="AL54" s="276">
        <f>SUM('OPX_BN-1'!$J54,'OPX_BN-1'!$AB54,'OPX_BN-1'!$S54,'OPX_BN-1'!$AJ54,'OPX_BN-1'!$R54,'OPX_BN-1'!$AK54)</f>
        <v>-1010487</v>
      </c>
      <c r="AM54" s="427">
        <v>0</v>
      </c>
    </row>
    <row r="55" spans="1:39" ht="15">
      <c r="A55" s="329" t="s">
        <v>118</v>
      </c>
      <c r="B55" s="327" t="str">
        <f>VLOOKUP('OPX_BN-1'!$A55,Tableau106[],3,FALSE)</f>
        <v>F142</v>
      </c>
      <c r="C55" s="327" t="str">
        <f>VLOOKUP('OPX_BN-1'!$A55,Tableau106[],2,FALSE)</f>
        <v>FR55E14E</v>
      </c>
      <c r="D55" s="327" t="str">
        <f>VLOOKUP('OPX_BN-1'!$A55,Tableau106[],8,FALSE)</f>
        <v>EOLIEN</v>
      </c>
      <c r="E55" s="328">
        <f>VLOOKUP('OPX_BN-1'!$A55,Tableau106[],4,FALSE)</f>
        <v>19.8</v>
      </c>
      <c r="F55" s="327" t="str">
        <f>VLOOKUP('OPX_BN-1'!$A55,Tableau106[],5,FALSE)</f>
        <v>DEM1, DEM2</v>
      </c>
      <c r="G55" s="327" t="str">
        <f>VLOOKUP('OPX_BN-1'!$A55,Tableau106[],7,FALSE)</f>
        <v>FUTUREN</v>
      </c>
      <c r="H55" s="327" t="str">
        <f>VLOOKUP('OPX_BN-1'!$A55,Tableau106[],6,FALSE)</f>
        <v>N</v>
      </c>
      <c r="I55" s="327" t="str">
        <f>VLOOKUP('OPX_BN-1'!$A55,Tableau106[],9,FALSE)</f>
        <v>NiL</v>
      </c>
      <c r="J55" s="160">
        <v>-12462.36</v>
      </c>
      <c r="K55" s="489">
        <v>-9900</v>
      </c>
      <c r="L55" s="490">
        <v>0</v>
      </c>
      <c r="M55" s="229">
        <v>0</v>
      </c>
      <c r="N55" s="229">
        <v>0</v>
      </c>
      <c r="O55" s="229">
        <v>0</v>
      </c>
      <c r="P55" s="229">
        <v>0</v>
      </c>
      <c r="Q55" s="230">
        <v>-9900</v>
      </c>
      <c r="R55" s="274">
        <f>SUM('OPX_BN-1'!$K55:$Q55)</f>
        <v>-19800</v>
      </c>
      <c r="S55" s="338">
        <v>-333067.34259999997</v>
      </c>
      <c r="T55" s="423">
        <v>0</v>
      </c>
      <c r="U55" s="341"/>
      <c r="V55" s="423">
        <v>-3600</v>
      </c>
      <c r="W55" s="423">
        <v>0</v>
      </c>
      <c r="X55" s="423">
        <v>0</v>
      </c>
      <c r="Y55" s="423"/>
      <c r="Z55" s="264">
        <v>-9900</v>
      </c>
      <c r="AA55" s="423"/>
      <c r="AB55" s="273">
        <f>SUM('OPX_BN-1'!$T55:$AA55)</f>
        <v>-13500</v>
      </c>
      <c r="AC55" s="426"/>
      <c r="AD55" s="426"/>
      <c r="AE55" s="417">
        <v>-20000</v>
      </c>
      <c r="AF55" s="417">
        <v>0</v>
      </c>
      <c r="AG55" s="417">
        <v>0</v>
      </c>
      <c r="AH55" s="417">
        <v>0</v>
      </c>
      <c r="AI55" s="417">
        <v>0</v>
      </c>
      <c r="AJ55" s="271">
        <f>SUM('OPX_BN-1'!$AC55:$AI55)</f>
        <v>-20000</v>
      </c>
      <c r="AK55" s="429">
        <v>0</v>
      </c>
      <c r="AL55" s="276">
        <f>SUM('OPX_BN-1'!$J55,'OPX_BN-1'!$AB55,'OPX_BN-1'!$S55,'OPX_BN-1'!$AJ55,'OPX_BN-1'!$R55,'OPX_BN-1'!$AK55)</f>
        <v>-398829.70259999996</v>
      </c>
      <c r="AM55" s="427">
        <v>0</v>
      </c>
    </row>
    <row r="56" spans="1:39" ht="15">
      <c r="A56" s="329" t="s">
        <v>636</v>
      </c>
      <c r="B56" s="327" t="str">
        <f>VLOOKUP('OPX_BN-1'!$A56,Tableau106[],3,FALSE)</f>
        <v>A955</v>
      </c>
      <c r="C56" s="327" t="str">
        <f>VLOOKUP('OPX_BN-1'!$A56,Tableau106[],2,FALSE)</f>
        <v>FR01S08E</v>
      </c>
      <c r="D56" s="327" t="str">
        <f>VLOOKUP('OPX_BN-1'!$A56,Tableau106[],8,FALSE)</f>
        <v>SOLAIRE</v>
      </c>
      <c r="E56" s="328">
        <f>VLOOKUP('OPX_BN-1'!$A56,Tableau106[],4,FALSE)</f>
        <v>2.2000000000000002</v>
      </c>
      <c r="F56" s="327" t="str">
        <f>VLOOKUP('OPX_BN-1'!$A56,Tableau106[],5,FALSE)</f>
        <v>DROM</v>
      </c>
      <c r="G56" s="327" t="str">
        <f>VLOOKUP('OPX_BN-1'!$A56,Tableau106[],7,FALSE)</f>
        <v>GROUPE</v>
      </c>
      <c r="H56" s="327" t="str">
        <f>VLOOKUP('OPX_BN-1'!$A56,Tableau106[],6,FALSE)</f>
        <v>S</v>
      </c>
      <c r="I56" s="327" t="e">
        <f>VLOOKUP('OPX_BN-1'!$A56,Tableau106[],9,FALSE)</f>
        <v>#N/A</v>
      </c>
      <c r="J56" s="160">
        <v>0</v>
      </c>
      <c r="K56" s="489">
        <v>-1100</v>
      </c>
      <c r="L56" s="490">
        <v>0</v>
      </c>
      <c r="M56" s="229">
        <v>0</v>
      </c>
      <c r="N56" s="229">
        <v>0</v>
      </c>
      <c r="O56" s="229">
        <v>0</v>
      </c>
      <c r="P56" s="229">
        <v>0</v>
      </c>
      <c r="Q56" s="230">
        <v>-1100</v>
      </c>
      <c r="R56" s="274">
        <f>SUM('OPX_BN-1'!$K56:$Q56)</f>
        <v>-2200</v>
      </c>
      <c r="S56" s="338">
        <v>-17600</v>
      </c>
      <c r="T56" s="423">
        <v>0</v>
      </c>
      <c r="U56" s="341"/>
      <c r="V56" s="423">
        <v>0</v>
      </c>
      <c r="W56" s="423">
        <v>0</v>
      </c>
      <c r="X56" s="423">
        <v>0</v>
      </c>
      <c r="Y56" s="423"/>
      <c r="Z56" s="264">
        <v>-1100</v>
      </c>
      <c r="AA56" s="423"/>
      <c r="AB56" s="273">
        <f>SUM('OPX_BN-1'!$T56:$AA56)</f>
        <v>-1100</v>
      </c>
      <c r="AC56" s="426"/>
      <c r="AD56" s="426"/>
      <c r="AE56" s="417">
        <v>0</v>
      </c>
      <c r="AF56" s="417">
        <v>0</v>
      </c>
      <c r="AG56" s="417">
        <v>0</v>
      </c>
      <c r="AH56" s="417">
        <v>0</v>
      </c>
      <c r="AI56" s="417">
        <v>0</v>
      </c>
      <c r="AJ56" s="271">
        <f>SUM('OPX_BN-1'!$AC56:$AI56)</f>
        <v>0</v>
      </c>
      <c r="AK56" s="429">
        <v>0</v>
      </c>
      <c r="AL56" s="276">
        <f>SUM('OPX_BN-1'!$J56,'OPX_BN-1'!$AB56,'OPX_BN-1'!$S56,'OPX_BN-1'!$AJ56,'OPX_BN-1'!$R56,'OPX_BN-1'!$AK56)</f>
        <v>-20900</v>
      </c>
      <c r="AM56" s="427">
        <v>0</v>
      </c>
    </row>
    <row r="57" spans="1:39" ht="15">
      <c r="A57" s="329" t="s">
        <v>541</v>
      </c>
      <c r="B57" s="327" t="str">
        <f>VLOOKUP('OPX_BN-1'!$A57,Tableau106[],3,FALSE)</f>
        <v>A900</v>
      </c>
      <c r="C57" s="327" t="str">
        <f>VLOOKUP('OPX_BN-1'!$A57,Tableau106[],2,FALSE)</f>
        <v>FR66E99E</v>
      </c>
      <c r="D57" s="327" t="str">
        <f>VLOOKUP('OPX_BN-1'!$A57,Tableau106[],8,FALSE)</f>
        <v>EOLIEN</v>
      </c>
      <c r="E57" s="328">
        <f>VLOOKUP('OPX_BN-1'!$A57,Tableau106[],4,FALSE)</f>
        <v>96</v>
      </c>
      <c r="F57" s="327" t="str">
        <f>VLOOKUP('OPX_BN-1'!$A57,Tableau106[],5,FALSE)</f>
        <v>PEZI</v>
      </c>
      <c r="G57" s="327" t="str">
        <f>VLOOKUP('OPX_BN-1'!$A57,Tableau106[],7,FALSE)</f>
        <v>GROUPE</v>
      </c>
      <c r="H57" s="327" t="str">
        <f>VLOOKUP('OPX_BN-1'!$A57,Tableau106[],6,FALSE)</f>
        <v>S</v>
      </c>
      <c r="I57" s="327" t="str">
        <f>VLOOKUP('OPX_BN-1'!$A57,Tableau106[],9,FALSE)</f>
        <v>PiM</v>
      </c>
      <c r="J57" s="160">
        <v>-2507744.46</v>
      </c>
      <c r="K57" s="489">
        <v>-48000</v>
      </c>
      <c r="L57" s="490">
        <v>0</v>
      </c>
      <c r="M57" s="229">
        <v>0</v>
      </c>
      <c r="N57" s="229">
        <v>0</v>
      </c>
      <c r="O57" s="229">
        <v>-3000</v>
      </c>
      <c r="P57" s="229">
        <v>-33600</v>
      </c>
      <c r="Q57" s="230">
        <v>-48000</v>
      </c>
      <c r="R57" s="274">
        <f>SUM('OPX_BN-1'!$K57:$Q57)</f>
        <v>-132600</v>
      </c>
      <c r="S57" s="338">
        <v>-5983.3737000000001</v>
      </c>
      <c r="T57" s="423">
        <v>-70000</v>
      </c>
      <c r="U57" s="341"/>
      <c r="V57" s="423">
        <v>-30000</v>
      </c>
      <c r="W57" s="423">
        <v>0</v>
      </c>
      <c r="X57" s="423">
        <v>-9000</v>
      </c>
      <c r="Y57" s="423"/>
      <c r="Z57" s="264">
        <v>-335000</v>
      </c>
      <c r="AA57" s="423"/>
      <c r="AB57" s="273">
        <f>SUM('OPX_BN-1'!$T57:$AA57)</f>
        <v>-444000</v>
      </c>
      <c r="AC57" s="426"/>
      <c r="AD57" s="426"/>
      <c r="AE57" s="417">
        <v>0</v>
      </c>
      <c r="AF57" s="417">
        <v>0</v>
      </c>
      <c r="AG57" s="417">
        <v>0</v>
      </c>
      <c r="AH57" s="417">
        <v>-13000</v>
      </c>
      <c r="AI57" s="417">
        <v>-10000</v>
      </c>
      <c r="AJ57" s="271">
        <f>SUM('OPX_BN-1'!$AC57:$AI57)</f>
        <v>-23000</v>
      </c>
      <c r="AK57" s="429">
        <v>0</v>
      </c>
      <c r="AL57" s="276">
        <f>SUM('OPX_BN-1'!$J57,'OPX_BN-1'!$AB57,'OPX_BN-1'!$S57,'OPX_BN-1'!$AJ57,'OPX_BN-1'!$R57,'OPX_BN-1'!$AK57)</f>
        <v>-3113327.8336999998</v>
      </c>
      <c r="AM57" s="427">
        <v>0</v>
      </c>
    </row>
    <row r="58" spans="1:39" ht="15">
      <c r="A58" s="329" t="s">
        <v>491</v>
      </c>
      <c r="B58" s="327" t="str">
        <f>VLOOKUP('OPX_BN-1'!$A58,Tableau106[],3,FALSE)</f>
        <v>A266</v>
      </c>
      <c r="C58" s="327" t="str">
        <f>VLOOKUP('OPX_BN-1'!$A58,Tableau106[],2,FALSE)</f>
        <v>FR71S05E</v>
      </c>
      <c r="D58" s="327" t="str">
        <f>VLOOKUP('OPX_BN-1'!$A58,Tableau106[],8,FALSE)</f>
        <v>SOLAIRE</v>
      </c>
      <c r="E58" s="328">
        <f>VLOOKUP('OPX_BN-1'!$A58,Tableau106[],4,FALSE)</f>
        <v>3.1</v>
      </c>
      <c r="F58" s="327" t="str">
        <f>VLOOKUP('OPX_BN-1'!$A58,Tableau106[],5,FALSE)</f>
        <v>EPIN</v>
      </c>
      <c r="G58" s="327" t="str">
        <f>VLOOKUP('OPX_BN-1'!$A58,Tableau106[],7,FALSE)</f>
        <v>GROUPE</v>
      </c>
      <c r="H58" s="327" t="str">
        <f>VLOOKUP('OPX_BN-1'!$A58,Tableau106[],6,FALSE)</f>
        <v>N</v>
      </c>
      <c r="I58" s="327" t="str">
        <f>VLOOKUP('OPX_BN-1'!$A58,Tableau106[],9,FALSE)</f>
        <v>LoG</v>
      </c>
      <c r="J58" s="160">
        <v>-14500</v>
      </c>
      <c r="K58" s="489">
        <v>-1450</v>
      </c>
      <c r="L58" s="490">
        <v>0</v>
      </c>
      <c r="M58" s="229">
        <v>0</v>
      </c>
      <c r="N58" s="229">
        <v>0</v>
      </c>
      <c r="O58" s="229">
        <v>0</v>
      </c>
      <c r="P58" s="229">
        <v>0</v>
      </c>
      <c r="Q58" s="230">
        <v>-1450</v>
      </c>
      <c r="R58" s="274">
        <f>SUM('OPX_BN-1'!$K58:$Q58)</f>
        <v>-2900</v>
      </c>
      <c r="S58" s="338">
        <v>0</v>
      </c>
      <c r="T58" s="423">
        <v>0</v>
      </c>
      <c r="U58" s="341"/>
      <c r="V58" s="423">
        <v>0</v>
      </c>
      <c r="W58" s="423">
        <v>0</v>
      </c>
      <c r="X58" s="423">
        <v>0</v>
      </c>
      <c r="Y58" s="423"/>
      <c r="Z58" s="264">
        <v>-1450</v>
      </c>
      <c r="AA58" s="423"/>
      <c r="AB58" s="273">
        <f>SUM('OPX_BN-1'!$T58:$AA58)</f>
        <v>-1450</v>
      </c>
      <c r="AC58" s="426"/>
      <c r="AD58" s="426"/>
      <c r="AE58" s="417">
        <v>0</v>
      </c>
      <c r="AF58" s="417">
        <v>0</v>
      </c>
      <c r="AG58" s="417">
        <v>0</v>
      </c>
      <c r="AH58" s="417">
        <v>0</v>
      </c>
      <c r="AI58" s="417">
        <v>0</v>
      </c>
      <c r="AJ58" s="271">
        <f>SUM('OPX_BN-1'!$AC58:$AI58)</f>
        <v>0</v>
      </c>
      <c r="AK58" s="429">
        <v>0</v>
      </c>
      <c r="AL58" s="276">
        <f>SUM('OPX_BN-1'!$J58,'OPX_BN-1'!$AB58,'OPX_BN-1'!$S58,'OPX_BN-1'!$AJ58,'OPX_BN-1'!$R58,'OPX_BN-1'!$AK58)</f>
        <v>-18850</v>
      </c>
      <c r="AM58" s="427">
        <v>0</v>
      </c>
    </row>
    <row r="59" spans="1:39" ht="15">
      <c r="A59" s="329" t="s">
        <v>506</v>
      </c>
      <c r="B59" s="327" t="str">
        <f>VLOOKUP('OPX_BN-1'!$A59,Tableau106[],3,FALSE)</f>
        <v>A541</v>
      </c>
      <c r="C59" s="327" t="str">
        <f>VLOOKUP('OPX_BN-1'!$A59,Tableau106[],2,FALSE)</f>
        <v>FR55E03E</v>
      </c>
      <c r="D59" s="327" t="str">
        <f>VLOOKUP('OPX_BN-1'!$A59,Tableau106[],8,FALSE)</f>
        <v>EOLIEN</v>
      </c>
      <c r="E59" s="328">
        <f>VLOOKUP('OPX_BN-1'!$A59,Tableau106[],4,FALSE)</f>
        <v>11.5</v>
      </c>
      <c r="F59" s="327" t="str">
        <f>VLOOKUP('OPX_BN-1'!$A59,Tableau106[],5,FALSE)</f>
        <v>ERIZ</v>
      </c>
      <c r="G59" s="327" t="str">
        <f>VLOOKUP('OPX_BN-1'!$A59,Tableau106[],7,FALSE)</f>
        <v>EGM</v>
      </c>
      <c r="H59" s="327" t="str">
        <f>VLOOKUP('OPX_BN-1'!$A59,Tableau106[],6,FALSE)</f>
        <v>N</v>
      </c>
      <c r="I59" s="327" t="str">
        <f>VLOOKUP('OPX_BN-1'!$A59,Tableau106[],9,FALSE)</f>
        <v>MaA</v>
      </c>
      <c r="J59" s="160">
        <v>-307815.93714434805</v>
      </c>
      <c r="K59" s="489">
        <v>-5750</v>
      </c>
      <c r="L59" s="490">
        <v>-38029.100529100528</v>
      </c>
      <c r="M59" s="229">
        <v>0</v>
      </c>
      <c r="N59" s="229">
        <v>0</v>
      </c>
      <c r="O59" s="229">
        <v>0</v>
      </c>
      <c r="P59" s="229">
        <v>-4025</v>
      </c>
      <c r="Q59" s="230">
        <v>-5750</v>
      </c>
      <c r="R59" s="274">
        <f>SUM('OPX_BN-1'!$K59:$Q59)</f>
        <v>-53554.100529100528</v>
      </c>
      <c r="S59" s="338">
        <v>0</v>
      </c>
      <c r="T59" s="423">
        <v>0</v>
      </c>
      <c r="U59" s="341"/>
      <c r="V59" s="423">
        <v>-2000</v>
      </c>
      <c r="W59" s="423">
        <v>0</v>
      </c>
      <c r="X59" s="423">
        <v>0</v>
      </c>
      <c r="Y59" s="423"/>
      <c r="Z59" s="264">
        <v>-5750</v>
      </c>
      <c r="AA59" s="423"/>
      <c r="AB59" s="273">
        <f>SUM('OPX_BN-1'!$T59:$AA59)</f>
        <v>-7750</v>
      </c>
      <c r="AC59" s="426"/>
      <c r="AD59" s="426"/>
      <c r="AE59" s="417">
        <v>0</v>
      </c>
      <c r="AF59" s="417">
        <v>0</v>
      </c>
      <c r="AG59" s="417">
        <v>0</v>
      </c>
      <c r="AH59" s="417">
        <v>0</v>
      </c>
      <c r="AI59" s="417">
        <v>0</v>
      </c>
      <c r="AJ59" s="271">
        <f>SUM('OPX_BN-1'!$AC59:$AI59)</f>
        <v>0</v>
      </c>
      <c r="AK59" s="429">
        <v>0</v>
      </c>
      <c r="AL59" s="276">
        <f>SUM('OPX_BN-1'!$J59,'OPX_BN-1'!$AB59,'OPX_BN-1'!$S59,'OPX_BN-1'!$AJ59,'OPX_BN-1'!$R59,'OPX_BN-1'!$AK59)</f>
        <v>-369120.03767344856</v>
      </c>
      <c r="AM59" s="427">
        <v>0</v>
      </c>
    </row>
    <row r="60" spans="1:39" ht="15">
      <c r="A60" s="329" t="s">
        <v>526</v>
      </c>
      <c r="B60" s="327" t="str">
        <f>VLOOKUP('OPX_BN-1'!$A60,Tableau106[],3,FALSE)</f>
        <v>A967</v>
      </c>
      <c r="C60" s="327" t="str">
        <f>VLOOKUP('OPX_BN-1'!$A60,Tableau106[],2,FALSE)</f>
        <v>FR28E97E</v>
      </c>
      <c r="D60" s="327" t="str">
        <f>VLOOKUP('OPX_BN-1'!$A60,Tableau106[],8,FALSE)</f>
        <v>EOLIEN</v>
      </c>
      <c r="E60" s="328">
        <f>VLOOKUP('OPX_BN-1'!$A60,Tableau106[],4,FALSE)</f>
        <v>17</v>
      </c>
      <c r="F60" s="327" t="str">
        <f>VLOOKUP('OPX_BN-1'!$A60,Tableau106[],5,FALSE)</f>
        <v>ESPS</v>
      </c>
      <c r="G60" s="327" t="str">
        <f>VLOOKUP('OPX_BN-1'!$A60,Tableau106[],7,FALSE)</f>
        <v>FUTUREN</v>
      </c>
      <c r="H60" s="327" t="str">
        <f>VLOOKUP('OPX_BN-1'!$A60,Tableau106[],6,FALSE)</f>
        <v>N</v>
      </c>
      <c r="I60" s="327" t="str">
        <f>VLOOKUP('OPX_BN-1'!$A60,Tableau106[],9,FALSE)</f>
        <v>AlY</v>
      </c>
      <c r="J60" s="160">
        <v>-23605.591939546593</v>
      </c>
      <c r="K60" s="489">
        <v>-9000</v>
      </c>
      <c r="L60" s="490">
        <v>0</v>
      </c>
      <c r="M60" s="229">
        <v>0</v>
      </c>
      <c r="N60" s="229">
        <v>0</v>
      </c>
      <c r="O60" s="229">
        <v>0</v>
      </c>
      <c r="P60" s="229">
        <v>-6300</v>
      </c>
      <c r="Q60" s="230">
        <v>-9000</v>
      </c>
      <c r="R60" s="274">
        <f>SUM('OPX_BN-1'!$K60:$Q60)</f>
        <v>-24300</v>
      </c>
      <c r="S60" s="338">
        <v>-255827.96437999999</v>
      </c>
      <c r="T60" s="423">
        <v>0</v>
      </c>
      <c r="U60" s="341"/>
      <c r="V60" s="423">
        <v>0</v>
      </c>
      <c r="W60" s="423">
        <v>-1000</v>
      </c>
      <c r="X60" s="423">
        <v>0</v>
      </c>
      <c r="Y60" s="423"/>
      <c r="Z60" s="264">
        <v>-9000</v>
      </c>
      <c r="AA60" s="423"/>
      <c r="AB60" s="273">
        <f>SUM('OPX_BN-1'!$T60:$AA60)</f>
        <v>-10000</v>
      </c>
      <c r="AC60" s="426"/>
      <c r="AD60" s="426"/>
      <c r="AE60" s="417">
        <v>0</v>
      </c>
      <c r="AF60" s="417">
        <v>0</v>
      </c>
      <c r="AG60" s="417">
        <v>-12000</v>
      </c>
      <c r="AH60" s="417">
        <v>-3000</v>
      </c>
      <c r="AI60" s="417">
        <v>-4200</v>
      </c>
      <c r="AJ60" s="271">
        <f>SUM('OPX_BN-1'!$AC60:$AI60)</f>
        <v>-19200</v>
      </c>
      <c r="AK60" s="429">
        <v>0</v>
      </c>
      <c r="AL60" s="276">
        <f>SUM('OPX_BN-1'!$J60,'OPX_BN-1'!$AB60,'OPX_BN-1'!$S60,'OPX_BN-1'!$AJ60,'OPX_BN-1'!$R60,'OPX_BN-1'!$AK60)</f>
        <v>-332933.55631954659</v>
      </c>
      <c r="AM60" s="427">
        <v>0</v>
      </c>
    </row>
    <row r="61" spans="1:39" ht="15">
      <c r="A61" s="329" t="s">
        <v>493</v>
      </c>
      <c r="B61" s="327" t="str">
        <f>VLOOKUP('OPX_BN-1'!$A61,Tableau106[],3,FALSE)</f>
        <v>A353</v>
      </c>
      <c r="C61" s="327" t="str">
        <f>VLOOKUP('OPX_BN-1'!$A61,Tableau106[],2,FALSE)</f>
        <v>FR13S08E</v>
      </c>
      <c r="D61" s="327" t="str">
        <f>VLOOKUP('OPX_BN-1'!$A61,Tableau106[],8,FALSE)</f>
        <v>SOLAIRE</v>
      </c>
      <c r="E61" s="328">
        <f>VLOOKUP('OPX_BN-1'!$A61,Tableau106[],4,FALSE)</f>
        <v>10.4</v>
      </c>
      <c r="F61" s="327" t="str">
        <f>VLOOKUP('OPX_BN-1'!$A61,Tableau106[],5,FALSE)</f>
        <v>EYGU</v>
      </c>
      <c r="G61" s="327" t="str">
        <f>VLOOKUP('OPX_BN-1'!$A61,Tableau106[],7,FALSE)</f>
        <v>GROUPE</v>
      </c>
      <c r="H61" s="327" t="str">
        <f>VLOOKUP('OPX_BN-1'!$A61,Tableau106[],6,FALSE)</f>
        <v>S</v>
      </c>
      <c r="I61" s="327" t="str">
        <f>VLOOKUP('OPX_BN-1'!$A61,Tableau106[],9,FALSE)</f>
        <v>ArB</v>
      </c>
      <c r="J61" s="160">
        <v>-52000</v>
      </c>
      <c r="K61" s="489">
        <v>-5200</v>
      </c>
      <c r="L61" s="490">
        <v>0</v>
      </c>
      <c r="M61" s="229">
        <v>0</v>
      </c>
      <c r="N61" s="229">
        <v>0</v>
      </c>
      <c r="O61" s="229">
        <v>0</v>
      </c>
      <c r="P61" s="229">
        <v>0</v>
      </c>
      <c r="Q61" s="230">
        <v>-5200</v>
      </c>
      <c r="R61" s="274">
        <f>SUM('OPX_BN-1'!$K61:$Q61)</f>
        <v>-10400</v>
      </c>
      <c r="S61" s="338">
        <v>0</v>
      </c>
      <c r="T61" s="423">
        <v>0</v>
      </c>
      <c r="U61" s="341"/>
      <c r="V61" s="423">
        <v>0</v>
      </c>
      <c r="W61" s="423">
        <v>0</v>
      </c>
      <c r="X61" s="423">
        <v>0</v>
      </c>
      <c r="Y61" s="423"/>
      <c r="Z61" s="264">
        <v>-5200</v>
      </c>
      <c r="AA61" s="423"/>
      <c r="AB61" s="273">
        <f>SUM('OPX_BN-1'!$T61:$AA61)</f>
        <v>-5200</v>
      </c>
      <c r="AC61" s="426"/>
      <c r="AD61" s="426"/>
      <c r="AE61" s="417">
        <v>0</v>
      </c>
      <c r="AF61" s="417">
        <v>0</v>
      </c>
      <c r="AG61" s="417">
        <v>0</v>
      </c>
      <c r="AH61" s="417">
        <v>-20000</v>
      </c>
      <c r="AI61" s="417">
        <v>-1500</v>
      </c>
      <c r="AJ61" s="271">
        <f>SUM('OPX_BN-1'!$AC61:$AI61)</f>
        <v>-21500</v>
      </c>
      <c r="AK61" s="429">
        <v>0</v>
      </c>
      <c r="AL61" s="276">
        <f>SUM('OPX_BN-1'!$J61,'OPX_BN-1'!$AB61,'OPX_BN-1'!$S61,'OPX_BN-1'!$AJ61,'OPX_BN-1'!$R61,'OPX_BN-1'!$AK61)</f>
        <v>-89100</v>
      </c>
      <c r="AM61" s="427">
        <v>0</v>
      </c>
    </row>
    <row r="62" spans="1:39" ht="15">
      <c r="A62" s="329" t="s">
        <v>616</v>
      </c>
      <c r="B62" s="327" t="str">
        <f>VLOOKUP('OPX_BN-1'!$A62,Tableau106[],3,FALSE)</f>
        <v>A895</v>
      </c>
      <c r="C62" s="327" t="str">
        <f>VLOOKUP('OPX_BN-1'!$A62,Tableau106[],2,FALSE)</f>
        <v>FR76E99E</v>
      </c>
      <c r="D62" s="327" t="str">
        <f>VLOOKUP('OPX_BN-1'!$A62,Tableau106[],8,FALSE)</f>
        <v>EOLIEN</v>
      </c>
      <c r="E62" s="328">
        <f>VLOOKUP('OPX_BN-1'!$A62,Tableau106[],4,FALSE)</f>
        <v>4.5</v>
      </c>
      <c r="F62" s="327" t="str">
        <f>VLOOKUP('OPX_BN-1'!$A62,Tableau106[],5,FALSE)</f>
        <v>FECA</v>
      </c>
      <c r="G62" s="327" t="str">
        <f>VLOOKUP('OPX_BN-1'!$A62,Tableau106[],7,FALSE)</f>
        <v>GROUPE</v>
      </c>
      <c r="H62" s="327" t="str">
        <f>VLOOKUP('OPX_BN-1'!$A62,Tableau106[],6,FALSE)</f>
        <v>N</v>
      </c>
      <c r="I62" s="327" t="str">
        <f>VLOOKUP('OPX_BN-1'!$A62,Tableau106[],9,FALSE)</f>
        <v>AnN</v>
      </c>
      <c r="J62" s="160">
        <v>-78030</v>
      </c>
      <c r="K62" s="489">
        <v>-204210</v>
      </c>
      <c r="L62" s="490">
        <v>0</v>
      </c>
      <c r="M62" s="229">
        <v>0</v>
      </c>
      <c r="N62" s="229">
        <v>0</v>
      </c>
      <c r="O62" s="229">
        <v>0</v>
      </c>
      <c r="P62" s="229">
        <v>0</v>
      </c>
      <c r="Q62" s="230">
        <v>-2250</v>
      </c>
      <c r="R62" s="274">
        <f>SUM('OPX_BN-1'!$K62:$Q62)</f>
        <v>-206460</v>
      </c>
      <c r="S62" s="338">
        <v>0</v>
      </c>
      <c r="T62" s="423">
        <v>0</v>
      </c>
      <c r="U62" s="341"/>
      <c r="V62" s="423">
        <v>-1000</v>
      </c>
      <c r="W62" s="423">
        <v>0</v>
      </c>
      <c r="X62" s="423">
        <v>0</v>
      </c>
      <c r="Y62" s="423"/>
      <c r="Z62" s="264">
        <v>-2250</v>
      </c>
      <c r="AA62" s="423"/>
      <c r="AB62" s="273">
        <f>SUM('OPX_BN-1'!$T62:$AA62)</f>
        <v>-3250</v>
      </c>
      <c r="AC62" s="426"/>
      <c r="AD62" s="426"/>
      <c r="AE62" s="417">
        <v>0</v>
      </c>
      <c r="AF62" s="417">
        <v>0</v>
      </c>
      <c r="AG62" s="417">
        <v>0</v>
      </c>
      <c r="AH62" s="417">
        <v>0</v>
      </c>
      <c r="AI62" s="417">
        <v>0</v>
      </c>
      <c r="AJ62" s="271">
        <f>SUM('OPX_BN-1'!$AC62:$AI62)</f>
        <v>0</v>
      </c>
      <c r="AK62" s="429">
        <v>0</v>
      </c>
      <c r="AL62" s="276">
        <f>SUM('OPX_BN-1'!$J62,'OPX_BN-1'!$AB62,'OPX_BN-1'!$S62,'OPX_BN-1'!$AJ62,'OPX_BN-1'!$R62,'OPX_BN-1'!$AK62)</f>
        <v>-287740</v>
      </c>
      <c r="AM62" s="427">
        <v>0</v>
      </c>
    </row>
    <row r="63" spans="1:39" ht="15">
      <c r="A63" s="329" t="s">
        <v>131</v>
      </c>
      <c r="B63" s="327" t="str">
        <f>VLOOKUP('OPX_BN-1'!$A63,Tableau106[],3,FALSE)</f>
        <v>A257</v>
      </c>
      <c r="C63" s="327" t="str">
        <f>VLOOKUP('OPX_BN-1'!$A63,Tableau106[],2,FALSE)</f>
        <v>FR11S07E</v>
      </c>
      <c r="D63" s="327" t="str">
        <f>VLOOKUP('OPX_BN-1'!$A63,Tableau106[],8,FALSE)</f>
        <v>SOLAIRE</v>
      </c>
      <c r="E63" s="328">
        <f>VLOOKUP('OPX_BN-1'!$A63,Tableau106[],4,FALSE)</f>
        <v>5</v>
      </c>
      <c r="F63" s="327" t="str">
        <f>VLOOKUP('OPX_BN-1'!$A63,Tableau106[],5,FALSE)</f>
        <v>FEND</v>
      </c>
      <c r="G63" s="327" t="str">
        <f>VLOOKUP('OPX_BN-1'!$A63,Tableau106[],7,FALSE)</f>
        <v>GROUPE</v>
      </c>
      <c r="H63" s="327" t="str">
        <f>VLOOKUP('OPX_BN-1'!$A63,Tableau106[],6,FALSE)</f>
        <v>S</v>
      </c>
      <c r="I63" s="327" t="str">
        <f>VLOOKUP('OPX_BN-1'!$A63,Tableau106[],9,FALSE)</f>
        <v>BaA</v>
      </c>
      <c r="J63" s="160">
        <v>-24925.74</v>
      </c>
      <c r="K63" s="489">
        <v>-6900</v>
      </c>
      <c r="L63" s="490">
        <v>0</v>
      </c>
      <c r="M63" s="229">
        <v>0</v>
      </c>
      <c r="N63" s="229">
        <v>0</v>
      </c>
      <c r="O63" s="229">
        <v>0</v>
      </c>
      <c r="P63" s="229">
        <v>0</v>
      </c>
      <c r="Q63" s="230">
        <v>-2300</v>
      </c>
      <c r="R63" s="274">
        <f>SUM('OPX_BN-1'!$K63:$Q63)</f>
        <v>-9200</v>
      </c>
      <c r="S63" s="338">
        <v>0</v>
      </c>
      <c r="T63" s="423">
        <v>0</v>
      </c>
      <c r="U63" s="341"/>
      <c r="V63" s="423">
        <v>0</v>
      </c>
      <c r="W63" s="423">
        <v>0</v>
      </c>
      <c r="X63" s="423">
        <v>0</v>
      </c>
      <c r="Y63" s="423"/>
      <c r="Z63" s="264">
        <v>-2300</v>
      </c>
      <c r="AA63" s="423"/>
      <c r="AB63" s="273">
        <f>SUM('OPX_BN-1'!$T63:$AA63)</f>
        <v>-2300</v>
      </c>
      <c r="AC63" s="426"/>
      <c r="AD63" s="426"/>
      <c r="AE63" s="417">
        <v>0</v>
      </c>
      <c r="AF63" s="417">
        <v>0</v>
      </c>
      <c r="AG63" s="417">
        <v>0</v>
      </c>
      <c r="AH63" s="417">
        <v>-2160</v>
      </c>
      <c r="AI63" s="417">
        <v>0</v>
      </c>
      <c r="AJ63" s="271">
        <f>SUM('OPX_BN-1'!$AC63:$AI63)</f>
        <v>-2160</v>
      </c>
      <c r="AK63" s="429">
        <v>0</v>
      </c>
      <c r="AL63" s="276">
        <f>SUM('OPX_BN-1'!$J63,'OPX_BN-1'!$AB63,'OPX_BN-1'!$S63,'OPX_BN-1'!$AJ63,'OPX_BN-1'!$R63,'OPX_BN-1'!$AK63)</f>
        <v>-38585.740000000005</v>
      </c>
      <c r="AM63" s="427">
        <v>0</v>
      </c>
    </row>
    <row r="64" spans="1:39" ht="15">
      <c r="A64" s="329" t="s">
        <v>586</v>
      </c>
      <c r="B64" s="327" t="str">
        <f>VLOOKUP('OPX_BN-1'!$A64,Tableau106[],3,FALSE)</f>
        <v>A053</v>
      </c>
      <c r="C64" s="327" t="str">
        <f>VLOOKUP('OPX_BN-1'!$A64,Tableau106[],2,FALSE)</f>
        <v>FR62E99E</v>
      </c>
      <c r="D64" s="327" t="str">
        <f>VLOOKUP('OPX_BN-1'!$A64,Tableau106[],8,FALSE)</f>
        <v>EOLIEN</v>
      </c>
      <c r="E64" s="328">
        <f>VLOOKUP('OPX_BN-1'!$A64,Tableau106[],4,FALSE)</f>
        <v>11.5</v>
      </c>
      <c r="F64" s="327" t="str">
        <f>VLOOKUP('OPX_BN-1'!$A64,Tableau106[],5,FALSE)</f>
        <v>FIEN</v>
      </c>
      <c r="G64" s="327" t="str">
        <f>VLOOKUP('OPX_BN-1'!$A64,Tableau106[],7,FALSE)</f>
        <v>GROUPE</v>
      </c>
      <c r="H64" s="327" t="str">
        <f>VLOOKUP('OPX_BN-1'!$A64,Tableau106[],6,FALSE)</f>
        <v>N</v>
      </c>
      <c r="I64" s="327" t="str">
        <f>VLOOKUP('OPX_BN-1'!$A64,Tableau106[],9,FALSE)</f>
        <v>MéS</v>
      </c>
      <c r="J64" s="160">
        <v>-12626.246851385387</v>
      </c>
      <c r="K64" s="489">
        <v>-5750</v>
      </c>
      <c r="L64" s="490">
        <v>0</v>
      </c>
      <c r="M64" s="229">
        <v>0</v>
      </c>
      <c r="N64" s="229">
        <v>0</v>
      </c>
      <c r="O64" s="229">
        <v>-1300</v>
      </c>
      <c r="P64" s="229">
        <v>-4025</v>
      </c>
      <c r="Q64" s="230">
        <v>-5750</v>
      </c>
      <c r="R64" s="274">
        <f>SUM('OPX_BN-1'!$K64:$Q64)</f>
        <v>-16825</v>
      </c>
      <c r="S64" s="338">
        <v>-371867.54084000003</v>
      </c>
      <c r="T64" s="423">
        <v>-400</v>
      </c>
      <c r="U64" s="341"/>
      <c r="V64" s="423">
        <v>0</v>
      </c>
      <c r="W64" s="423">
        <v>0</v>
      </c>
      <c r="X64" s="423">
        <v>0</v>
      </c>
      <c r="Y64" s="423"/>
      <c r="Z64" s="264">
        <v>-5750</v>
      </c>
      <c r="AA64" s="423"/>
      <c r="AB64" s="273">
        <f>SUM('OPX_BN-1'!$T64:$AA64)</f>
        <v>-6150</v>
      </c>
      <c r="AC64" s="426"/>
      <c r="AD64" s="426"/>
      <c r="AE64" s="417">
        <v>0</v>
      </c>
      <c r="AF64" s="417">
        <v>0</v>
      </c>
      <c r="AG64" s="417">
        <v>0</v>
      </c>
      <c r="AH64" s="417">
        <v>0</v>
      </c>
      <c r="AI64" s="417">
        <v>-50000</v>
      </c>
      <c r="AJ64" s="271">
        <f>SUM('OPX_BN-1'!$AC64:$AI64)</f>
        <v>-50000</v>
      </c>
      <c r="AK64" s="429">
        <v>0</v>
      </c>
      <c r="AL64" s="276">
        <f>SUM('OPX_BN-1'!$J64,'OPX_BN-1'!$AB64,'OPX_BN-1'!$S64,'OPX_BN-1'!$AJ64,'OPX_BN-1'!$R64,'OPX_BN-1'!$AK64)</f>
        <v>-457468.78769138543</v>
      </c>
      <c r="AM64" s="427">
        <v>0</v>
      </c>
    </row>
    <row r="65" spans="1:39" ht="15">
      <c r="A65" s="329" t="s">
        <v>484</v>
      </c>
      <c r="B65" s="327" t="str">
        <f>VLOOKUP('OPX_BN-1'!$A65,Tableau106[],3,FALSE)</f>
        <v>A542</v>
      </c>
      <c r="C65" s="327" t="str">
        <f>VLOOKUP('OPX_BN-1'!$A65,Tableau106[],2,FALSE)</f>
        <v>FR11E03E</v>
      </c>
      <c r="D65" s="327" t="str">
        <f>VLOOKUP('OPX_BN-1'!$A65,Tableau106[],8,FALSE)</f>
        <v>EOLIEN</v>
      </c>
      <c r="E65" s="328">
        <f>VLOOKUP('OPX_BN-1'!$A65,Tableau106[],4,FALSE)</f>
        <v>11.7</v>
      </c>
      <c r="F65" s="327" t="str">
        <f>VLOOKUP('OPX_BN-1'!$A65,Tableau106[],5,FALSE)</f>
        <v>FITO</v>
      </c>
      <c r="G65" s="327" t="str">
        <f>VLOOKUP('OPX_BN-1'!$A65,Tableau106[],7,FALSE)</f>
        <v>EGM</v>
      </c>
      <c r="H65" s="327" t="str">
        <f>VLOOKUP('OPX_BN-1'!$A65,Tableau106[],6,FALSE)</f>
        <v>S</v>
      </c>
      <c r="I65" s="327" t="str">
        <f>VLOOKUP('OPX_BN-1'!$A65,Tableau106[],9,FALSE)</f>
        <v>StE</v>
      </c>
      <c r="J65" s="160">
        <v>-311686.20661277574</v>
      </c>
      <c r="K65" s="489">
        <v>-5850</v>
      </c>
      <c r="L65" s="490">
        <v>-38690.476190476191</v>
      </c>
      <c r="M65" s="229">
        <v>0</v>
      </c>
      <c r="N65" s="229">
        <v>0</v>
      </c>
      <c r="O65" s="229">
        <v>0</v>
      </c>
      <c r="P65" s="229">
        <v>-4095</v>
      </c>
      <c r="Q65" s="230">
        <v>-5850</v>
      </c>
      <c r="R65" s="274">
        <f>SUM('OPX_BN-1'!$K65:$Q65)</f>
        <v>-54485.476190476191</v>
      </c>
      <c r="S65" s="338">
        <v>0</v>
      </c>
      <c r="T65" s="423">
        <v>0</v>
      </c>
      <c r="U65" s="341"/>
      <c r="V65" s="423">
        <v>-20000</v>
      </c>
      <c r="W65" s="423">
        <v>0</v>
      </c>
      <c r="X65" s="423">
        <v>0</v>
      </c>
      <c r="Y65" s="423"/>
      <c r="Z65" s="264">
        <v>-5850</v>
      </c>
      <c r="AA65" s="423"/>
      <c r="AB65" s="273">
        <f>SUM('OPX_BN-1'!$T65:$AA65)</f>
        <v>-25850</v>
      </c>
      <c r="AC65" s="426"/>
      <c r="AD65" s="426"/>
      <c r="AE65" s="417">
        <v>0</v>
      </c>
      <c r="AF65" s="417">
        <v>0</v>
      </c>
      <c r="AG65" s="417">
        <v>0</v>
      </c>
      <c r="AH65" s="417">
        <v>0</v>
      </c>
      <c r="AI65" s="417">
        <v>0</v>
      </c>
      <c r="AJ65" s="271">
        <f>SUM('OPX_BN-1'!$AC65:$AI65)</f>
        <v>0</v>
      </c>
      <c r="AK65" s="429">
        <v>0</v>
      </c>
      <c r="AL65" s="276">
        <f>SUM('OPX_BN-1'!$J65,'OPX_BN-1'!$AB65,'OPX_BN-1'!$S65,'OPX_BN-1'!$AJ65,'OPX_BN-1'!$R65,'OPX_BN-1'!$AK65)</f>
        <v>-392021.68280325196</v>
      </c>
      <c r="AM65" s="427">
        <v>0</v>
      </c>
    </row>
    <row r="66" spans="1:39" ht="15">
      <c r="A66" s="329" t="s">
        <v>496</v>
      </c>
      <c r="B66" s="327" t="str">
        <f>VLOOKUP('OPX_BN-1'!$A66,Tableau106[],3,FALSE)</f>
        <v>F032</v>
      </c>
      <c r="C66" s="327" t="str">
        <f>VLOOKUP('OPX_BN-1'!$A66,Tableau106[],2,FALSE)</f>
        <v>FR80E96E</v>
      </c>
      <c r="D66" s="327" t="str">
        <f>VLOOKUP('OPX_BN-1'!$A66,Tableau106[],8,FALSE)</f>
        <v>EOLIEN</v>
      </c>
      <c r="E66" s="328">
        <f>VLOOKUP('OPX_BN-1'!$A66,Tableau106[],4,FALSE)</f>
        <v>10</v>
      </c>
      <c r="F66" s="327" t="str">
        <f>VLOOKUP('OPX_BN-1'!$A66,Tableau106[],5,FALSE)</f>
        <v>CEFF</v>
      </c>
      <c r="G66" s="327" t="str">
        <f>VLOOKUP('OPX_BN-1'!$A66,Tableau106[],7,FALSE)</f>
        <v>FUTUREN</v>
      </c>
      <c r="H66" s="327" t="str">
        <f>VLOOKUP('OPX_BN-1'!$A66,Tableau106[],6,FALSE)</f>
        <v>N</v>
      </c>
      <c r="I66" s="327" t="str">
        <f>VLOOKUP('OPX_BN-1'!$A66,Tableau106[],9,FALSE)</f>
        <v>NiD</v>
      </c>
      <c r="J66" s="160">
        <v>-254684.82</v>
      </c>
      <c r="K66" s="489">
        <v>-5000</v>
      </c>
      <c r="L66" s="490">
        <v>0</v>
      </c>
      <c r="M66" s="229">
        <v>0</v>
      </c>
      <c r="N66" s="229">
        <v>0</v>
      </c>
      <c r="O66" s="229">
        <v>0</v>
      </c>
      <c r="P66" s="229">
        <v>-3500</v>
      </c>
      <c r="Q66" s="230">
        <v>-5000</v>
      </c>
      <c r="R66" s="274">
        <f>SUM('OPX_BN-1'!$K66:$Q66)</f>
        <v>-13500</v>
      </c>
      <c r="S66" s="338">
        <v>0</v>
      </c>
      <c r="T66" s="423">
        <v>0</v>
      </c>
      <c r="U66" s="341"/>
      <c r="V66" s="423">
        <v>-2200</v>
      </c>
      <c r="W66" s="423">
        <v>0</v>
      </c>
      <c r="X66" s="423">
        <v>0</v>
      </c>
      <c r="Y66" s="423"/>
      <c r="Z66" s="264">
        <v>-5000</v>
      </c>
      <c r="AA66" s="423"/>
      <c r="AB66" s="273">
        <f>SUM('OPX_BN-1'!$T66:$AA66)</f>
        <v>-7200</v>
      </c>
      <c r="AC66" s="426"/>
      <c r="AD66" s="426"/>
      <c r="AE66" s="417">
        <v>0</v>
      </c>
      <c r="AF66" s="417">
        <v>0</v>
      </c>
      <c r="AG66" s="417">
        <v>0</v>
      </c>
      <c r="AH66" s="417">
        <v>0</v>
      </c>
      <c r="AI66" s="417">
        <v>0</v>
      </c>
      <c r="AJ66" s="271">
        <f>SUM('OPX_BN-1'!$AC66:$AI66)</f>
        <v>0</v>
      </c>
      <c r="AK66" s="429">
        <v>0</v>
      </c>
      <c r="AL66" s="276">
        <f>SUM('OPX_BN-1'!$J66,'OPX_BN-1'!$AB66,'OPX_BN-1'!$S66,'OPX_BN-1'!$AJ66,'OPX_BN-1'!$R66,'OPX_BN-1'!$AK66)</f>
        <v>-275384.82</v>
      </c>
      <c r="AM66" s="427">
        <v>-200000</v>
      </c>
    </row>
    <row r="67" spans="1:39" ht="15">
      <c r="A67" s="329" t="s">
        <v>507</v>
      </c>
      <c r="B67" s="327" t="str">
        <f>VLOOKUP('OPX_BN-1'!$A67,Tableau106[],3,FALSE)</f>
        <v>A286</v>
      </c>
      <c r="C67" s="327" t="str">
        <f>VLOOKUP('OPX_BN-1'!$A67,Tableau106[],2,FALSE)</f>
        <v>FR28E03E</v>
      </c>
      <c r="D67" s="327" t="str">
        <f>VLOOKUP('OPX_BN-1'!$A67,Tableau106[],8,FALSE)</f>
        <v>EOLIEN</v>
      </c>
      <c r="E67" s="328">
        <f>VLOOKUP('OPX_BN-1'!$A67,Tableau106[],4,FALSE)</f>
        <v>13.2</v>
      </c>
      <c r="F67" s="327" t="str">
        <f>VLOOKUP('OPX_BN-1'!$A67,Tableau106[],5,FALSE)</f>
        <v>FOGU</v>
      </c>
      <c r="G67" s="327" t="str">
        <f>VLOOKUP('OPX_BN-1'!$A67,Tableau106[],7,FALSE)</f>
        <v>GROUPE</v>
      </c>
      <c r="H67" s="327" t="str">
        <f>VLOOKUP('OPX_BN-1'!$A67,Tableau106[],6,FALSE)</f>
        <v>N</v>
      </c>
      <c r="I67" s="327" t="str">
        <f>VLOOKUP('OPX_BN-1'!$A67,Tableau106[],9,FALSE)</f>
        <v>NiL</v>
      </c>
      <c r="J67" s="160">
        <v>-7127.1528188976363</v>
      </c>
      <c r="K67" s="489">
        <v>-6600</v>
      </c>
      <c r="L67" s="490">
        <v>0</v>
      </c>
      <c r="M67" s="229">
        <v>0</v>
      </c>
      <c r="N67" s="229">
        <v>0</v>
      </c>
      <c r="O67" s="229">
        <v>0</v>
      </c>
      <c r="P67" s="229">
        <v>-4620</v>
      </c>
      <c r="Q67" s="230">
        <v>-6600</v>
      </c>
      <c r="R67" s="274">
        <f>SUM('OPX_BN-1'!$K67:$Q67)</f>
        <v>-17820</v>
      </c>
      <c r="S67" s="338">
        <v>-208914.12</v>
      </c>
      <c r="T67" s="423">
        <v>0</v>
      </c>
      <c r="U67" s="341"/>
      <c r="V67" s="423">
        <v>-10000</v>
      </c>
      <c r="W67" s="423">
        <v>0</v>
      </c>
      <c r="X67" s="423">
        <v>0</v>
      </c>
      <c r="Y67" s="423"/>
      <c r="Z67" s="264">
        <v>-6600</v>
      </c>
      <c r="AA67" s="423"/>
      <c r="AB67" s="273">
        <f>SUM('OPX_BN-1'!$T67:$AA67)</f>
        <v>-16600</v>
      </c>
      <c r="AC67" s="426"/>
      <c r="AD67" s="426"/>
      <c r="AE67" s="417">
        <v>0</v>
      </c>
      <c r="AF67" s="417">
        <v>0</v>
      </c>
      <c r="AG67" s="417">
        <v>-12000</v>
      </c>
      <c r="AH67" s="417">
        <v>0</v>
      </c>
      <c r="AI67" s="417">
        <v>0</v>
      </c>
      <c r="AJ67" s="271">
        <f>SUM('OPX_BN-1'!$AC67:$AI67)</f>
        <v>-12000</v>
      </c>
      <c r="AK67" s="429">
        <v>0</v>
      </c>
      <c r="AL67" s="276">
        <f>SUM('OPX_BN-1'!$J67,'OPX_BN-1'!$AB67,'OPX_BN-1'!$S67,'OPX_BN-1'!$AJ67,'OPX_BN-1'!$R67,'OPX_BN-1'!$AK67)</f>
        <v>-262461.27281889762</v>
      </c>
      <c r="AM67" s="427">
        <v>0</v>
      </c>
    </row>
    <row r="68" spans="1:39" ht="15">
      <c r="A68" s="329" t="s">
        <v>498</v>
      </c>
      <c r="B68" s="327" t="str">
        <f>VLOOKUP('OPX_BN-1'!$A68,Tableau106[],3,FALSE)</f>
        <v>A037</v>
      </c>
      <c r="C68" s="327" t="str">
        <f>VLOOKUP('OPX_BN-1'!$A68,Tableau106[],2,FALSE)</f>
        <v>FR13S15E</v>
      </c>
      <c r="D68" s="327" t="str">
        <f>VLOOKUP('OPX_BN-1'!$A68,Tableau106[],8,FALSE)</f>
        <v>SOLAIRE</v>
      </c>
      <c r="E68" s="328">
        <f>VLOOKUP('OPX_BN-1'!$A68,Tableau106[],4,FALSE)</f>
        <v>11.9</v>
      </c>
      <c r="F68" s="327" t="str">
        <f>VLOOKUP('OPX_BN-1'!$A68,Tableau106[],5,FALSE)</f>
        <v>FOST</v>
      </c>
      <c r="G68" s="327" t="str">
        <f>VLOOKUP('OPX_BN-1'!$A68,Tableau106[],7,FALSE)</f>
        <v>GROUPE</v>
      </c>
      <c r="H68" s="327" t="str">
        <f>VLOOKUP('OPX_BN-1'!$A68,Tableau106[],6,FALSE)</f>
        <v>S</v>
      </c>
      <c r="I68" s="327" t="str">
        <f>VLOOKUP('OPX_BN-1'!$A68,Tableau106[],9,FALSE)</f>
        <v>ArB</v>
      </c>
      <c r="J68" s="160">
        <v>-134534.63648362717</v>
      </c>
      <c r="K68" s="489">
        <v>-5950</v>
      </c>
      <c r="L68" s="490">
        <v>0</v>
      </c>
      <c r="M68" s="229">
        <v>-50000</v>
      </c>
      <c r="N68" s="229">
        <v>0</v>
      </c>
      <c r="O68" s="229">
        <v>0</v>
      </c>
      <c r="P68" s="229">
        <v>0</v>
      </c>
      <c r="Q68" s="230">
        <v>-5950</v>
      </c>
      <c r="R68" s="274">
        <f>SUM('OPX_BN-1'!$K68:$Q68)</f>
        <v>-61900</v>
      </c>
      <c r="S68" s="338">
        <v>0</v>
      </c>
      <c r="T68" s="423">
        <v>0</v>
      </c>
      <c r="U68" s="341"/>
      <c r="V68" s="423">
        <v>0</v>
      </c>
      <c r="W68" s="423">
        <v>0</v>
      </c>
      <c r="X68" s="423">
        <v>0</v>
      </c>
      <c r="Y68" s="423"/>
      <c r="Z68" s="264">
        <v>-7950</v>
      </c>
      <c r="AA68" s="423"/>
      <c r="AB68" s="273">
        <f>SUM('OPX_BN-1'!$T68:$AA68)</f>
        <v>-7950</v>
      </c>
      <c r="AC68" s="426"/>
      <c r="AD68" s="426"/>
      <c r="AE68" s="417">
        <v>0</v>
      </c>
      <c r="AF68" s="417">
        <v>0</v>
      </c>
      <c r="AG68" s="417">
        <v>0</v>
      </c>
      <c r="AH68" s="417">
        <v>0</v>
      </c>
      <c r="AI68" s="417">
        <v>0</v>
      </c>
      <c r="AJ68" s="271">
        <f>SUM('OPX_BN-1'!$AC68:$AI68)</f>
        <v>0</v>
      </c>
      <c r="AK68" s="429">
        <v>-5000</v>
      </c>
      <c r="AL68" s="276">
        <f>SUM('OPX_BN-1'!$J68,'OPX_BN-1'!$AB68,'OPX_BN-1'!$S68,'OPX_BN-1'!$AJ68,'OPX_BN-1'!$R68,'OPX_BN-1'!$AK68)</f>
        <v>-209384.63648362717</v>
      </c>
      <c r="AM68" s="427">
        <v>0</v>
      </c>
    </row>
    <row r="69" spans="1:39" ht="15">
      <c r="A69" s="329" t="s">
        <v>515</v>
      </c>
      <c r="B69" s="327" t="str">
        <f>VLOOKUP('OPX_BN-1'!$A69,Tableau106[],3,FALSE)</f>
        <v>A894</v>
      </c>
      <c r="C69" s="327" t="str">
        <f>VLOOKUP('OPX_BN-1'!$A69,Tableau106[],2,FALSE)</f>
        <v>FR07E99E</v>
      </c>
      <c r="D69" s="327" t="str">
        <f>VLOOKUP('OPX_BN-1'!$A69,Tableau106[],8,FALSE)</f>
        <v>EOLIEN</v>
      </c>
      <c r="E69" s="328">
        <f>VLOOKUP('OPX_BN-1'!$A69,Tableau106[],4,FALSE)</f>
        <v>10</v>
      </c>
      <c r="F69" s="327" t="str">
        <f>VLOOKUP('OPX_BN-1'!$A69,Tableau106[],5,FALSE)</f>
        <v>FREY</v>
      </c>
      <c r="G69" s="327" t="str">
        <f>VLOOKUP('OPX_BN-1'!$A69,Tableau106[],7,FALSE)</f>
        <v>GROUPE</v>
      </c>
      <c r="H69" s="327" t="str">
        <f>VLOOKUP('OPX_BN-1'!$A69,Tableau106[],6,FALSE)</f>
        <v>S</v>
      </c>
      <c r="I69" s="327" t="str">
        <f>VLOOKUP('OPX_BN-1'!$A69,Tableau106[],9,FALSE)</f>
        <v>ThC</v>
      </c>
      <c r="J69" s="160">
        <v>0</v>
      </c>
      <c r="K69" s="489">
        <v>-5000</v>
      </c>
      <c r="L69" s="490">
        <v>0</v>
      </c>
      <c r="M69" s="229">
        <v>0</v>
      </c>
      <c r="N69" s="229">
        <v>0</v>
      </c>
      <c r="O69" s="229">
        <v>0</v>
      </c>
      <c r="P69" s="229">
        <v>-3500</v>
      </c>
      <c r="Q69" s="230">
        <v>-5000</v>
      </c>
      <c r="R69" s="274">
        <f>SUM('OPX_BN-1'!$K69:$Q69)</f>
        <v>-13500</v>
      </c>
      <c r="S69" s="338">
        <v>-315053.08120000002</v>
      </c>
      <c r="T69" s="423">
        <v>-27500</v>
      </c>
      <c r="U69" s="341"/>
      <c r="V69" s="423">
        <v>-10000</v>
      </c>
      <c r="W69" s="423">
        <v>0</v>
      </c>
      <c r="X69" s="423">
        <v>0</v>
      </c>
      <c r="Y69" s="423"/>
      <c r="Z69" s="264">
        <v>-9000</v>
      </c>
      <c r="AA69" s="423"/>
      <c r="AB69" s="273">
        <f>SUM('OPX_BN-1'!$T69:$AA69)</f>
        <v>-46500</v>
      </c>
      <c r="AC69" s="426"/>
      <c r="AD69" s="426"/>
      <c r="AE69" s="417">
        <v>0</v>
      </c>
      <c r="AF69" s="417">
        <v>0</v>
      </c>
      <c r="AG69" s="417">
        <v>0</v>
      </c>
      <c r="AH69" s="417">
        <v>0</v>
      </c>
      <c r="AI69" s="417">
        <v>0</v>
      </c>
      <c r="AJ69" s="271">
        <f>SUM('OPX_BN-1'!$AC69:$AI69)</f>
        <v>0</v>
      </c>
      <c r="AK69" s="429">
        <v>0</v>
      </c>
      <c r="AL69" s="276">
        <f>SUM('OPX_BN-1'!$J69,'OPX_BN-1'!$AB69,'OPX_BN-1'!$S69,'OPX_BN-1'!$AJ69,'OPX_BN-1'!$R69,'OPX_BN-1'!$AK69)</f>
        <v>-375053.08120000002</v>
      </c>
      <c r="AM69" s="427">
        <v>0</v>
      </c>
    </row>
    <row r="70" spans="1:39" ht="15">
      <c r="A70" s="329" t="s">
        <v>500</v>
      </c>
      <c r="B70" s="327" t="str">
        <f>VLOOKUP('OPX_BN-1'!$A70,Tableau106[],3,FALSE)</f>
        <v>A191</v>
      </c>
      <c r="C70" s="327" t="str">
        <f>VLOOKUP('OPX_BN-1'!$A70,Tableau106[],2,FALSE)</f>
        <v>FR40S04E</v>
      </c>
      <c r="D70" s="327" t="str">
        <f>VLOOKUP('OPX_BN-1'!$A70,Tableau106[],8,FALSE)</f>
        <v>SOLAIRE</v>
      </c>
      <c r="E70" s="328">
        <f>VLOOKUP('OPX_BN-1'!$A70,Tableau106[],4,FALSE)</f>
        <v>11.9</v>
      </c>
      <c r="F70" s="327" t="str">
        <f>VLOOKUP('OPX_BN-1'!$A70,Tableau106[],5,FALSE)</f>
        <v>GAB1</v>
      </c>
      <c r="G70" s="327" t="str">
        <f>VLOOKUP('OPX_BN-1'!$A70,Tableau106[],7,FALSE)</f>
        <v>GROUPE</v>
      </c>
      <c r="H70" s="327" t="str">
        <f>VLOOKUP('OPX_BN-1'!$A70,Tableau106[],6,FALSE)</f>
        <v>S</v>
      </c>
      <c r="I70" s="327" t="str">
        <f>VLOOKUP('OPX_BN-1'!$A70,Tableau106[],9,FALSE)</f>
        <v>BaA</v>
      </c>
      <c r="J70" s="160">
        <v>-295722.87592771859</v>
      </c>
      <c r="K70" s="489">
        <v>-5950</v>
      </c>
      <c r="L70" s="490">
        <v>0</v>
      </c>
      <c r="M70" s="229">
        <v>-5000</v>
      </c>
      <c r="N70" s="229">
        <v>0</v>
      </c>
      <c r="O70" s="229">
        <v>0</v>
      </c>
      <c r="P70" s="229">
        <v>0</v>
      </c>
      <c r="Q70" s="230">
        <v>-3000</v>
      </c>
      <c r="R70" s="274">
        <f>SUM('OPX_BN-1'!$K70:$Q70)</f>
        <v>-13950</v>
      </c>
      <c r="S70" s="338">
        <v>0</v>
      </c>
      <c r="T70" s="423">
        <v>0</v>
      </c>
      <c r="U70" s="341"/>
      <c r="V70" s="423">
        <v>0</v>
      </c>
      <c r="W70" s="423">
        <v>0</v>
      </c>
      <c r="X70" s="423">
        <v>0</v>
      </c>
      <c r="Y70" s="423"/>
      <c r="Z70" s="264">
        <v>-3000</v>
      </c>
      <c r="AA70" s="423"/>
      <c r="AB70" s="273">
        <f>SUM('OPX_BN-1'!$T70:$AA70)</f>
        <v>-3000</v>
      </c>
      <c r="AC70" s="426"/>
      <c r="AD70" s="426"/>
      <c r="AE70" s="417">
        <v>0</v>
      </c>
      <c r="AF70" s="417">
        <v>0</v>
      </c>
      <c r="AG70" s="417">
        <v>0</v>
      </c>
      <c r="AH70" s="417">
        <v>0</v>
      </c>
      <c r="AI70" s="417">
        <v>0</v>
      </c>
      <c r="AJ70" s="271">
        <f>SUM('OPX_BN-1'!$AC70:$AI70)</f>
        <v>0</v>
      </c>
      <c r="AK70" s="429">
        <v>-10000</v>
      </c>
      <c r="AL70" s="276">
        <f>SUM('OPX_BN-1'!$J70,'OPX_BN-1'!$AB70,'OPX_BN-1'!$S70,'OPX_BN-1'!$AJ70,'OPX_BN-1'!$R70,'OPX_BN-1'!$AK70)</f>
        <v>-322672.87592771859</v>
      </c>
      <c r="AM70" s="427">
        <v>0</v>
      </c>
    </row>
    <row r="71" spans="1:39" ht="15">
      <c r="A71" s="329" t="s">
        <v>501</v>
      </c>
      <c r="B71" s="327" t="str">
        <f>VLOOKUP('OPX_BN-1'!$A71,Tableau106[],3,FALSE)</f>
        <v>A194</v>
      </c>
      <c r="C71" s="327" t="str">
        <f>VLOOKUP('OPX_BN-1'!$A71,Tableau106[],2,FALSE)</f>
        <v>FR40S07E</v>
      </c>
      <c r="D71" s="327" t="str">
        <f>VLOOKUP('OPX_BN-1'!$A71,Tableau106[],8,FALSE)</f>
        <v>SOLAIRE</v>
      </c>
      <c r="E71" s="328">
        <f>VLOOKUP('OPX_BN-1'!$A71,Tableau106[],4,FALSE)</f>
        <v>11.89</v>
      </c>
      <c r="F71" s="327" t="str">
        <f>VLOOKUP('OPX_BN-1'!$A71,Tableau106[],5,FALSE)</f>
        <v>GAB4</v>
      </c>
      <c r="G71" s="327" t="str">
        <f>VLOOKUP('OPX_BN-1'!$A71,Tableau106[],7,FALSE)</f>
        <v>GROUPE</v>
      </c>
      <c r="H71" s="327" t="str">
        <f>VLOOKUP('OPX_BN-1'!$A71,Tableau106[],6,FALSE)</f>
        <v>S</v>
      </c>
      <c r="I71" s="327" t="str">
        <f>VLOOKUP('OPX_BN-1'!$A71,Tableau106[],9,FALSE)</f>
        <v>BaA</v>
      </c>
      <c r="J71" s="160">
        <v>-291011.60462004662</v>
      </c>
      <c r="K71" s="489">
        <v>-5945</v>
      </c>
      <c r="L71" s="490">
        <v>0</v>
      </c>
      <c r="M71" s="229">
        <v>-5000</v>
      </c>
      <c r="N71" s="229">
        <v>0</v>
      </c>
      <c r="O71" s="229">
        <v>0</v>
      </c>
      <c r="P71" s="229">
        <v>0</v>
      </c>
      <c r="Q71" s="230">
        <v>-3000</v>
      </c>
      <c r="R71" s="274">
        <f>SUM('OPX_BN-1'!$K71:$Q71)</f>
        <v>-13945</v>
      </c>
      <c r="S71" s="338">
        <v>0</v>
      </c>
      <c r="T71" s="423">
        <v>0</v>
      </c>
      <c r="U71" s="341"/>
      <c r="V71" s="423">
        <v>0</v>
      </c>
      <c r="W71" s="423">
        <v>0</v>
      </c>
      <c r="X71" s="423">
        <v>0</v>
      </c>
      <c r="Y71" s="423"/>
      <c r="Z71" s="264">
        <v>-3000</v>
      </c>
      <c r="AA71" s="423"/>
      <c r="AB71" s="273">
        <f>SUM('OPX_BN-1'!$T71:$AA71)</f>
        <v>-3000</v>
      </c>
      <c r="AC71" s="426"/>
      <c r="AD71" s="426"/>
      <c r="AE71" s="417">
        <v>0</v>
      </c>
      <c r="AF71" s="417">
        <v>0</v>
      </c>
      <c r="AG71" s="417">
        <v>0</v>
      </c>
      <c r="AH71" s="417">
        <v>0</v>
      </c>
      <c r="AI71" s="417">
        <v>0</v>
      </c>
      <c r="AJ71" s="271">
        <f>SUM('OPX_BN-1'!$AC71:$AI71)</f>
        <v>0</v>
      </c>
      <c r="AK71" s="429">
        <v>0</v>
      </c>
      <c r="AL71" s="276">
        <f>SUM('OPX_BN-1'!$J71,'OPX_BN-1'!$AB71,'OPX_BN-1'!$S71,'OPX_BN-1'!$AJ71,'OPX_BN-1'!$R71,'OPX_BN-1'!$AK71)</f>
        <v>-307956.60462004662</v>
      </c>
      <c r="AM71" s="427">
        <v>0</v>
      </c>
    </row>
    <row r="72" spans="1:39" ht="15">
      <c r="A72" s="329" t="s">
        <v>502</v>
      </c>
      <c r="B72" s="327" t="str">
        <f>VLOOKUP('OPX_BN-1'!$A72,Tableau106[],3,FALSE)</f>
        <v>A197</v>
      </c>
      <c r="C72" s="327" t="str">
        <f>VLOOKUP('OPX_BN-1'!$A72,Tableau106[],2,FALSE)</f>
        <v>FR40S10E</v>
      </c>
      <c r="D72" s="327" t="str">
        <f>VLOOKUP('OPX_BN-1'!$A72,Tableau106[],8,FALSE)</f>
        <v>SOLAIRE</v>
      </c>
      <c r="E72" s="328">
        <f>VLOOKUP('OPX_BN-1'!$A72,Tableau106[],4,FALSE)</f>
        <v>2.89</v>
      </c>
      <c r="F72" s="327" t="str">
        <f>VLOOKUP('OPX_BN-1'!$A72,Tableau106[],5,FALSE)</f>
        <v>GAB7</v>
      </c>
      <c r="G72" s="327" t="str">
        <f>VLOOKUP('OPX_BN-1'!$A72,Tableau106[],7,FALSE)</f>
        <v>GROUPE</v>
      </c>
      <c r="H72" s="327" t="str">
        <f>VLOOKUP('OPX_BN-1'!$A72,Tableau106[],6,FALSE)</f>
        <v>S</v>
      </c>
      <c r="I72" s="327" t="str">
        <f>VLOOKUP('OPX_BN-1'!$A72,Tableau106[],9,FALSE)</f>
        <v>BaA</v>
      </c>
      <c r="J72" s="160">
        <v>-63779.880728047625</v>
      </c>
      <c r="K72" s="489">
        <v>-1445</v>
      </c>
      <c r="L72" s="490">
        <v>0</v>
      </c>
      <c r="M72" s="229">
        <v>-5000</v>
      </c>
      <c r="N72" s="229">
        <v>0</v>
      </c>
      <c r="O72" s="229">
        <v>0</v>
      </c>
      <c r="P72" s="229">
        <v>0</v>
      </c>
      <c r="Q72" s="230">
        <v>-1000</v>
      </c>
      <c r="R72" s="274">
        <f>SUM('OPX_BN-1'!$K72:$Q72)</f>
        <v>-7445</v>
      </c>
      <c r="S72" s="338">
        <v>0</v>
      </c>
      <c r="T72" s="423">
        <v>0</v>
      </c>
      <c r="U72" s="341"/>
      <c r="V72" s="423">
        <v>0</v>
      </c>
      <c r="W72" s="423">
        <v>0</v>
      </c>
      <c r="X72" s="423">
        <v>0</v>
      </c>
      <c r="Y72" s="423"/>
      <c r="Z72" s="264">
        <v>-1000</v>
      </c>
      <c r="AA72" s="423"/>
      <c r="AB72" s="273">
        <f>SUM('OPX_BN-1'!$T72:$AA72)</f>
        <v>-1000</v>
      </c>
      <c r="AC72" s="426"/>
      <c r="AD72" s="426"/>
      <c r="AE72" s="417">
        <v>0</v>
      </c>
      <c r="AF72" s="417">
        <v>0</v>
      </c>
      <c r="AG72" s="417">
        <v>0</v>
      </c>
      <c r="AH72" s="417">
        <v>-20000</v>
      </c>
      <c r="AI72" s="417">
        <v>0</v>
      </c>
      <c r="AJ72" s="271">
        <f>SUM('OPX_BN-1'!$AC72:$AI72)</f>
        <v>-20000</v>
      </c>
      <c r="AK72" s="429">
        <v>-5000</v>
      </c>
      <c r="AL72" s="276">
        <f>SUM('OPX_BN-1'!$J72,'OPX_BN-1'!$AB72,'OPX_BN-1'!$S72,'OPX_BN-1'!$AJ72,'OPX_BN-1'!$R72,'OPX_BN-1'!$AK72)</f>
        <v>-97224.880728047632</v>
      </c>
      <c r="AM72" s="427">
        <v>0</v>
      </c>
    </row>
    <row r="73" spans="1:39" ht="15">
      <c r="A73" s="329" t="s">
        <v>503</v>
      </c>
      <c r="B73" s="327" t="str">
        <f>VLOOKUP('OPX_BN-1'!$A73,Tableau106[],3,FALSE)</f>
        <v>A139</v>
      </c>
      <c r="C73" s="327" t="str">
        <f>VLOOKUP('OPX_BN-1'!$A73,Tableau106[],2,FALSE)</f>
        <v>FR40S99E</v>
      </c>
      <c r="D73" s="327" t="str">
        <f>VLOOKUP('OPX_BN-1'!$A73,Tableau106[],8,FALSE)</f>
        <v>SOLAIRE</v>
      </c>
      <c r="E73" s="328">
        <f>VLOOKUP('OPX_BN-1'!$A73,Tableau106[],4,FALSE)</f>
        <v>1.998</v>
      </c>
      <c r="F73" s="327" t="str">
        <f>VLOOKUP('OPX_BN-1'!$A73,Tableau106[],5,FALSE)</f>
        <v>GABT</v>
      </c>
      <c r="G73" s="327" t="str">
        <f>VLOOKUP('OPX_BN-1'!$A73,Tableau106[],7,FALSE)</f>
        <v>GROUPE</v>
      </c>
      <c r="H73" s="327" t="str">
        <f>VLOOKUP('OPX_BN-1'!$A73,Tableau106[],6,FALSE)</f>
        <v>S</v>
      </c>
      <c r="I73" s="327" t="str">
        <f>VLOOKUP('OPX_BN-1'!$A73,Tableau106[],9,FALSE)</f>
        <v>BaA</v>
      </c>
      <c r="J73" s="160">
        <v>-53346.107991228084</v>
      </c>
      <c r="K73" s="489">
        <v>-74999</v>
      </c>
      <c r="L73" s="490">
        <v>0</v>
      </c>
      <c r="M73" s="229">
        <v>-3000</v>
      </c>
      <c r="N73" s="229">
        <v>0</v>
      </c>
      <c r="O73" s="229">
        <v>0</v>
      </c>
      <c r="P73" s="229">
        <v>0</v>
      </c>
      <c r="Q73" s="230">
        <v>-1000</v>
      </c>
      <c r="R73" s="274">
        <f>SUM('OPX_BN-1'!$K73:$Q73)</f>
        <v>-78999</v>
      </c>
      <c r="S73" s="338">
        <v>0</v>
      </c>
      <c r="T73" s="423">
        <v>0</v>
      </c>
      <c r="U73" s="341"/>
      <c r="V73" s="423">
        <v>0</v>
      </c>
      <c r="W73" s="423">
        <v>0</v>
      </c>
      <c r="X73" s="423">
        <v>0</v>
      </c>
      <c r="Y73" s="423"/>
      <c r="Z73" s="264">
        <v>-1000</v>
      </c>
      <c r="AA73" s="423"/>
      <c r="AB73" s="273">
        <f>SUM('OPX_BN-1'!$T73:$AA73)</f>
        <v>-1000</v>
      </c>
      <c r="AC73" s="426"/>
      <c r="AD73" s="426"/>
      <c r="AE73" s="417">
        <v>0</v>
      </c>
      <c r="AF73" s="417">
        <v>0</v>
      </c>
      <c r="AG73" s="417">
        <v>0</v>
      </c>
      <c r="AH73" s="417">
        <v>0</v>
      </c>
      <c r="AI73" s="417">
        <v>0</v>
      </c>
      <c r="AJ73" s="271">
        <f>SUM('OPX_BN-1'!$AC73:$AI73)</f>
        <v>0</v>
      </c>
      <c r="AK73" s="429">
        <v>-5000</v>
      </c>
      <c r="AL73" s="276">
        <f>SUM('OPX_BN-1'!$J73,'OPX_BN-1'!$AB73,'OPX_BN-1'!$S73,'OPX_BN-1'!$AJ73,'OPX_BN-1'!$R73,'OPX_BN-1'!$AK73)</f>
        <v>-138345.10799122808</v>
      </c>
      <c r="AM73" s="427">
        <v>0</v>
      </c>
    </row>
    <row r="74" spans="1:39" ht="15">
      <c r="A74" s="329" t="s">
        <v>155</v>
      </c>
      <c r="B74" s="327" t="str">
        <f>VLOOKUP('OPX_BN-1'!$A74,Tableau106[],3,FALSE)</f>
        <v>F239</v>
      </c>
      <c r="C74" s="327" t="str">
        <f>VLOOKUP('OPX_BN-1'!$A74,Tableau106[],2,FALSE)</f>
        <v>FR28E91E</v>
      </c>
      <c r="D74" s="327" t="str">
        <f>VLOOKUP('OPX_BN-1'!$A74,Tableau106[],8,FALSE)</f>
        <v>EOLIEN</v>
      </c>
      <c r="E74" s="328">
        <f>VLOOKUP('OPX_BN-1'!$A74,Tableau106[],4,FALSE)</f>
        <v>18.399999999999999</v>
      </c>
      <c r="F74" s="327" t="str">
        <f>VLOOKUP('OPX_BN-1'!$A74,Tableau106[],5,FALSE)</f>
        <v>GAR1, GAR2</v>
      </c>
      <c r="G74" s="327" t="str">
        <f>VLOOKUP('OPX_BN-1'!$A74,Tableau106[],7,FALSE)</f>
        <v>FUTUREN</v>
      </c>
      <c r="H74" s="327" t="str">
        <f>VLOOKUP('OPX_BN-1'!$A74,Tableau106[],6,FALSE)</f>
        <v>N</v>
      </c>
      <c r="I74" s="327" t="str">
        <f>VLOOKUP('OPX_BN-1'!$A74,Tableau106[],9,FALSE)</f>
        <v>NoS</v>
      </c>
      <c r="J74" s="160">
        <v>-16716.78</v>
      </c>
      <c r="K74" s="489">
        <v>-11200</v>
      </c>
      <c r="L74" s="490">
        <v>0</v>
      </c>
      <c r="M74" s="229">
        <v>0</v>
      </c>
      <c r="N74" s="229">
        <v>0</v>
      </c>
      <c r="O74" s="229">
        <v>0</v>
      </c>
      <c r="P74" s="229">
        <v>0</v>
      </c>
      <c r="Q74" s="230">
        <v>-9200</v>
      </c>
      <c r="R74" s="274">
        <f>SUM('OPX_BN-1'!$K74:$Q74)</f>
        <v>-20400</v>
      </c>
      <c r="S74" s="338">
        <v>-399967.34518400003</v>
      </c>
      <c r="T74" s="423">
        <v>-2500</v>
      </c>
      <c r="U74" s="341"/>
      <c r="V74" s="423">
        <v>-17000</v>
      </c>
      <c r="W74" s="423">
        <v>-9600</v>
      </c>
      <c r="X74" s="423">
        <v>0</v>
      </c>
      <c r="Y74" s="423"/>
      <c r="Z74" s="264">
        <v>-1087.5</v>
      </c>
      <c r="AA74" s="423"/>
      <c r="AB74" s="273">
        <f>SUM('OPX_BN-1'!$T74:$AA74)</f>
        <v>-30187.5</v>
      </c>
      <c r="AC74" s="426"/>
      <c r="AD74" s="426"/>
      <c r="AE74" s="417">
        <v>0</v>
      </c>
      <c r="AF74" s="417">
        <v>0</v>
      </c>
      <c r="AG74" s="417">
        <v>0</v>
      </c>
      <c r="AH74" s="417">
        <v>0</v>
      </c>
      <c r="AI74" s="417">
        <v>0</v>
      </c>
      <c r="AJ74" s="271">
        <f>SUM('OPX_BN-1'!$AC74:$AI74)</f>
        <v>0</v>
      </c>
      <c r="AK74" s="429">
        <v>0</v>
      </c>
      <c r="AL74" s="276">
        <f>SUM('OPX_BN-1'!$J74,'OPX_BN-1'!$AB74,'OPX_BN-1'!$S74,'OPX_BN-1'!$AJ74,'OPX_BN-1'!$R74,'OPX_BN-1'!$AK74)</f>
        <v>-467271.625184</v>
      </c>
      <c r="AM74" s="427">
        <v>0</v>
      </c>
    </row>
    <row r="75" spans="1:39" ht="15">
      <c r="A75" s="329" t="s">
        <v>505</v>
      </c>
      <c r="B75" s="327" t="str">
        <f>VLOOKUP('OPX_BN-1'!$A75,Tableau106[],3,FALSE)</f>
        <v>A237</v>
      </c>
      <c r="C75" s="327" t="str">
        <f>VLOOKUP('OPX_BN-1'!$A75,Tableau106[],2,FALSE)</f>
        <v>FR23S01E</v>
      </c>
      <c r="D75" s="327" t="str">
        <f>VLOOKUP('OPX_BN-1'!$A75,Tableau106[],8,FALSE)</f>
        <v>SOLAIRE</v>
      </c>
      <c r="E75" s="328">
        <f>VLOOKUP('OPX_BN-1'!$A75,Tableau106[],4,FALSE)</f>
        <v>14.7</v>
      </c>
      <c r="F75" s="327" t="str">
        <f>VLOOKUP('OPX_BN-1'!$A75,Tableau106[],5,FALSE)</f>
        <v>GDGT</v>
      </c>
      <c r="G75" s="327" t="str">
        <f>VLOOKUP('OPX_BN-1'!$A75,Tableau106[],7,FALSE)</f>
        <v>GROUPE</v>
      </c>
      <c r="H75" s="327" t="str">
        <f>VLOOKUP('OPX_BN-1'!$A75,Tableau106[],6,FALSE)</f>
        <v>S</v>
      </c>
      <c r="I75" s="327" t="str">
        <f>VLOOKUP('OPX_BN-1'!$A75,Tableau106[],9,FALSE)</f>
        <v>ArB</v>
      </c>
      <c r="J75" s="160">
        <v>0</v>
      </c>
      <c r="K75" s="489">
        <v>-7350</v>
      </c>
      <c r="L75" s="490">
        <v>0</v>
      </c>
      <c r="M75" s="229">
        <v>0</v>
      </c>
      <c r="N75" s="229">
        <v>0</v>
      </c>
      <c r="O75" s="229">
        <v>0</v>
      </c>
      <c r="P75" s="229">
        <v>0</v>
      </c>
      <c r="Q75" s="230">
        <v>-7350</v>
      </c>
      <c r="R75" s="274">
        <f>SUM('OPX_BN-1'!$K75:$Q75)</f>
        <v>-14700</v>
      </c>
      <c r="S75" s="338">
        <v>-34615.4</v>
      </c>
      <c r="T75" s="423">
        <v>-5000</v>
      </c>
      <c r="U75" s="341"/>
      <c r="V75" s="423">
        <v>-22000</v>
      </c>
      <c r="W75" s="423">
        <v>0</v>
      </c>
      <c r="X75" s="423">
        <v>0</v>
      </c>
      <c r="Y75" s="423"/>
      <c r="Z75" s="264">
        <v>-7350</v>
      </c>
      <c r="AA75" s="423"/>
      <c r="AB75" s="273">
        <f>SUM('OPX_BN-1'!$T75:$AA75)</f>
        <v>-34350</v>
      </c>
      <c r="AC75" s="426"/>
      <c r="AD75" s="426"/>
      <c r="AE75" s="417">
        <v>0</v>
      </c>
      <c r="AF75" s="417">
        <v>0</v>
      </c>
      <c r="AG75" s="417">
        <v>0</v>
      </c>
      <c r="AH75" s="417">
        <v>-3250</v>
      </c>
      <c r="AI75" s="417">
        <v>0</v>
      </c>
      <c r="AJ75" s="271">
        <f>SUM('OPX_BN-1'!$AC75:$AI75)</f>
        <v>-3250</v>
      </c>
      <c r="AK75" s="429">
        <v>0</v>
      </c>
      <c r="AL75" s="276">
        <f>SUM('OPX_BN-1'!$J75,'OPX_BN-1'!$AB75,'OPX_BN-1'!$S75,'OPX_BN-1'!$AJ75,'OPX_BN-1'!$R75,'OPX_BN-1'!$AK75)</f>
        <v>-86915.4</v>
      </c>
      <c r="AM75" s="427">
        <v>0</v>
      </c>
    </row>
    <row r="76" spans="1:39" ht="15">
      <c r="A76" s="329" t="s">
        <v>565</v>
      </c>
      <c r="B76" s="327" t="str">
        <f>VLOOKUP('OPX_BN-1'!$A76,Tableau106[],3,FALSE)</f>
        <v>A540</v>
      </c>
      <c r="C76" s="327" t="str">
        <f>VLOOKUP('OPX_BN-1'!$A76,Tableau106[],2,FALSE)</f>
        <v>FR56E02E</v>
      </c>
      <c r="D76" s="327" t="str">
        <f>VLOOKUP('OPX_BN-1'!$A76,Tableau106[],8,FALSE)</f>
        <v>EOLIEN</v>
      </c>
      <c r="E76" s="328">
        <f>VLOOKUP('OPX_BN-1'!$A76,Tableau106[],4,FALSE)</f>
        <v>12</v>
      </c>
      <c r="F76" s="327" t="str">
        <f>VLOOKUP('OPX_BN-1'!$A76,Tableau106[],5,FALSE)</f>
        <v>GRPL</v>
      </c>
      <c r="G76" s="327" t="str">
        <f>VLOOKUP('OPX_BN-1'!$A76,Tableau106[],7,FALSE)</f>
        <v>EGM</v>
      </c>
      <c r="H76" s="327" t="str">
        <f>VLOOKUP('OPX_BN-1'!$A76,Tableau106[],6,FALSE)</f>
        <v>N</v>
      </c>
      <c r="I76" s="327" t="str">
        <f>VLOOKUP('OPX_BN-1'!$A76,Tableau106[],9,FALSE)</f>
        <v>MaA</v>
      </c>
      <c r="J76" s="160">
        <v>-308014.31530515221</v>
      </c>
      <c r="K76" s="489">
        <v>-6000</v>
      </c>
      <c r="L76" s="490">
        <v>-39682.539682539682</v>
      </c>
      <c r="M76" s="229">
        <v>0</v>
      </c>
      <c r="N76" s="229">
        <v>0</v>
      </c>
      <c r="O76" s="229">
        <v>-3000</v>
      </c>
      <c r="P76" s="229">
        <v>-4200</v>
      </c>
      <c r="Q76" s="230">
        <v>-6000</v>
      </c>
      <c r="R76" s="274">
        <f>SUM('OPX_BN-1'!$K76:$Q76)</f>
        <v>-58882.539682539682</v>
      </c>
      <c r="S76" s="338">
        <v>0</v>
      </c>
      <c r="T76" s="423">
        <v>0</v>
      </c>
      <c r="U76" s="341"/>
      <c r="V76" s="423">
        <v>-2000</v>
      </c>
      <c r="W76" s="423">
        <v>0</v>
      </c>
      <c r="X76" s="423">
        <v>-4000</v>
      </c>
      <c r="Y76" s="423"/>
      <c r="Z76" s="264">
        <v>-6000</v>
      </c>
      <c r="AA76" s="423"/>
      <c r="AB76" s="273">
        <f>SUM('OPX_BN-1'!$T76:$AA76)</f>
        <v>-12000</v>
      </c>
      <c r="AC76" s="426"/>
      <c r="AD76" s="426"/>
      <c r="AE76" s="417">
        <v>0</v>
      </c>
      <c r="AF76" s="417">
        <v>-9000</v>
      </c>
      <c r="AG76" s="417">
        <v>-15000</v>
      </c>
      <c r="AH76" s="417">
        <v>0</v>
      </c>
      <c r="AI76" s="417">
        <v>0</v>
      </c>
      <c r="AJ76" s="271">
        <f>SUM('OPX_BN-1'!$AC76:$AI76)</f>
        <v>-24000</v>
      </c>
      <c r="AK76" s="429">
        <v>0</v>
      </c>
      <c r="AL76" s="276">
        <f>SUM('OPX_BN-1'!$J76,'OPX_BN-1'!$AB76,'OPX_BN-1'!$S76,'OPX_BN-1'!$AJ76,'OPX_BN-1'!$R76,'OPX_BN-1'!$AK76)</f>
        <v>-402896.85498769191</v>
      </c>
      <c r="AM76" s="427">
        <v>0</v>
      </c>
    </row>
    <row r="77" spans="1:39" ht="15">
      <c r="A77" s="329" t="s">
        <v>467</v>
      </c>
      <c r="B77" s="327" t="str">
        <f>VLOOKUP('OPX_BN-1'!$A77,Tableau106[],3,FALSE)</f>
        <v>A420</v>
      </c>
      <c r="C77" s="327" t="str">
        <f>VLOOKUP('OPX_BN-1'!$A77,Tableau106[],2,FALSE)</f>
        <v>FR28E02E</v>
      </c>
      <c r="D77" s="327" t="str">
        <f>VLOOKUP('OPX_BN-1'!$A77,Tableau106[],8,FALSE)</f>
        <v>EOLIEN</v>
      </c>
      <c r="E77" s="328">
        <f>VLOOKUP('OPX_BN-1'!$A77,Tableau106[],4,FALSE)</f>
        <v>17.7</v>
      </c>
      <c r="F77" s="327" t="str">
        <f>VLOOKUP('OPX_BN-1'!$A77,Tableau106[],5,FALSE)</f>
        <v>GUIL</v>
      </c>
      <c r="G77" s="327" t="str">
        <f>VLOOKUP('OPX_BN-1'!$A77,Tableau106[],7,FALSE)</f>
        <v>GROUPE</v>
      </c>
      <c r="H77" s="327" t="str">
        <f>VLOOKUP('OPX_BN-1'!$A77,Tableau106[],6,FALSE)</f>
        <v>N</v>
      </c>
      <c r="I77" s="327" t="str">
        <f>VLOOKUP('OPX_BN-1'!$A77,Tableau106[],9,FALSE)</f>
        <v>AlY</v>
      </c>
      <c r="J77" s="160">
        <v>-23044.475409836065</v>
      </c>
      <c r="K77" s="489">
        <v>-8850</v>
      </c>
      <c r="L77" s="490">
        <v>0</v>
      </c>
      <c r="M77" s="229">
        <v>0</v>
      </c>
      <c r="N77" s="229">
        <v>0</v>
      </c>
      <c r="O77" s="229">
        <v>0</v>
      </c>
      <c r="P77" s="229">
        <v>-6195</v>
      </c>
      <c r="Q77" s="230">
        <v>-8850</v>
      </c>
      <c r="R77" s="274">
        <f>SUM('OPX_BN-1'!$K77:$Q77)</f>
        <v>-23895</v>
      </c>
      <c r="S77" s="338">
        <v>-249749.09289999999</v>
      </c>
      <c r="T77" s="423">
        <v>0</v>
      </c>
      <c r="U77" s="341"/>
      <c r="V77" s="423">
        <v>0</v>
      </c>
      <c r="W77" s="423">
        <v>-1000</v>
      </c>
      <c r="X77" s="423">
        <v>0</v>
      </c>
      <c r="Y77" s="423"/>
      <c r="Z77" s="264">
        <v>-8850</v>
      </c>
      <c r="AA77" s="423"/>
      <c r="AB77" s="273">
        <f>SUM('OPX_BN-1'!$T77:$AA77)</f>
        <v>-9850</v>
      </c>
      <c r="AC77" s="426"/>
      <c r="AD77" s="426"/>
      <c r="AE77" s="417">
        <v>0</v>
      </c>
      <c r="AF77" s="417">
        <v>0</v>
      </c>
      <c r="AG77" s="417">
        <v>0</v>
      </c>
      <c r="AH77" s="417">
        <v>0</v>
      </c>
      <c r="AI77" s="417">
        <v>-12200</v>
      </c>
      <c r="AJ77" s="271">
        <f>SUM('OPX_BN-1'!$AC77:$AI77)</f>
        <v>-12200</v>
      </c>
      <c r="AK77" s="429">
        <v>0</v>
      </c>
      <c r="AL77" s="276">
        <f>SUM('OPX_BN-1'!$J77,'OPX_BN-1'!$AB77,'OPX_BN-1'!$S77,'OPX_BN-1'!$AJ77,'OPX_BN-1'!$R77,'OPX_BN-1'!$AK77)</f>
        <v>-318738.56830983603</v>
      </c>
      <c r="AM77" s="427">
        <v>0</v>
      </c>
    </row>
    <row r="78" spans="1:39" ht="15">
      <c r="A78" s="329" t="s">
        <v>547</v>
      </c>
      <c r="B78" s="327" t="str">
        <f>VLOOKUP('OPX_BN-1'!$A78,Tableau106[],3,FALSE)</f>
        <v>F168</v>
      </c>
      <c r="C78" s="327" t="str">
        <f>VLOOKUP('OPX_BN-1'!$A78,Tableau106[],2,FALSE)</f>
        <v>FR80E91E</v>
      </c>
      <c r="D78" s="327" t="str">
        <f>VLOOKUP('OPX_BN-1'!$A78,Tableau106[],8,FALSE)</f>
        <v>EOLIEN</v>
      </c>
      <c r="E78" s="328">
        <f>VLOOKUP('OPX_BN-1'!$A78,Tableau106[],4,FALSE)</f>
        <v>21</v>
      </c>
      <c r="F78" s="327" t="str">
        <f>VLOOKUP('OPX_BN-1'!$A78,Tableau106[],5,FALSE)</f>
        <v>HAB1, HAB2</v>
      </c>
      <c r="G78" s="327" t="str">
        <f>VLOOKUP('OPX_BN-1'!$A78,Tableau106[],7,FALSE)</f>
        <v>FUTUREN</v>
      </c>
      <c r="H78" s="327" t="str">
        <f>VLOOKUP('OPX_BN-1'!$A78,Tableau106[],6,FALSE)</f>
        <v>N</v>
      </c>
      <c r="I78" s="327" t="str">
        <f>VLOOKUP('OPX_BN-1'!$A78,Tableau106[],9,FALSE)</f>
        <v>NiD</v>
      </c>
      <c r="J78" s="160">
        <v>-12310.380000000001</v>
      </c>
      <c r="K78" s="489">
        <v>-12000</v>
      </c>
      <c r="L78" s="490">
        <v>0</v>
      </c>
      <c r="M78" s="229">
        <v>0</v>
      </c>
      <c r="N78" s="229">
        <v>0</v>
      </c>
      <c r="O78" s="229">
        <v>0</v>
      </c>
      <c r="P78" s="229">
        <v>0</v>
      </c>
      <c r="Q78" s="230">
        <v>-10500</v>
      </c>
      <c r="R78" s="274">
        <f>SUM('OPX_BN-1'!$K78:$Q78)</f>
        <v>-22500</v>
      </c>
      <c r="S78" s="338">
        <v>-498371.14909999998</v>
      </c>
      <c r="T78" s="423">
        <v>0</v>
      </c>
      <c r="U78" s="341"/>
      <c r="V78" s="423">
        <v>-2000</v>
      </c>
      <c r="W78" s="423">
        <v>-14631</v>
      </c>
      <c r="X78" s="423">
        <v>0</v>
      </c>
      <c r="Y78" s="423"/>
      <c r="Z78" s="264">
        <v>-10500</v>
      </c>
      <c r="AA78" s="423"/>
      <c r="AB78" s="273">
        <f>SUM('OPX_BN-1'!$T78:$AA78)</f>
        <v>-27131</v>
      </c>
      <c r="AC78" s="426"/>
      <c r="AD78" s="426"/>
      <c r="AE78" s="417">
        <v>0</v>
      </c>
      <c r="AF78" s="417">
        <v>0</v>
      </c>
      <c r="AG78" s="417">
        <v>0</v>
      </c>
      <c r="AH78" s="417">
        <v>0</v>
      </c>
      <c r="AI78" s="417">
        <v>0</v>
      </c>
      <c r="AJ78" s="271">
        <f>SUM('OPX_BN-1'!$AC78:$AI78)</f>
        <v>0</v>
      </c>
      <c r="AK78" s="429">
        <v>0</v>
      </c>
      <c r="AL78" s="276">
        <f>SUM('OPX_BN-1'!$J78,'OPX_BN-1'!$AB78,'OPX_BN-1'!$S78,'OPX_BN-1'!$AJ78,'OPX_BN-1'!$R78,'OPX_BN-1'!$AK78)</f>
        <v>-560312.52909999993</v>
      </c>
      <c r="AM78" s="427">
        <v>0</v>
      </c>
    </row>
    <row r="79" spans="1:39" ht="15">
      <c r="A79" s="329" t="s">
        <v>477</v>
      </c>
      <c r="B79" s="327" t="str">
        <f>VLOOKUP('OPX_BN-1'!$A79,Tableau106[],3,FALSE)</f>
        <v>A531</v>
      </c>
      <c r="C79" s="327" t="str">
        <f>VLOOKUP('OPX_BN-1'!$A79,Tableau106[],2,FALSE)</f>
        <v>FR62E01E</v>
      </c>
      <c r="D79" s="327" t="str">
        <f>VLOOKUP('OPX_BN-1'!$A79,Tableau106[],8,FALSE)</f>
        <v>EOLIEN</v>
      </c>
      <c r="E79" s="328">
        <f>VLOOKUP('OPX_BN-1'!$A79,Tableau106[],4,FALSE)</f>
        <v>6</v>
      </c>
      <c r="F79" s="327" t="str">
        <f>VLOOKUP('OPX_BN-1'!$A79,Tableau106[],5,FALSE)</f>
        <v>HENI</v>
      </c>
      <c r="G79" s="327" t="str">
        <f>VLOOKUP('OPX_BN-1'!$A79,Tableau106[],7,FALSE)</f>
        <v>GROUPE</v>
      </c>
      <c r="H79" s="327" t="str">
        <f>VLOOKUP('OPX_BN-1'!$A79,Tableau106[],6,FALSE)</f>
        <v>N</v>
      </c>
      <c r="I79" s="327" t="str">
        <f>VLOOKUP('OPX_BN-1'!$A79,Tableau106[],9,FALSE)</f>
        <v>NiL</v>
      </c>
      <c r="J79" s="160">
        <v>-12626.246851385387</v>
      </c>
      <c r="K79" s="489">
        <v>-3000</v>
      </c>
      <c r="L79" s="490">
        <v>0</v>
      </c>
      <c r="M79" s="229">
        <v>0</v>
      </c>
      <c r="N79" s="229">
        <v>0</v>
      </c>
      <c r="O79" s="229">
        <v>0</v>
      </c>
      <c r="P79" s="229">
        <v>-2100</v>
      </c>
      <c r="Q79" s="230">
        <v>-3000</v>
      </c>
      <c r="R79" s="274">
        <f>SUM('OPX_BN-1'!$K79:$Q79)</f>
        <v>-8100</v>
      </c>
      <c r="S79" s="338">
        <v>-181578.13500000001</v>
      </c>
      <c r="T79" s="423">
        <v>0</v>
      </c>
      <c r="U79" s="341"/>
      <c r="V79" s="423">
        <v>-600</v>
      </c>
      <c r="W79" s="423">
        <v>0</v>
      </c>
      <c r="X79" s="423">
        <v>0</v>
      </c>
      <c r="Y79" s="423"/>
      <c r="Z79" s="264">
        <v>-3000</v>
      </c>
      <c r="AA79" s="423"/>
      <c r="AB79" s="273">
        <f>SUM('OPX_BN-1'!$T79:$AA79)</f>
        <v>-3600</v>
      </c>
      <c r="AC79" s="426"/>
      <c r="AD79" s="426"/>
      <c r="AE79" s="417">
        <v>0</v>
      </c>
      <c r="AF79" s="417">
        <v>-9000</v>
      </c>
      <c r="AG79" s="417">
        <v>-30000</v>
      </c>
      <c r="AH79" s="417">
        <v>0</v>
      </c>
      <c r="AI79" s="417">
        <v>-1000</v>
      </c>
      <c r="AJ79" s="271">
        <f>SUM('OPX_BN-1'!$AC79:$AI79)</f>
        <v>-40000</v>
      </c>
      <c r="AK79" s="429">
        <v>0</v>
      </c>
      <c r="AL79" s="276">
        <f>SUM('OPX_BN-1'!$J79,'OPX_BN-1'!$AB79,'OPX_BN-1'!$S79,'OPX_BN-1'!$AJ79,'OPX_BN-1'!$R79,'OPX_BN-1'!$AK79)</f>
        <v>-245904.38185138541</v>
      </c>
      <c r="AM79" s="427">
        <v>0</v>
      </c>
    </row>
    <row r="80" spans="1:39" ht="15">
      <c r="A80" s="329" t="s">
        <v>458</v>
      </c>
      <c r="B80" s="327" t="str">
        <f>VLOOKUP('OPX_BN-1'!$A80,Tableau106[],3,FALSE)</f>
        <v>A540</v>
      </c>
      <c r="C80" s="327" t="str">
        <f>VLOOKUP('OPX_BN-1'!$A80,Tableau106[],2,FALSE)</f>
        <v>FR14E03E</v>
      </c>
      <c r="D80" s="327" t="str">
        <f>VLOOKUP('OPX_BN-1'!$A80,Tableau106[],8,FALSE)</f>
        <v>EOLIEN</v>
      </c>
      <c r="E80" s="328">
        <f>VLOOKUP('OPX_BN-1'!$A80,Tableau106[],4,FALSE)</f>
        <v>8</v>
      </c>
      <c r="F80" s="327" t="str">
        <f>VLOOKUP('OPX_BN-1'!$A80,Tableau106[],5,FALSE)</f>
        <v>HERO</v>
      </c>
      <c r="G80" s="327" t="str">
        <f>VLOOKUP('OPX_BN-1'!$A80,Tableau106[],7,FALSE)</f>
        <v>EGM</v>
      </c>
      <c r="H80" s="327" t="str">
        <f>VLOOKUP('OPX_BN-1'!$A80,Tableau106[],6,FALSE)</f>
        <v>N</v>
      </c>
      <c r="I80" s="327" t="str">
        <f>VLOOKUP('OPX_BN-1'!$A80,Tableau106[],9,FALSE)</f>
        <v>DeN</v>
      </c>
      <c r="J80" s="160">
        <v>-205342.87687010149</v>
      </c>
      <c r="K80" s="489">
        <v>-4000</v>
      </c>
      <c r="L80" s="490">
        <v>-26455.026455026455</v>
      </c>
      <c r="M80" s="229">
        <v>0</v>
      </c>
      <c r="N80" s="229">
        <v>0</v>
      </c>
      <c r="O80" s="229">
        <v>0</v>
      </c>
      <c r="P80" s="229">
        <v>-2800</v>
      </c>
      <c r="Q80" s="230">
        <v>-4000</v>
      </c>
      <c r="R80" s="274">
        <f>SUM('OPX_BN-1'!$K80:$Q80)</f>
        <v>-37255.026455026455</v>
      </c>
      <c r="S80" s="338">
        <v>0</v>
      </c>
      <c r="T80" s="423">
        <v>0</v>
      </c>
      <c r="U80" s="341"/>
      <c r="V80" s="423">
        <v>-1000</v>
      </c>
      <c r="W80" s="423">
        <v>0</v>
      </c>
      <c r="X80" s="423">
        <v>0</v>
      </c>
      <c r="Y80" s="423"/>
      <c r="Z80" s="264">
        <v>-4000</v>
      </c>
      <c r="AA80" s="423"/>
      <c r="AB80" s="273">
        <f>SUM('OPX_BN-1'!$T80:$AA80)</f>
        <v>-5000</v>
      </c>
      <c r="AC80" s="426"/>
      <c r="AD80" s="426"/>
      <c r="AE80" s="417">
        <v>0</v>
      </c>
      <c r="AF80" s="417">
        <v>0</v>
      </c>
      <c r="AG80" s="417">
        <v>0</v>
      </c>
      <c r="AH80" s="417">
        <v>0</v>
      </c>
      <c r="AI80" s="417">
        <v>0</v>
      </c>
      <c r="AJ80" s="271">
        <f>SUM('OPX_BN-1'!$AC80:$AI80)</f>
        <v>0</v>
      </c>
      <c r="AK80" s="429">
        <v>0</v>
      </c>
      <c r="AL80" s="276">
        <f>SUM('OPX_BN-1'!$J80,'OPX_BN-1'!$AB80,'OPX_BN-1'!$S80,'OPX_BN-1'!$AJ80,'OPX_BN-1'!$R80,'OPX_BN-1'!$AK80)</f>
        <v>-247597.90332512796</v>
      </c>
      <c r="AM80" s="427">
        <v>0</v>
      </c>
    </row>
    <row r="81" spans="1:39" ht="15">
      <c r="A81" s="329" t="s">
        <v>464</v>
      </c>
      <c r="B81" s="327" t="str">
        <f>VLOOKUP('OPX_BN-1'!$A81,Tableau106[],3,FALSE)</f>
        <v>A281</v>
      </c>
      <c r="C81" s="327" t="str">
        <f>VLOOKUP('OPX_BN-1'!$A81,Tableau106[],2,FALSE)</f>
        <v>FR86E05E</v>
      </c>
      <c r="D81" s="327" t="str">
        <f>VLOOKUP('OPX_BN-1'!$A81,Tableau106[],8,FALSE)</f>
        <v>EOLIEN</v>
      </c>
      <c r="E81" s="328">
        <f>VLOOKUP('OPX_BN-1'!$A81,Tableau106[],4,FALSE)</f>
        <v>15</v>
      </c>
      <c r="F81" s="327" t="str">
        <f>VLOOKUP('OPX_BN-1'!$A81,Tableau106[],5,FALSE)</f>
        <v>JAVI</v>
      </c>
      <c r="G81" s="327" t="str">
        <f>VLOOKUP('OPX_BN-1'!$A81,Tableau106[],7,FALSE)</f>
        <v>PARTNER</v>
      </c>
      <c r="H81" s="327" t="str">
        <f>VLOOKUP('OPX_BN-1'!$A81,Tableau106[],6,FALSE)</f>
        <v>S</v>
      </c>
      <c r="I81" s="327" t="str">
        <f>VLOOKUP('OPX_BN-1'!$A81,Tableau106[],9,FALSE)</f>
        <v>PiM</v>
      </c>
      <c r="J81" s="160">
        <v>0</v>
      </c>
      <c r="K81" s="489">
        <v>-7500</v>
      </c>
      <c r="L81" s="490">
        <v>0</v>
      </c>
      <c r="M81" s="229">
        <v>0</v>
      </c>
      <c r="N81" s="229">
        <v>0</v>
      </c>
      <c r="O81" s="229">
        <v>0</v>
      </c>
      <c r="P81" s="229">
        <v>-5250</v>
      </c>
      <c r="Q81" s="230">
        <v>-7500</v>
      </c>
      <c r="R81" s="274">
        <f>SUM('OPX_BN-1'!$K81:$Q81)</f>
        <v>-20250</v>
      </c>
      <c r="S81" s="338">
        <v>-254058.7102</v>
      </c>
      <c r="T81" s="423">
        <v>-2000</v>
      </c>
      <c r="U81" s="341"/>
      <c r="V81" s="423">
        <v>-3000</v>
      </c>
      <c r="W81" s="423">
        <v>-2250</v>
      </c>
      <c r="X81" s="423">
        <v>0</v>
      </c>
      <c r="Y81" s="423"/>
      <c r="Z81" s="264">
        <v>-7500</v>
      </c>
      <c r="AA81" s="423"/>
      <c r="AB81" s="273">
        <f>SUM('OPX_BN-1'!$T81:$AA81)</f>
        <v>-14750</v>
      </c>
      <c r="AC81" s="426"/>
      <c r="AD81" s="426"/>
      <c r="AE81" s="417">
        <v>-18850.8</v>
      </c>
      <c r="AF81" s="417">
        <v>-10283.969999999999</v>
      </c>
      <c r="AG81" s="417">
        <v>-45647.83</v>
      </c>
      <c r="AH81" s="417">
        <v>0</v>
      </c>
      <c r="AI81" s="417">
        <v>0</v>
      </c>
      <c r="AJ81" s="271">
        <f>SUM('OPX_BN-1'!$AC81:$AI81)</f>
        <v>-74782.600000000006</v>
      </c>
      <c r="AK81" s="429">
        <v>0</v>
      </c>
      <c r="AL81" s="276">
        <f>SUM('OPX_BN-1'!$J81,'OPX_BN-1'!$AB81,'OPX_BN-1'!$S81,'OPX_BN-1'!$AJ81,'OPX_BN-1'!$R81,'OPX_BN-1'!$AK81)</f>
        <v>-363841.31019999995</v>
      </c>
      <c r="AM81" s="427">
        <v>0</v>
      </c>
    </row>
    <row r="82" spans="1:39" ht="15">
      <c r="A82" s="329" t="s">
        <v>549</v>
      </c>
      <c r="B82" s="327" t="str">
        <f>VLOOKUP('OPX_BN-1'!$A82,Tableau106[],3,FALSE)</f>
        <v>F156</v>
      </c>
      <c r="C82" s="327" t="str">
        <f>VLOOKUP('OPX_BN-1'!$A82,Tableau106[],2,FALSE)</f>
        <v>FR34E10E</v>
      </c>
      <c r="D82" s="327" t="str">
        <f>VLOOKUP('OPX_BN-1'!$A82,Tableau106[],8,FALSE)</f>
        <v>EOLIEN</v>
      </c>
      <c r="E82" s="328">
        <f>VLOOKUP('OPX_BN-1'!$A82,Tableau106[],4,FALSE)</f>
        <v>6.3</v>
      </c>
      <c r="F82" s="327" t="str">
        <f>VLOOKUP('OPX_BN-1'!$A82,Tableau106[],5,FALSE)</f>
        <v>JON2</v>
      </c>
      <c r="G82" s="327" t="str">
        <f>VLOOKUP('OPX_BN-1'!$A82,Tableau106[],7,FALSE)</f>
        <v>FUTUREN</v>
      </c>
      <c r="H82" s="327" t="str">
        <f>VLOOKUP('OPX_BN-1'!$A82,Tableau106[],6,FALSE)</f>
        <v>S</v>
      </c>
      <c r="I82" s="327" t="str">
        <f>VLOOKUP('OPX_BN-1'!$A82,Tableau106[],9,FALSE)</f>
        <v>KéC</v>
      </c>
      <c r="J82" s="160">
        <v>-10090.450393700787</v>
      </c>
      <c r="K82" s="489">
        <v>-3150</v>
      </c>
      <c r="L82" s="490">
        <v>0</v>
      </c>
      <c r="M82" s="229">
        <v>0</v>
      </c>
      <c r="N82" s="229">
        <v>0</v>
      </c>
      <c r="O82" s="229">
        <v>0</v>
      </c>
      <c r="P82" s="229">
        <v>0</v>
      </c>
      <c r="Q82" s="230">
        <v>-3150</v>
      </c>
      <c r="R82" s="274">
        <f>SUM('OPX_BN-1'!$K82:$Q82)</f>
        <v>-6300</v>
      </c>
      <c r="S82" s="338">
        <v>-128280.6</v>
      </c>
      <c r="T82" s="423">
        <v>0</v>
      </c>
      <c r="U82" s="341"/>
      <c r="V82" s="423">
        <v>0</v>
      </c>
      <c r="W82" s="423">
        <v>0</v>
      </c>
      <c r="X82" s="423">
        <v>0</v>
      </c>
      <c r="Y82" s="423"/>
      <c r="Z82" s="264">
        <v>-10650</v>
      </c>
      <c r="AA82" s="423"/>
      <c r="AB82" s="273">
        <f>SUM('OPX_BN-1'!$T82:$AA82)</f>
        <v>-10650</v>
      </c>
      <c r="AC82" s="426"/>
      <c r="AD82" s="426"/>
      <c r="AE82" s="417">
        <v>-10000</v>
      </c>
      <c r="AF82" s="417">
        <v>0</v>
      </c>
      <c r="AG82" s="417">
        <v>0</v>
      </c>
      <c r="AH82" s="417">
        <v>0</v>
      </c>
      <c r="AI82" s="417">
        <v>-50000</v>
      </c>
      <c r="AJ82" s="271">
        <f>SUM('OPX_BN-1'!$AC82:$AI82)</f>
        <v>-60000</v>
      </c>
      <c r="AK82" s="429">
        <v>0</v>
      </c>
      <c r="AL82" s="276">
        <f>SUM('OPX_BN-1'!$J82,'OPX_BN-1'!$AB82,'OPX_BN-1'!$S82,'OPX_BN-1'!$AJ82,'OPX_BN-1'!$R82,'OPX_BN-1'!$AK82)</f>
        <v>-215321.0503937008</v>
      </c>
      <c r="AM82" s="427">
        <v>0</v>
      </c>
    </row>
    <row r="83" spans="1:39" ht="15">
      <c r="A83" s="329" t="s">
        <v>568</v>
      </c>
      <c r="B83" s="327" t="str">
        <f>VLOOKUP('OPX_BN-1'!$A83,Tableau106[],3,FALSE)</f>
        <v>A100</v>
      </c>
      <c r="C83" s="327" t="str">
        <f>VLOOKUP('OPX_BN-1'!$A83,Tableau106[],2,FALSE)</f>
        <v>FR34E05E</v>
      </c>
      <c r="D83" s="327" t="str">
        <f>VLOOKUP('OPX_BN-1'!$A83,Tableau106[],8,FALSE)</f>
        <v>EOLIEN</v>
      </c>
      <c r="E83" s="328">
        <f>VLOOKUP('OPX_BN-1'!$A83,Tableau106[],4,FALSE)</f>
        <v>14.5</v>
      </c>
      <c r="F83" s="327" t="str">
        <f>VLOOKUP('OPX_BN-1'!$A83,Tableau106[],5,FALSE)</f>
        <v>JONC</v>
      </c>
      <c r="G83" s="327" t="str">
        <f>VLOOKUP('OPX_BN-1'!$A83,Tableau106[],7,FALSE)</f>
        <v>GROUPE</v>
      </c>
      <c r="H83" s="327" t="str">
        <f>VLOOKUP('OPX_BN-1'!$A83,Tableau106[],6,FALSE)</f>
        <v>S</v>
      </c>
      <c r="I83" s="327" t="str">
        <f>VLOOKUP('OPX_BN-1'!$A83,Tableau106[],9,FALSE)</f>
        <v>KéC</v>
      </c>
      <c r="J83" s="160">
        <v>-12626.246851385387</v>
      </c>
      <c r="K83" s="489">
        <v>-7250</v>
      </c>
      <c r="L83" s="490">
        <v>0</v>
      </c>
      <c r="M83" s="229">
        <v>0</v>
      </c>
      <c r="N83" s="229">
        <v>0</v>
      </c>
      <c r="O83" s="229">
        <v>0</v>
      </c>
      <c r="P83" s="229">
        <v>-5075</v>
      </c>
      <c r="Q83" s="230">
        <v>-7250</v>
      </c>
      <c r="R83" s="274">
        <f>SUM('OPX_BN-1'!$K83:$Q83)</f>
        <v>-19575</v>
      </c>
      <c r="S83" s="338">
        <v>-413002.446</v>
      </c>
      <c r="T83" s="423">
        <v>0</v>
      </c>
      <c r="U83" s="341"/>
      <c r="V83" s="423">
        <v>-20000</v>
      </c>
      <c r="W83" s="423">
        <v>0</v>
      </c>
      <c r="X83" s="423">
        <v>0</v>
      </c>
      <c r="Y83" s="423"/>
      <c r="Z83" s="264">
        <v>-7250</v>
      </c>
      <c r="AA83" s="423"/>
      <c r="AB83" s="273">
        <f>SUM('OPX_BN-1'!$T83:$AA83)</f>
        <v>-27250</v>
      </c>
      <c r="AC83" s="426"/>
      <c r="AD83" s="426"/>
      <c r="AE83" s="417">
        <v>-30000</v>
      </c>
      <c r="AF83" s="417">
        <v>-12000</v>
      </c>
      <c r="AG83" s="417">
        <v>-52000</v>
      </c>
      <c r="AH83" s="417">
        <v>-70000</v>
      </c>
      <c r="AI83" s="417">
        <v>-100000</v>
      </c>
      <c r="AJ83" s="271">
        <f>SUM('OPX_BN-1'!$AC83:$AI83)</f>
        <v>-264000</v>
      </c>
      <c r="AK83" s="429">
        <v>-5000</v>
      </c>
      <c r="AL83" s="276">
        <f>SUM('OPX_BN-1'!$J83,'OPX_BN-1'!$AB83,'OPX_BN-1'!$S83,'OPX_BN-1'!$AJ83,'OPX_BN-1'!$R83,'OPX_BN-1'!$AK83)</f>
        <v>-741453.69285138533</v>
      </c>
      <c r="AM83" s="427">
        <v>0</v>
      </c>
    </row>
    <row r="84" spans="1:39" ht="15">
      <c r="A84" s="329" t="s">
        <v>601</v>
      </c>
      <c r="B84" s="327" t="str">
        <f>VLOOKUP('OPX_BN-1'!$A84,Tableau106[],3,FALSE)</f>
        <v>A936</v>
      </c>
      <c r="C84" s="327" t="str">
        <f>VLOOKUP('OPX_BN-1'!$A84,Tableau106[],2,FALSE)</f>
        <v>FR34E83E</v>
      </c>
      <c r="D84" s="327" t="str">
        <f>VLOOKUP('OPX_BN-1'!$A84,Tableau106[],8,FALSE)</f>
        <v>EOLIEN</v>
      </c>
      <c r="E84" s="328">
        <f>VLOOKUP('OPX_BN-1'!$A84,Tableau106[],4,FALSE)</f>
        <v>8</v>
      </c>
      <c r="F84" s="327" t="str">
        <f>VLOOKUP('OPX_BN-1'!$A84,Tableau106[],5,FALSE)</f>
        <v>LAPI</v>
      </c>
      <c r="G84" s="327" t="str">
        <f>VLOOKUP('OPX_BN-1'!$A84,Tableau106[],7,FALSE)</f>
        <v>FUTUREN</v>
      </c>
      <c r="H84" s="327" t="str">
        <f>VLOOKUP('OPX_BN-1'!$A84,Tableau106[],6,FALSE)</f>
        <v>S</v>
      </c>
      <c r="I84" s="327" t="str">
        <f>VLOOKUP('OPX_BN-1'!$A84,Tableau106[],9,FALSE)</f>
        <v>KéD</v>
      </c>
      <c r="J84" s="160">
        <v>-251070.96</v>
      </c>
      <c r="K84" s="489">
        <v>-10000</v>
      </c>
      <c r="L84" s="490">
        <v>0</v>
      </c>
      <c r="M84" s="229">
        <v>0</v>
      </c>
      <c r="N84" s="229">
        <v>0</v>
      </c>
      <c r="O84" s="229">
        <v>0</v>
      </c>
      <c r="P84" s="229">
        <v>-2800</v>
      </c>
      <c r="Q84" s="230">
        <v>-2875</v>
      </c>
      <c r="R84" s="274">
        <f>SUM('OPX_BN-1'!$K84:$Q84)</f>
        <v>-15675</v>
      </c>
      <c r="S84" s="338">
        <v>0</v>
      </c>
      <c r="T84" s="423">
        <v>0</v>
      </c>
      <c r="U84" s="341"/>
      <c r="V84" s="423">
        <v>-10000</v>
      </c>
      <c r="W84" s="423">
        <v>0</v>
      </c>
      <c r="X84" s="423">
        <v>0</v>
      </c>
      <c r="Y84" s="423"/>
      <c r="Z84" s="264">
        <v>-7875</v>
      </c>
      <c r="AA84" s="423"/>
      <c r="AB84" s="273">
        <f>SUM('OPX_BN-1'!$T84:$AA84)</f>
        <v>-17875</v>
      </c>
      <c r="AC84" s="426"/>
      <c r="AD84" s="426"/>
      <c r="AE84" s="417">
        <v>0</v>
      </c>
      <c r="AF84" s="417">
        <v>0</v>
      </c>
      <c r="AG84" s="417">
        <v>-14300</v>
      </c>
      <c r="AH84" s="417">
        <v>-24735.96</v>
      </c>
      <c r="AI84" s="417">
        <v>-22435</v>
      </c>
      <c r="AJ84" s="271">
        <f>SUM('OPX_BN-1'!$AC84:$AI84)</f>
        <v>-61470.96</v>
      </c>
      <c r="AK84" s="429">
        <v>0</v>
      </c>
      <c r="AL84" s="276">
        <f>SUM('OPX_BN-1'!$J84,'OPX_BN-1'!$AB84,'OPX_BN-1'!$S84,'OPX_BN-1'!$AJ84,'OPX_BN-1'!$R84,'OPX_BN-1'!$AK84)</f>
        <v>-346091.92</v>
      </c>
      <c r="AM84" s="427">
        <v>0</v>
      </c>
    </row>
    <row r="85" spans="1:39" ht="15">
      <c r="A85" s="329" t="s">
        <v>519</v>
      </c>
      <c r="B85" s="327" t="str">
        <f>VLOOKUP('OPX_BN-1'!$A85,Tableau106[],3,FALSE)</f>
        <v>A071</v>
      </c>
      <c r="C85" s="327" t="str">
        <f>VLOOKUP('OPX_BN-1'!$A85,Tableau106[],2,FALSE)</f>
        <v>FR97S87E</v>
      </c>
      <c r="D85" s="327" t="str">
        <f>VLOOKUP('OPX_BN-1'!$A85,Tableau106[],8,FALSE)</f>
        <v>SOLAIRE DOM</v>
      </c>
      <c r="E85" s="328">
        <f>VLOOKUP('OPX_BN-1'!$A85,Tableau106[],4,FALSE)</f>
        <v>10.452</v>
      </c>
      <c r="F85" s="327" t="str">
        <f>VLOOKUP('OPX_BN-1'!$A85,Tableau106[],5,FALSE)</f>
        <v>ROSE</v>
      </c>
      <c r="G85" s="327" t="str">
        <f>VLOOKUP('OPX_BN-1'!$A85,Tableau106[],7,FALSE)</f>
        <v>GROUPE</v>
      </c>
      <c r="H85" s="327" t="str">
        <f>VLOOKUP('OPX_BN-1'!$A85,Tableau106[],6,FALSE)</f>
        <v>DOM</v>
      </c>
      <c r="I85" s="327" t="str">
        <f>VLOOKUP('OPX_BN-1'!$A85,Tableau106[],9,FALSE)</f>
        <v>BéK</v>
      </c>
      <c r="J85" s="160">
        <v>0</v>
      </c>
      <c r="K85" s="489">
        <v>-5226</v>
      </c>
      <c r="L85" s="490">
        <v>0</v>
      </c>
      <c r="M85" s="229">
        <v>0</v>
      </c>
      <c r="N85" s="229">
        <v>0</v>
      </c>
      <c r="O85" s="229">
        <v>0</v>
      </c>
      <c r="P85" s="229">
        <v>0</v>
      </c>
      <c r="Q85" s="230">
        <v>-5226</v>
      </c>
      <c r="R85" s="274">
        <f>SUM('OPX_BN-1'!$K85:$Q85)</f>
        <v>-10452</v>
      </c>
      <c r="S85" s="338">
        <v>-462466.956672</v>
      </c>
      <c r="T85" s="423">
        <v>0</v>
      </c>
      <c r="U85" s="341"/>
      <c r="V85" s="423">
        <v>-4000</v>
      </c>
      <c r="W85" s="423">
        <v>-1100</v>
      </c>
      <c r="X85" s="423">
        <v>0</v>
      </c>
      <c r="Y85" s="423"/>
      <c r="Z85" s="264">
        <v>-6326</v>
      </c>
      <c r="AA85" s="423"/>
      <c r="AB85" s="273">
        <f>SUM('OPX_BN-1'!$T85:$AA85)</f>
        <v>-11426</v>
      </c>
      <c r="AC85" s="426"/>
      <c r="AD85" s="426"/>
      <c r="AE85" s="417">
        <v>0</v>
      </c>
      <c r="AF85" s="417">
        <v>0</v>
      </c>
      <c r="AG85" s="417">
        <v>0</v>
      </c>
      <c r="AH85" s="417">
        <v>0</v>
      </c>
      <c r="AI85" s="417">
        <v>0</v>
      </c>
      <c r="AJ85" s="271">
        <f>SUM('OPX_BN-1'!$AC85:$AI85)</f>
        <v>0</v>
      </c>
      <c r="AK85" s="429">
        <v>0</v>
      </c>
      <c r="AL85" s="276">
        <f>SUM('OPX_BN-1'!$J85,'OPX_BN-1'!$AB85,'OPX_BN-1'!$S85,'OPX_BN-1'!$AJ85,'OPX_BN-1'!$R85,'OPX_BN-1'!$AK85)</f>
        <v>-484344.956672</v>
      </c>
      <c r="AM85" s="427">
        <v>0</v>
      </c>
    </row>
    <row r="86" spans="1:39" ht="15">
      <c r="A86" s="329" t="s">
        <v>520</v>
      </c>
      <c r="B86" s="327" t="str">
        <f>VLOOKUP('OPX_BN-1'!$A86,Tableau106[],3,FALSE)</f>
        <v>A257</v>
      </c>
      <c r="C86" s="327" t="str">
        <f>VLOOKUP('OPX_BN-1'!$A86,Tableau106[],2,FALSE)</f>
        <v>FR01S06E</v>
      </c>
      <c r="D86" s="327" t="str">
        <f>VLOOKUP('OPX_BN-1'!$A86,Tableau106[],8,FALSE)</f>
        <v>SOLAIRE</v>
      </c>
      <c r="E86" s="328">
        <f>VLOOKUP('OPX_BN-1'!$A86,Tableau106[],4,FALSE)</f>
        <v>2.9</v>
      </c>
      <c r="F86" s="327" t="str">
        <f>VLOOKUP('OPX_BN-1'!$A86,Tableau106[],5,FALSE)</f>
        <v>LAGN</v>
      </c>
      <c r="G86" s="327" t="str">
        <f>VLOOKUP('OPX_BN-1'!$A86,Tableau106[],7,FALSE)</f>
        <v>GROUPE</v>
      </c>
      <c r="H86" s="327" t="str">
        <f>VLOOKUP('OPX_BN-1'!$A86,Tableau106[],6,FALSE)</f>
        <v>S</v>
      </c>
      <c r="I86" s="327" t="str">
        <f>VLOOKUP('OPX_BN-1'!$A86,Tableau106[],9,FALSE)</f>
        <v>ArB</v>
      </c>
      <c r="J86" s="160">
        <v>0</v>
      </c>
      <c r="K86" s="489">
        <v>-1550</v>
      </c>
      <c r="L86" s="490">
        <v>0</v>
      </c>
      <c r="M86" s="229">
        <v>0</v>
      </c>
      <c r="N86" s="229">
        <v>0</v>
      </c>
      <c r="O86" s="229">
        <v>0</v>
      </c>
      <c r="P86" s="229">
        <v>0</v>
      </c>
      <c r="Q86" s="230">
        <v>-1550</v>
      </c>
      <c r="R86" s="274">
        <f>SUM('OPX_BN-1'!$K86:$Q86)</f>
        <v>-3100</v>
      </c>
      <c r="S86" s="338">
        <v>-19240.053800000002</v>
      </c>
      <c r="T86" s="423">
        <v>-1500</v>
      </c>
      <c r="U86" s="341"/>
      <c r="V86" s="423">
        <v>-2405</v>
      </c>
      <c r="W86" s="423">
        <v>0</v>
      </c>
      <c r="X86" s="423">
        <v>0</v>
      </c>
      <c r="Y86" s="423"/>
      <c r="Z86" s="264">
        <v>-1550</v>
      </c>
      <c r="AA86" s="423"/>
      <c r="AB86" s="273">
        <f>SUM('OPX_BN-1'!$T86:$AA86)</f>
        <v>-5455</v>
      </c>
      <c r="AC86" s="426"/>
      <c r="AD86" s="426"/>
      <c r="AE86" s="417">
        <v>0</v>
      </c>
      <c r="AF86" s="417">
        <v>0</v>
      </c>
      <c r="AG86" s="417">
        <v>0</v>
      </c>
      <c r="AH86" s="417">
        <v>-7000</v>
      </c>
      <c r="AI86" s="417">
        <v>0</v>
      </c>
      <c r="AJ86" s="271">
        <f>SUM('OPX_BN-1'!$AC86:$AI86)</f>
        <v>-7000</v>
      </c>
      <c r="AK86" s="429">
        <v>0</v>
      </c>
      <c r="AL86" s="276">
        <f>SUM('OPX_BN-1'!$J86,'OPX_BN-1'!$AB86,'OPX_BN-1'!$S86,'OPX_BN-1'!$AJ86,'OPX_BN-1'!$R86,'OPX_BN-1'!$AK86)</f>
        <v>-34795.053800000002</v>
      </c>
      <c r="AM86" s="427">
        <v>0</v>
      </c>
    </row>
    <row r="87" spans="1:39" ht="15">
      <c r="A87" s="329" t="s">
        <v>499</v>
      </c>
      <c r="B87" s="327" t="str">
        <f>VLOOKUP('OPX_BN-1'!$A87,Tableau106[],3,FALSE)</f>
        <v>A540</v>
      </c>
      <c r="C87" s="327" t="str">
        <f>VLOOKUP('OPX_BN-1'!$A87,Tableau106[],2,FALSE)</f>
        <v>FR22E03E</v>
      </c>
      <c r="D87" s="327" t="str">
        <f>VLOOKUP('OPX_BN-1'!$A87,Tableau106[],8,FALSE)</f>
        <v>EOLIEN</v>
      </c>
      <c r="E87" s="328">
        <f>VLOOKUP('OPX_BN-1'!$A87,Tableau106[],4,FALSE)</f>
        <v>10</v>
      </c>
      <c r="F87" s="327" t="str">
        <f>VLOOKUP('OPX_BN-1'!$A87,Tableau106[],5,FALSE)</f>
        <v>LDTE</v>
      </c>
      <c r="G87" s="327" t="str">
        <f>VLOOKUP('OPX_BN-1'!$A87,Tableau106[],7,FALSE)</f>
        <v>EGM</v>
      </c>
      <c r="H87" s="327" t="str">
        <f>VLOOKUP('OPX_BN-1'!$A87,Tableau106[],6,FALSE)</f>
        <v>N</v>
      </c>
      <c r="I87" s="327" t="str">
        <f>VLOOKUP('OPX_BN-1'!$A87,Tableau106[],9,FALSE)</f>
        <v>BoK</v>
      </c>
      <c r="J87" s="160">
        <v>-256678.59608762685</v>
      </c>
      <c r="K87" s="489">
        <v>-5000</v>
      </c>
      <c r="L87" s="490">
        <v>-33068.783068783072</v>
      </c>
      <c r="M87" s="229">
        <v>0</v>
      </c>
      <c r="N87" s="229">
        <v>0</v>
      </c>
      <c r="O87" s="229">
        <v>-3000</v>
      </c>
      <c r="P87" s="229">
        <v>-3500</v>
      </c>
      <c r="Q87" s="230">
        <v>-5000</v>
      </c>
      <c r="R87" s="274">
        <f>SUM('OPX_BN-1'!$K87:$Q87)</f>
        <v>-49568.783068783072</v>
      </c>
      <c r="S87" s="338">
        <v>0</v>
      </c>
      <c r="T87" s="423">
        <v>0</v>
      </c>
      <c r="U87" s="341"/>
      <c r="V87" s="423">
        <v>-2000</v>
      </c>
      <c r="W87" s="423">
        <v>0</v>
      </c>
      <c r="X87" s="423">
        <v>-4000</v>
      </c>
      <c r="Y87" s="423"/>
      <c r="Z87" s="264">
        <v>-5000</v>
      </c>
      <c r="AA87" s="423"/>
      <c r="AB87" s="273">
        <f>SUM('OPX_BN-1'!$T87:$AA87)</f>
        <v>-11000</v>
      </c>
      <c r="AC87" s="426"/>
      <c r="AD87" s="426"/>
      <c r="AE87" s="417">
        <v>0</v>
      </c>
      <c r="AF87" s="417">
        <v>0</v>
      </c>
      <c r="AG87" s="417">
        <v>0</v>
      </c>
      <c r="AH87" s="417">
        <v>0</v>
      </c>
      <c r="AI87" s="417">
        <v>0</v>
      </c>
      <c r="AJ87" s="271">
        <f>SUM('OPX_BN-1'!$AC87:$AI87)</f>
        <v>0</v>
      </c>
      <c r="AK87" s="429">
        <v>0</v>
      </c>
      <c r="AL87" s="276">
        <f>SUM('OPX_BN-1'!$J87,'OPX_BN-1'!$AB87,'OPX_BN-1'!$S87,'OPX_BN-1'!$AJ87,'OPX_BN-1'!$R87,'OPX_BN-1'!$AK87)</f>
        <v>-317247.37915640994</v>
      </c>
      <c r="AM87" s="427">
        <v>0</v>
      </c>
    </row>
    <row r="88" spans="1:39" ht="15">
      <c r="A88" s="329" t="s">
        <v>546</v>
      </c>
      <c r="B88" s="327" t="str">
        <f>VLOOKUP('OPX_BN-1'!$A88,Tableau106[],3,FALSE)</f>
        <v>A541</v>
      </c>
      <c r="C88" s="327" t="str">
        <f>VLOOKUP('OPX_BN-1'!$A88,Tableau106[],2,FALSE)</f>
        <v>FR55E04E</v>
      </c>
      <c r="D88" s="327" t="str">
        <f>VLOOKUP('OPX_BN-1'!$A88,Tableau106[],8,FALSE)</f>
        <v>EOLIEN</v>
      </c>
      <c r="E88" s="328">
        <f>VLOOKUP('OPX_BN-1'!$A88,Tableau106[],4,FALSE)</f>
        <v>11.5</v>
      </c>
      <c r="F88" s="327" t="str">
        <f>VLOOKUP('OPX_BN-1'!$A88,Tableau106[],5,FALSE)</f>
        <v>LANE</v>
      </c>
      <c r="G88" s="327" t="str">
        <f>VLOOKUP('OPX_BN-1'!$A88,Tableau106[],7,FALSE)</f>
        <v>EGM</v>
      </c>
      <c r="H88" s="327" t="str">
        <f>VLOOKUP('OPX_BN-1'!$A88,Tableau106[],6,FALSE)</f>
        <v>N</v>
      </c>
      <c r="I88" s="327" t="str">
        <f>VLOOKUP('OPX_BN-1'!$A88,Tableau106[],9,FALSE)</f>
        <v>MaA</v>
      </c>
      <c r="J88" s="160">
        <v>-256678.59605490978</v>
      </c>
      <c r="K88" s="489">
        <v>-5750</v>
      </c>
      <c r="L88" s="490">
        <v>-38029.100529100528</v>
      </c>
      <c r="M88" s="229">
        <v>0</v>
      </c>
      <c r="N88" s="229">
        <v>0</v>
      </c>
      <c r="O88" s="229">
        <v>-3000</v>
      </c>
      <c r="P88" s="229">
        <v>-4025</v>
      </c>
      <c r="Q88" s="230">
        <v>-5750</v>
      </c>
      <c r="R88" s="274">
        <f>SUM('OPX_BN-1'!$K88:$Q88)</f>
        <v>-56554.100529100528</v>
      </c>
      <c r="S88" s="338">
        <v>0</v>
      </c>
      <c r="T88" s="423">
        <v>0</v>
      </c>
      <c r="U88" s="341"/>
      <c r="V88" s="423">
        <v>-2000</v>
      </c>
      <c r="W88" s="423">
        <v>0</v>
      </c>
      <c r="X88" s="423">
        <v>-4000</v>
      </c>
      <c r="Y88" s="423"/>
      <c r="Z88" s="264">
        <v>-5750</v>
      </c>
      <c r="AA88" s="423"/>
      <c r="AB88" s="273">
        <f>SUM('OPX_BN-1'!$T88:$AA88)</f>
        <v>-11750</v>
      </c>
      <c r="AC88" s="426"/>
      <c r="AD88" s="426"/>
      <c r="AE88" s="417">
        <v>0</v>
      </c>
      <c r="AF88" s="417">
        <v>0</v>
      </c>
      <c r="AG88" s="417">
        <v>0</v>
      </c>
      <c r="AH88" s="417">
        <v>0</v>
      </c>
      <c r="AI88" s="417">
        <v>0</v>
      </c>
      <c r="AJ88" s="271">
        <f>SUM('OPX_BN-1'!$AC88:$AI88)</f>
        <v>0</v>
      </c>
      <c r="AK88" s="429">
        <v>0</v>
      </c>
      <c r="AL88" s="276">
        <f>SUM('OPX_BN-1'!$J88,'OPX_BN-1'!$AB88,'OPX_BN-1'!$S88,'OPX_BN-1'!$AJ88,'OPX_BN-1'!$R88,'OPX_BN-1'!$AK88)</f>
        <v>-324982.69658401026</v>
      </c>
      <c r="AM88" s="427">
        <v>0</v>
      </c>
    </row>
    <row r="89" spans="1:39" ht="15">
      <c r="A89" s="329" t="s">
        <v>522</v>
      </c>
      <c r="B89" s="327" t="str">
        <f>VLOOKUP('OPX_BN-1'!$A89,Tableau106[],3,FALSE)</f>
        <v>A258</v>
      </c>
      <c r="C89" s="327" t="str">
        <f>VLOOKUP('OPX_BN-1'!$A89,Tableau106[],2,FALSE)</f>
        <v>FR05S02E</v>
      </c>
      <c r="D89" s="327" t="str">
        <f>VLOOKUP('OPX_BN-1'!$A89,Tableau106[],8,FALSE)</f>
        <v>SOLAIRE</v>
      </c>
      <c r="E89" s="328">
        <f>VLOOKUP('OPX_BN-1'!$A89,Tableau106[],4,FALSE)</f>
        <v>19.8</v>
      </c>
      <c r="F89" s="327" t="str">
        <f>VLOOKUP('OPX_BN-1'!$A89,Tableau106[],5,FALSE)</f>
        <v>LAZE</v>
      </c>
      <c r="G89" s="327" t="str">
        <f>VLOOKUP('OPX_BN-1'!$A89,Tableau106[],7,FALSE)</f>
        <v>GROUPE</v>
      </c>
      <c r="H89" s="327" t="str">
        <f>VLOOKUP('OPX_BN-1'!$A89,Tableau106[],6,FALSE)</f>
        <v>S</v>
      </c>
      <c r="I89" s="327" t="str">
        <f>VLOOKUP('OPX_BN-1'!$A89,Tableau106[],9,FALSE)</f>
        <v>ArB</v>
      </c>
      <c r="J89" s="160">
        <v>0</v>
      </c>
      <c r="K89" s="489">
        <v>-9400</v>
      </c>
      <c r="L89" s="490">
        <v>0</v>
      </c>
      <c r="M89" s="229">
        <v>0</v>
      </c>
      <c r="N89" s="229">
        <v>0</v>
      </c>
      <c r="O89" s="229">
        <v>0</v>
      </c>
      <c r="P89" s="229">
        <v>0</v>
      </c>
      <c r="Q89" s="230">
        <v>-9400</v>
      </c>
      <c r="R89" s="274">
        <f>SUM('OPX_BN-1'!$K89:$Q89)</f>
        <v>-18800</v>
      </c>
      <c r="S89" s="338">
        <v>-150400</v>
      </c>
      <c r="T89" s="423">
        <v>0</v>
      </c>
      <c r="U89" s="341"/>
      <c r="V89" s="423">
        <v>0</v>
      </c>
      <c r="W89" s="423">
        <v>0</v>
      </c>
      <c r="X89" s="423">
        <v>0</v>
      </c>
      <c r="Y89" s="423"/>
      <c r="Z89" s="264">
        <v>-9400</v>
      </c>
      <c r="AA89" s="423"/>
      <c r="AB89" s="273">
        <f>SUM('OPX_BN-1'!$T89:$AA89)</f>
        <v>-9400</v>
      </c>
      <c r="AC89" s="426"/>
      <c r="AD89" s="426"/>
      <c r="AE89" s="417">
        <v>0</v>
      </c>
      <c r="AF89" s="417">
        <v>0</v>
      </c>
      <c r="AG89" s="417">
        <v>0</v>
      </c>
      <c r="AH89" s="417">
        <v>-5300</v>
      </c>
      <c r="AI89" s="417">
        <v>0</v>
      </c>
      <c r="AJ89" s="271">
        <f>SUM('OPX_BN-1'!$AC89:$AI89)</f>
        <v>-5300</v>
      </c>
      <c r="AK89" s="429">
        <v>0</v>
      </c>
      <c r="AL89" s="276">
        <f>SUM('OPX_BN-1'!$J89,'OPX_BN-1'!$AB89,'OPX_BN-1'!$S89,'OPX_BN-1'!$AJ89,'OPX_BN-1'!$R89,'OPX_BN-1'!$AK89)</f>
        <v>-183900</v>
      </c>
      <c r="AM89" s="427">
        <v>0</v>
      </c>
    </row>
    <row r="90" spans="1:39" ht="15">
      <c r="A90" s="329" t="s">
        <v>523</v>
      </c>
      <c r="B90" s="327" t="str">
        <f>VLOOKUP('OPX_BN-1'!$A90,Tableau106[],3,FALSE)</f>
        <v>A272</v>
      </c>
      <c r="C90" s="327" t="str">
        <f>VLOOKUP('OPX_BN-1'!$A90,Tableau106[],2,FALSE)</f>
        <v>FR07S04E</v>
      </c>
      <c r="D90" s="327" t="str">
        <f>VLOOKUP('OPX_BN-1'!$A90,Tableau106[],8,FALSE)</f>
        <v>SOLAIRE</v>
      </c>
      <c r="E90" s="328">
        <f>VLOOKUP('OPX_BN-1'!$A90,Tableau106[],4,FALSE)</f>
        <v>8.1999999999999993</v>
      </c>
      <c r="F90" s="327" t="str">
        <f>VLOOKUP('OPX_BN-1'!$A90,Tableau106[],5,FALSE)</f>
        <v>PZIN</v>
      </c>
      <c r="G90" s="327" t="str">
        <f>VLOOKUP('OPX_BN-1'!$A90,Tableau106[],7,FALSE)</f>
        <v>GROUPE</v>
      </c>
      <c r="H90" s="327" t="str">
        <f>VLOOKUP('OPX_BN-1'!$A90,Tableau106[],6,FALSE)</f>
        <v>S</v>
      </c>
      <c r="I90" s="327" t="str">
        <f>VLOOKUP('OPX_BN-1'!$A90,Tableau106[],9,FALSE)</f>
        <v>ArB</v>
      </c>
      <c r="J90" s="160">
        <v>-37594.14</v>
      </c>
      <c r="K90" s="489">
        <v>-12490</v>
      </c>
      <c r="L90" s="490">
        <v>0</v>
      </c>
      <c r="M90" s="229">
        <v>0</v>
      </c>
      <c r="N90" s="229">
        <v>0</v>
      </c>
      <c r="O90" s="229">
        <v>0</v>
      </c>
      <c r="P90" s="229">
        <v>0</v>
      </c>
      <c r="Q90" s="230">
        <v>-4100</v>
      </c>
      <c r="R90" s="274">
        <f>SUM('OPX_BN-1'!$K90:$Q90)</f>
        <v>-16590</v>
      </c>
      <c r="S90" s="338">
        <v>0</v>
      </c>
      <c r="T90" s="423">
        <v>0</v>
      </c>
      <c r="U90" s="341"/>
      <c r="V90" s="423">
        <v>0</v>
      </c>
      <c r="W90" s="423">
        <v>0</v>
      </c>
      <c r="X90" s="423">
        <v>0</v>
      </c>
      <c r="Y90" s="423"/>
      <c r="Z90" s="264">
        <v>-4100</v>
      </c>
      <c r="AA90" s="423"/>
      <c r="AB90" s="273">
        <f>SUM('OPX_BN-1'!$T90:$AA90)</f>
        <v>-4100</v>
      </c>
      <c r="AC90" s="426"/>
      <c r="AD90" s="426"/>
      <c r="AE90" s="417">
        <v>0</v>
      </c>
      <c r="AF90" s="417">
        <v>0</v>
      </c>
      <c r="AG90" s="417">
        <v>0</v>
      </c>
      <c r="AH90" s="417">
        <v>-10300</v>
      </c>
      <c r="AI90" s="417">
        <v>0</v>
      </c>
      <c r="AJ90" s="271">
        <f>SUM('OPX_BN-1'!$AC90:$AI90)</f>
        <v>-10300</v>
      </c>
      <c r="AK90" s="429">
        <v>0</v>
      </c>
      <c r="AL90" s="276">
        <f>SUM('OPX_BN-1'!$J90,'OPX_BN-1'!$AB90,'OPX_BN-1'!$S90,'OPX_BN-1'!$AJ90,'OPX_BN-1'!$R90,'OPX_BN-1'!$AK90)</f>
        <v>-68584.14</v>
      </c>
      <c r="AM90" s="427">
        <v>0</v>
      </c>
    </row>
    <row r="91" spans="1:39" ht="15">
      <c r="A91" s="329" t="s">
        <v>606</v>
      </c>
      <c r="B91" s="327" t="str">
        <f>VLOOKUP('OPX_BN-1'!$A91,Tableau106[],3,FALSE)</f>
        <v>A540</v>
      </c>
      <c r="C91" s="327" t="str">
        <f>VLOOKUP('OPX_BN-1'!$A91,Tableau106[],2,FALSE)</f>
        <v>FR56E03E</v>
      </c>
      <c r="D91" s="327" t="str">
        <f>VLOOKUP('OPX_BN-1'!$A91,Tableau106[],8,FALSE)</f>
        <v>EOLIEN</v>
      </c>
      <c r="E91" s="328">
        <f>VLOOKUP('OPX_BN-1'!$A91,Tableau106[],4,FALSE)</f>
        <v>4.8499999999999996</v>
      </c>
      <c r="F91" s="327" t="str">
        <f>VLOOKUP('OPX_BN-1'!$A91,Tableau106[],5,FALSE)</f>
        <v>LERO</v>
      </c>
      <c r="G91" s="327" t="str">
        <f>VLOOKUP('OPX_BN-1'!$A91,Tableau106[],7,FALSE)</f>
        <v>EGM</v>
      </c>
      <c r="H91" s="327" t="str">
        <f>VLOOKUP('OPX_BN-1'!$A91,Tableau106[],6,FALSE)</f>
        <v>N</v>
      </c>
      <c r="I91" s="327" t="str">
        <f>VLOOKUP('OPX_BN-1'!$A91,Tableau106[],9,FALSE)</f>
        <v>DeN</v>
      </c>
      <c r="J91" s="160">
        <v>-134598.18</v>
      </c>
      <c r="K91" s="489">
        <v>-2425</v>
      </c>
      <c r="L91" s="490">
        <v>-16038.359788359789</v>
      </c>
      <c r="M91" s="229">
        <v>0</v>
      </c>
      <c r="N91" s="229">
        <v>0</v>
      </c>
      <c r="O91" s="229">
        <v>0</v>
      </c>
      <c r="P91" s="229">
        <v>-1697.5</v>
      </c>
      <c r="Q91" s="230">
        <v>-2425</v>
      </c>
      <c r="R91" s="274">
        <f>SUM('OPX_BN-1'!$K91:$Q91)</f>
        <v>-22585.85978835979</v>
      </c>
      <c r="S91" s="338">
        <v>0</v>
      </c>
      <c r="T91" s="423">
        <v>0</v>
      </c>
      <c r="U91" s="341"/>
      <c r="V91" s="423">
        <v>-1000</v>
      </c>
      <c r="W91" s="423">
        <v>0</v>
      </c>
      <c r="X91" s="423">
        <v>0</v>
      </c>
      <c r="Y91" s="423"/>
      <c r="Z91" s="264">
        <v>-2425</v>
      </c>
      <c r="AA91" s="423"/>
      <c r="AB91" s="273">
        <f>SUM('OPX_BN-1'!$T91:$AA91)</f>
        <v>-3425</v>
      </c>
      <c r="AC91" s="426"/>
      <c r="AD91" s="426"/>
      <c r="AE91" s="417">
        <v>0</v>
      </c>
      <c r="AF91" s="417">
        <v>0</v>
      </c>
      <c r="AG91" s="417">
        <v>0</v>
      </c>
      <c r="AH91" s="417">
        <v>0</v>
      </c>
      <c r="AI91" s="417">
        <v>0</v>
      </c>
      <c r="AJ91" s="271">
        <f>SUM('OPX_BN-1'!$AC91:$AI91)</f>
        <v>0</v>
      </c>
      <c r="AK91" s="429">
        <v>0</v>
      </c>
      <c r="AL91" s="276">
        <f>SUM('OPX_BN-1'!$J91,'OPX_BN-1'!$AB91,'OPX_BN-1'!$S91,'OPX_BN-1'!$AJ91,'OPX_BN-1'!$R91,'OPX_BN-1'!$AK91)</f>
        <v>-160609.03978835978</v>
      </c>
      <c r="AM91" s="427">
        <v>0</v>
      </c>
    </row>
    <row r="92" spans="1:39" ht="15">
      <c r="A92" s="329" t="s">
        <v>192</v>
      </c>
      <c r="B92" s="327" t="str">
        <f>VLOOKUP('OPX_BN-1'!$A92,Tableau106[],3,FALSE)</f>
        <v>F247</v>
      </c>
      <c r="C92" s="327" t="str">
        <f>VLOOKUP('OPX_BN-1'!$A92,Tableau106[],2,FALSE)</f>
        <v>FR10E02E</v>
      </c>
      <c r="D92" s="327" t="str">
        <f>VLOOKUP('OPX_BN-1'!$A92,Tableau106[],8,FALSE)</f>
        <v>EOLIEN</v>
      </c>
      <c r="E92" s="328">
        <f>VLOOKUP('OPX_BN-1'!$A92,Tableau106[],4,FALSE)</f>
        <v>37.950000000000003</v>
      </c>
      <c r="F92" s="327" t="str">
        <f>VLOOKUP('OPX_BN-1'!$A92,Tableau106[],5,FALSE)</f>
        <v>COT1, COT2, COT3, COT4</v>
      </c>
      <c r="G92" s="327" t="str">
        <f>VLOOKUP('OPX_BN-1'!$A92,Tableau106[],7,FALSE)</f>
        <v>FUTUREN</v>
      </c>
      <c r="H92" s="327" t="str">
        <f>VLOOKUP('OPX_BN-1'!$A92,Tableau106[],6,FALSE)</f>
        <v>N</v>
      </c>
      <c r="I92" s="327" t="str">
        <f>VLOOKUP('OPX_BN-1'!$A92,Tableau106[],9,FALSE)</f>
        <v>MéS</v>
      </c>
      <c r="J92" s="160">
        <v>-638761.74</v>
      </c>
      <c r="K92" s="489">
        <v>-18975</v>
      </c>
      <c r="L92" s="490">
        <v>0</v>
      </c>
      <c r="M92" s="229">
        <v>0</v>
      </c>
      <c r="N92" s="229">
        <v>0</v>
      </c>
      <c r="O92" s="229">
        <v>0</v>
      </c>
      <c r="P92" s="229">
        <v>0</v>
      </c>
      <c r="Q92" s="230">
        <v>-18975</v>
      </c>
      <c r="R92" s="274">
        <f>SUM('OPX_BN-1'!$K92:$Q92)</f>
        <v>-37950</v>
      </c>
      <c r="S92" s="338">
        <v>0</v>
      </c>
      <c r="T92" s="423">
        <v>-1600</v>
      </c>
      <c r="U92" s="341"/>
      <c r="V92" s="423">
        <v>-5800</v>
      </c>
      <c r="W92" s="423">
        <v>0</v>
      </c>
      <c r="X92" s="423">
        <v>0</v>
      </c>
      <c r="Y92" s="423"/>
      <c r="Z92" s="264">
        <v>-18975</v>
      </c>
      <c r="AA92" s="423"/>
      <c r="AB92" s="273">
        <f>SUM('OPX_BN-1'!$T92:$AA92)</f>
        <v>-26375</v>
      </c>
      <c r="AC92" s="426"/>
      <c r="AD92" s="426"/>
      <c r="AE92" s="417">
        <v>-5000</v>
      </c>
      <c r="AF92" s="417">
        <v>0</v>
      </c>
      <c r="AG92" s="417">
        <v>0</v>
      </c>
      <c r="AH92" s="417">
        <v>0</v>
      </c>
      <c r="AI92" s="417">
        <v>-8539</v>
      </c>
      <c r="AJ92" s="271">
        <f>SUM('OPX_BN-1'!$AC92:$AI92)</f>
        <v>-13539</v>
      </c>
      <c r="AK92" s="429">
        <v>0</v>
      </c>
      <c r="AL92" s="276">
        <f>SUM('OPX_BN-1'!$J92,'OPX_BN-1'!$AB92,'OPX_BN-1'!$S92,'OPX_BN-1'!$AJ92,'OPX_BN-1'!$R92,'OPX_BN-1'!$AK92)</f>
        <v>-716625.74</v>
      </c>
      <c r="AM92" s="427">
        <v>0</v>
      </c>
    </row>
    <row r="93" spans="1:39" ht="15">
      <c r="A93" s="329" t="s">
        <v>194</v>
      </c>
      <c r="B93" s="327" t="str">
        <f>VLOOKUP('OPX_BN-1'!$A93,Tableau106[],3,FALSE)</f>
        <v>F046</v>
      </c>
      <c r="C93" s="327" t="str">
        <f>VLOOKUP('OPX_BN-1'!$A93,Tableau106[],2,FALSE)</f>
        <v>FR10E03E</v>
      </c>
      <c r="D93" s="327" t="str">
        <f>VLOOKUP('OPX_BN-1'!$A93,Tableau106[],8,FALSE)</f>
        <v>EOLIEN</v>
      </c>
      <c r="E93" s="328">
        <f>VLOOKUP('OPX_BN-1'!$A93,Tableau106[],4,FALSE)</f>
        <v>13.2</v>
      </c>
      <c r="F93" s="327" t="str">
        <f>VLOOKUP('OPX_BN-1'!$A93,Tableau106[],5,FALSE)</f>
        <v>LEMO</v>
      </c>
      <c r="G93" s="327" t="str">
        <f>VLOOKUP('OPX_BN-1'!$A93,Tableau106[],7,FALSE)</f>
        <v>FUTUREN</v>
      </c>
      <c r="H93" s="327" t="str">
        <f>VLOOKUP('OPX_BN-1'!$A93,Tableau106[],6,FALSE)</f>
        <v>N</v>
      </c>
      <c r="I93" s="327" t="str">
        <f>VLOOKUP('OPX_BN-1'!$A93,Tableau106[],9,FALSE)</f>
        <v>MéS</v>
      </c>
      <c r="J93" s="160">
        <v>-12964.169480314958</v>
      </c>
      <c r="K93" s="489">
        <v>-6600</v>
      </c>
      <c r="L93" s="490">
        <v>0</v>
      </c>
      <c r="M93" s="229">
        <v>0</v>
      </c>
      <c r="N93" s="229">
        <v>0</v>
      </c>
      <c r="O93" s="229">
        <v>0</v>
      </c>
      <c r="P93" s="229">
        <v>0</v>
      </c>
      <c r="Q93" s="230">
        <v>-6600</v>
      </c>
      <c r="R93" s="274">
        <f>SUM('OPX_BN-1'!$K93:$Q93)</f>
        <v>-13200</v>
      </c>
      <c r="S93" s="338">
        <v>-257058.03280000002</v>
      </c>
      <c r="T93" s="423">
        <v>-2200</v>
      </c>
      <c r="U93" s="341"/>
      <c r="V93" s="423">
        <v>-4600</v>
      </c>
      <c r="W93" s="423">
        <v>0</v>
      </c>
      <c r="X93" s="423">
        <v>0</v>
      </c>
      <c r="Y93" s="423"/>
      <c r="Z93" s="264">
        <v>-6600</v>
      </c>
      <c r="AA93" s="423"/>
      <c r="AB93" s="273">
        <f>SUM('OPX_BN-1'!$T93:$AA93)</f>
        <v>-13400</v>
      </c>
      <c r="AC93" s="426"/>
      <c r="AD93" s="426"/>
      <c r="AE93" s="417">
        <v>0</v>
      </c>
      <c r="AF93" s="417">
        <v>0</v>
      </c>
      <c r="AG93" s="417">
        <v>0</v>
      </c>
      <c r="AH93" s="417">
        <v>0</v>
      </c>
      <c r="AI93" s="417">
        <v>-2207</v>
      </c>
      <c r="AJ93" s="271">
        <f>SUM('OPX_BN-1'!$AC93:$AI93)</f>
        <v>-2207</v>
      </c>
      <c r="AK93" s="429">
        <v>0</v>
      </c>
      <c r="AL93" s="276">
        <f>SUM('OPX_BN-1'!$J93,'OPX_BN-1'!$AB93,'OPX_BN-1'!$S93,'OPX_BN-1'!$AJ93,'OPX_BN-1'!$R93,'OPX_BN-1'!$AK93)</f>
        <v>-298829.20228031499</v>
      </c>
      <c r="AM93" s="427">
        <v>0</v>
      </c>
    </row>
    <row r="94" spans="1:39" ht="15">
      <c r="A94" s="329" t="s">
        <v>495</v>
      </c>
      <c r="B94" s="327" t="str">
        <f>VLOOKUP('OPX_BN-1'!$A94,Tableau106[],3,FALSE)</f>
        <v>A366</v>
      </c>
      <c r="C94" s="327" t="str">
        <f>VLOOKUP('OPX_BN-1'!$A94,Tableau106[],2,FALSE)</f>
        <v>FR48E96E</v>
      </c>
      <c r="D94" s="327" t="str">
        <f>VLOOKUP('OPX_BN-1'!$A94,Tableau106[],8,FALSE)</f>
        <v>EOLIEN</v>
      </c>
      <c r="E94" s="328">
        <f>VLOOKUP('OPX_BN-1'!$A94,Tableau106[],4,FALSE)</f>
        <v>27.18</v>
      </c>
      <c r="F94" s="327" t="str">
        <f>VLOOKUP('OPX_BN-1'!$A94,Tableau106[],5,FALSE)</f>
        <v>TAIL</v>
      </c>
      <c r="G94" s="327" t="str">
        <f>VLOOKUP('OPX_BN-1'!$A94,Tableau106[],7,FALSE)</f>
        <v>GROUPE</v>
      </c>
      <c r="H94" s="327" t="str">
        <f>VLOOKUP('OPX_BN-1'!$A94,Tableau106[],6,FALSE)</f>
        <v>S</v>
      </c>
      <c r="I94" s="327" t="str">
        <f>VLOOKUP('OPX_BN-1'!$A94,Tableau106[],9,FALSE)</f>
        <v>StE</v>
      </c>
      <c r="J94" s="160">
        <v>-26157.9</v>
      </c>
      <c r="K94" s="489">
        <v>-13590</v>
      </c>
      <c r="L94" s="490">
        <v>0</v>
      </c>
      <c r="M94" s="229">
        <v>0</v>
      </c>
      <c r="N94" s="229">
        <v>0</v>
      </c>
      <c r="O94" s="229">
        <v>-3000</v>
      </c>
      <c r="P94" s="229">
        <v>-9513</v>
      </c>
      <c r="Q94" s="230">
        <v>-13590</v>
      </c>
      <c r="R94" s="274">
        <f>SUM('OPX_BN-1'!$K94:$Q94)</f>
        <v>-39693</v>
      </c>
      <c r="S94" s="338">
        <v>-254707.46388200001</v>
      </c>
      <c r="T94" s="423">
        <v>0</v>
      </c>
      <c r="U94" s="341"/>
      <c r="V94" s="423">
        <v>-9000</v>
      </c>
      <c r="W94" s="423">
        <v>-60000</v>
      </c>
      <c r="X94" s="423">
        <v>-4000</v>
      </c>
      <c r="Y94" s="423"/>
      <c r="Z94" s="264">
        <v>-28590</v>
      </c>
      <c r="AA94" s="423"/>
      <c r="AB94" s="273">
        <f>SUM('OPX_BN-1'!$T94:$AA94)</f>
        <v>-101590</v>
      </c>
      <c r="AC94" s="426"/>
      <c r="AD94" s="426"/>
      <c r="AE94" s="417">
        <v>0</v>
      </c>
      <c r="AF94" s="417">
        <v>0</v>
      </c>
      <c r="AG94" s="417">
        <v>0</v>
      </c>
      <c r="AH94" s="417">
        <v>0</v>
      </c>
      <c r="AI94" s="417">
        <v>-46000</v>
      </c>
      <c r="AJ94" s="271">
        <f>SUM('OPX_BN-1'!$AC94:$AI94)</f>
        <v>-46000</v>
      </c>
      <c r="AK94" s="429">
        <v>0</v>
      </c>
      <c r="AL94" s="276">
        <f>SUM('OPX_BN-1'!$J94,'OPX_BN-1'!$AB94,'OPX_BN-1'!$S94,'OPX_BN-1'!$AJ94,'OPX_BN-1'!$R94,'OPX_BN-1'!$AK94)</f>
        <v>-468148.36388199998</v>
      </c>
      <c r="AM94" s="427">
        <v>0</v>
      </c>
    </row>
    <row r="95" spans="1:39" ht="15">
      <c r="A95" s="329" t="s">
        <v>579</v>
      </c>
      <c r="B95" s="327" t="str">
        <f>VLOOKUP('OPX_BN-1'!$A95,Tableau106[],3,FALSE)</f>
        <v>A899</v>
      </c>
      <c r="C95" s="327" t="str">
        <f>VLOOKUP('OPX_BN-1'!$A95,Tableau106[],2,FALSE)</f>
        <v>FR25E01E</v>
      </c>
      <c r="D95" s="327" t="str">
        <f>VLOOKUP('OPX_BN-1'!$A95,Tableau106[],8,FALSE)</f>
        <v>EOLIEN</v>
      </c>
      <c r="E95" s="328">
        <f>VLOOKUP('OPX_BN-1'!$A95,Tableau106[],4,FALSE)</f>
        <v>20</v>
      </c>
      <c r="F95" s="327" t="str">
        <f>VLOOKUP('OPX_BN-1'!$A95,Tableau106[],5,FALSE)</f>
        <v>LOMO</v>
      </c>
      <c r="G95" s="327" t="str">
        <f>VLOOKUP('OPX_BN-1'!$A95,Tableau106[],7,FALSE)</f>
        <v>GROUPE</v>
      </c>
      <c r="H95" s="327" t="str">
        <f>VLOOKUP('OPX_BN-1'!$A95,Tableau106[],6,FALSE)</f>
        <v>N</v>
      </c>
      <c r="I95" s="327" t="str">
        <f>VLOOKUP('OPX_BN-1'!$A95,Tableau106[],9,FALSE)</f>
        <v>LoH</v>
      </c>
      <c r="J95" s="160">
        <v>0</v>
      </c>
      <c r="K95" s="489">
        <v>-10000</v>
      </c>
      <c r="L95" s="490">
        <v>0</v>
      </c>
      <c r="M95" s="229">
        <v>0</v>
      </c>
      <c r="N95" s="229">
        <v>0</v>
      </c>
      <c r="O95" s="229">
        <v>0</v>
      </c>
      <c r="P95" s="229">
        <v>-7000</v>
      </c>
      <c r="Q95" s="230">
        <v>-10000</v>
      </c>
      <c r="R95" s="274">
        <f>SUM('OPX_BN-1'!$K95:$Q95)</f>
        <v>-27000</v>
      </c>
      <c r="S95" s="338">
        <v>-457315.94080799998</v>
      </c>
      <c r="T95" s="423">
        <v>-5000</v>
      </c>
      <c r="U95" s="341"/>
      <c r="V95" s="423">
        <v>-10000</v>
      </c>
      <c r="W95" s="423">
        <v>-4500</v>
      </c>
      <c r="X95" s="423">
        <v>0</v>
      </c>
      <c r="Y95" s="423"/>
      <c r="Z95" s="264">
        <v>-10000</v>
      </c>
      <c r="AA95" s="423"/>
      <c r="AB95" s="273">
        <f>SUM('OPX_BN-1'!$T95:$AA95)</f>
        <v>-29500</v>
      </c>
      <c r="AC95" s="426"/>
      <c r="AD95" s="426"/>
      <c r="AE95" s="417">
        <v>0</v>
      </c>
      <c r="AF95" s="417">
        <v>0</v>
      </c>
      <c r="AG95" s="417">
        <v>0</v>
      </c>
      <c r="AH95" s="417">
        <v>0</v>
      </c>
      <c r="AI95" s="417">
        <v>0</v>
      </c>
      <c r="AJ95" s="271">
        <f>SUM('OPX_BN-1'!$AC95:$AI95)</f>
        <v>0</v>
      </c>
      <c r="AK95" s="429">
        <v>0</v>
      </c>
      <c r="AL95" s="276">
        <f>SUM('OPX_BN-1'!$J95,'OPX_BN-1'!$AB95,'OPX_BN-1'!$S95,'OPX_BN-1'!$AJ95,'OPX_BN-1'!$R95,'OPX_BN-1'!$AK95)</f>
        <v>-513815.94080799998</v>
      </c>
      <c r="AM95" s="427">
        <v>0</v>
      </c>
    </row>
    <row r="96" spans="1:39" ht="15">
      <c r="A96" s="329" t="s">
        <v>497</v>
      </c>
      <c r="B96" s="327" t="str">
        <f>VLOOKUP('OPX_BN-1'!$A96,Tableau106[],3,FALSE)</f>
        <v>A895</v>
      </c>
      <c r="C96" s="327" t="str">
        <f>VLOOKUP('OPX_BN-1'!$A96,Tableau106[],2,FALSE)</f>
        <v>FR80E97E</v>
      </c>
      <c r="D96" s="327" t="str">
        <f>VLOOKUP('OPX_BN-1'!$A96,Tableau106[],8,FALSE)</f>
        <v>EOLIEN</v>
      </c>
      <c r="E96" s="328">
        <f>VLOOKUP('OPX_BN-1'!$A96,Tableau106[],4,FALSE)</f>
        <v>10</v>
      </c>
      <c r="F96" s="327" t="str">
        <f>VLOOKUP('OPX_BN-1'!$A96,Tableau106[],5,FALSE)</f>
        <v>LEPI</v>
      </c>
      <c r="G96" s="327" t="str">
        <f>VLOOKUP('OPX_BN-1'!$A96,Tableau106[],7,FALSE)</f>
        <v>GROUPE</v>
      </c>
      <c r="H96" s="327" t="str">
        <f>VLOOKUP('OPX_BN-1'!$A96,Tableau106[],6,FALSE)</f>
        <v>N</v>
      </c>
      <c r="I96" s="327" t="str">
        <f>VLOOKUP('OPX_BN-1'!$A96,Tableau106[],9,FALSE)</f>
        <v>NiD</v>
      </c>
      <c r="J96" s="160">
        <v>-165240</v>
      </c>
      <c r="K96" s="489">
        <v>-115000</v>
      </c>
      <c r="L96" s="490">
        <v>0</v>
      </c>
      <c r="M96" s="229">
        <v>0</v>
      </c>
      <c r="N96" s="229">
        <v>0</v>
      </c>
      <c r="O96" s="229">
        <v>0</v>
      </c>
      <c r="P96" s="229">
        <v>-3500</v>
      </c>
      <c r="Q96" s="230">
        <v>-5000</v>
      </c>
      <c r="R96" s="274">
        <f>SUM('OPX_BN-1'!$K96:$Q96)</f>
        <v>-123500</v>
      </c>
      <c r="S96" s="338">
        <v>0</v>
      </c>
      <c r="T96" s="423">
        <v>0</v>
      </c>
      <c r="U96" s="341"/>
      <c r="V96" s="423">
        <v>-1250</v>
      </c>
      <c r="W96" s="423">
        <v>0</v>
      </c>
      <c r="X96" s="423">
        <v>0</v>
      </c>
      <c r="Y96" s="423"/>
      <c r="Z96" s="264">
        <v>-5000</v>
      </c>
      <c r="AA96" s="423"/>
      <c r="AB96" s="273">
        <f>SUM('OPX_BN-1'!$T96:$AA96)</f>
        <v>-6250</v>
      </c>
      <c r="AC96" s="426"/>
      <c r="AD96" s="426"/>
      <c r="AE96" s="417">
        <v>0</v>
      </c>
      <c r="AF96" s="417">
        <v>0</v>
      </c>
      <c r="AG96" s="417">
        <v>0</v>
      </c>
      <c r="AH96" s="417">
        <v>0</v>
      </c>
      <c r="AI96" s="417">
        <v>0</v>
      </c>
      <c r="AJ96" s="271">
        <f>SUM('OPX_BN-1'!$AC96:$AI96)</f>
        <v>0</v>
      </c>
      <c r="AK96" s="429">
        <v>0</v>
      </c>
      <c r="AL96" s="276">
        <f>SUM('OPX_BN-1'!$J96,'OPX_BN-1'!$AB96,'OPX_BN-1'!$S96,'OPX_BN-1'!$AJ96,'OPX_BN-1'!$R96,'OPX_BN-1'!$AK96)</f>
        <v>-294990</v>
      </c>
      <c r="AM96" s="427">
        <v>0</v>
      </c>
    </row>
    <row r="97" spans="1:39" ht="15">
      <c r="A97" s="329" t="s">
        <v>450</v>
      </c>
      <c r="B97" s="327" t="str">
        <f>VLOOKUP('OPX_BN-1'!$A97,Tableau106[],3,FALSE)</f>
        <v>A279</v>
      </c>
      <c r="C97" s="327" t="str">
        <f>VLOOKUP('OPX_BN-1'!$A97,Tableau106[],2,FALSE)</f>
        <v>FR51E07E</v>
      </c>
      <c r="D97" s="327" t="str">
        <f>VLOOKUP('OPX_BN-1'!$A97,Tableau106[],8,FALSE)</f>
        <v>EOLIEN</v>
      </c>
      <c r="E97" s="328">
        <f>VLOOKUP('OPX_BN-1'!$A97,Tableau106[],4,FALSE)</f>
        <v>43.2</v>
      </c>
      <c r="F97" s="327" t="str">
        <f>VLOOKUP('OPX_BN-1'!$A97,Tableau106[],5,FALSE)</f>
        <v>LORO</v>
      </c>
      <c r="G97" s="327" t="str">
        <f>VLOOKUP('OPX_BN-1'!$A97,Tableau106[],7,FALSE)</f>
        <v>GROUPE</v>
      </c>
      <c r="H97" s="327" t="str">
        <f>VLOOKUP('OPX_BN-1'!$A97,Tableau106[],6,FALSE)</f>
        <v>N</v>
      </c>
      <c r="I97" s="327" t="str">
        <f>VLOOKUP('OPX_BN-1'!$A97,Tableau106[],9,FALSE)</f>
        <v>BaB</v>
      </c>
      <c r="J97" s="160">
        <v>-36152.642267716532</v>
      </c>
      <c r="K97" s="489">
        <v>-23850</v>
      </c>
      <c r="L97" s="490">
        <v>0</v>
      </c>
      <c r="M97" s="229">
        <v>0</v>
      </c>
      <c r="N97" s="229">
        <v>0</v>
      </c>
      <c r="O97" s="229">
        <v>0</v>
      </c>
      <c r="P97" s="229">
        <v>-16695</v>
      </c>
      <c r="Q97" s="230">
        <v>-23850</v>
      </c>
      <c r="R97" s="274">
        <f>SUM('OPX_BN-1'!$K97:$Q97)</f>
        <v>-64395</v>
      </c>
      <c r="S97" s="338">
        <v>-557214.27480000001</v>
      </c>
      <c r="T97" s="423">
        <v>0</v>
      </c>
      <c r="U97" s="341"/>
      <c r="V97" s="423">
        <v>0</v>
      </c>
      <c r="W97" s="423">
        <v>0</v>
      </c>
      <c r="X97" s="423">
        <v>0</v>
      </c>
      <c r="Y97" s="423"/>
      <c r="Z97" s="264">
        <v>-23850</v>
      </c>
      <c r="AA97" s="423"/>
      <c r="AB97" s="273">
        <f>SUM('OPX_BN-1'!$T97:$AA97)</f>
        <v>-23850</v>
      </c>
      <c r="AC97" s="426"/>
      <c r="AD97" s="426"/>
      <c r="AE97" s="417">
        <v>-11925</v>
      </c>
      <c r="AF97" s="417">
        <v>-9250</v>
      </c>
      <c r="AG97" s="417">
        <v>-25050</v>
      </c>
      <c r="AH97" s="417">
        <v>0</v>
      </c>
      <c r="AI97" s="417">
        <v>0</v>
      </c>
      <c r="AJ97" s="271">
        <f>SUM('OPX_BN-1'!$AC97:$AI97)</f>
        <v>-46225</v>
      </c>
      <c r="AK97" s="429">
        <v>0</v>
      </c>
      <c r="AL97" s="276">
        <f>SUM('OPX_BN-1'!$J97,'OPX_BN-1'!$AB97,'OPX_BN-1'!$S97,'OPX_BN-1'!$AJ97,'OPX_BN-1'!$R97,'OPX_BN-1'!$AK97)</f>
        <v>-727836.9170677166</v>
      </c>
      <c r="AM97" s="427">
        <v>0</v>
      </c>
    </row>
    <row r="98" spans="1:39" ht="15">
      <c r="A98" s="329" t="s">
        <v>452</v>
      </c>
      <c r="B98" s="327" t="str">
        <f>VLOOKUP('OPX_BN-1'!$A98,Tableau106[],3,FALSE)</f>
        <v>A896</v>
      </c>
      <c r="C98" s="327" t="str">
        <f>VLOOKUP('OPX_BN-1'!$A98,Tableau106[],2,FALSE)</f>
        <v>FR48E99E</v>
      </c>
      <c r="D98" s="327" t="str">
        <f>VLOOKUP('OPX_BN-1'!$A98,Tableau106[],8,FALSE)</f>
        <v>EOLIEN</v>
      </c>
      <c r="E98" s="328">
        <f>VLOOKUP('OPX_BN-1'!$A98,Tableau106[],4,FALSE)</f>
        <v>14</v>
      </c>
      <c r="F98" s="327" t="str">
        <f>VLOOKUP('OPX_BN-1'!$A98,Tableau106[],5,FALSE)</f>
        <v>LOPV</v>
      </c>
      <c r="G98" s="327" t="str">
        <f>VLOOKUP('OPX_BN-1'!$A98,Tableau106[],7,FALSE)</f>
        <v>GROUPE</v>
      </c>
      <c r="H98" s="327" t="str">
        <f>VLOOKUP('OPX_BN-1'!$A98,Tableau106[],6,FALSE)</f>
        <v>S</v>
      </c>
      <c r="I98" s="327" t="str">
        <f>VLOOKUP('OPX_BN-1'!$A98,Tableau106[],9,FALSE)</f>
        <v>ThC</v>
      </c>
      <c r="J98" s="160">
        <v>-25252</v>
      </c>
      <c r="K98" s="489">
        <v>-7000</v>
      </c>
      <c r="L98" s="490">
        <v>0</v>
      </c>
      <c r="M98" s="229">
        <v>0</v>
      </c>
      <c r="N98" s="229">
        <v>0</v>
      </c>
      <c r="O98" s="229">
        <v>-1500</v>
      </c>
      <c r="P98" s="229">
        <v>-4900</v>
      </c>
      <c r="Q98" s="230">
        <v>-7000</v>
      </c>
      <c r="R98" s="274">
        <f>SUM('OPX_BN-1'!$K98:$Q98)</f>
        <v>-20400</v>
      </c>
      <c r="S98" s="338">
        <v>-221667</v>
      </c>
      <c r="T98" s="423">
        <v>-70000</v>
      </c>
      <c r="U98" s="341"/>
      <c r="V98" s="423">
        <v>-10000</v>
      </c>
      <c r="W98" s="423">
        <v>-17000</v>
      </c>
      <c r="X98" s="423">
        <v>0</v>
      </c>
      <c r="Y98" s="423"/>
      <c r="Z98" s="264">
        <v>-7000</v>
      </c>
      <c r="AA98" s="423"/>
      <c r="AB98" s="273">
        <f>SUM('OPX_BN-1'!$T98:$AA98)</f>
        <v>-104000</v>
      </c>
      <c r="AC98" s="426"/>
      <c r="AD98" s="426"/>
      <c r="AE98" s="417">
        <v>0</v>
      </c>
      <c r="AF98" s="417">
        <v>0</v>
      </c>
      <c r="AG98" s="417">
        <v>0</v>
      </c>
      <c r="AH98" s="417">
        <v>0</v>
      </c>
      <c r="AI98" s="417">
        <v>0</v>
      </c>
      <c r="AJ98" s="271">
        <f>SUM('OPX_BN-1'!$AC98:$AI98)</f>
        <v>0</v>
      </c>
      <c r="AK98" s="429">
        <v>0</v>
      </c>
      <c r="AL98" s="276">
        <f>SUM('OPX_BN-1'!$J98,'OPX_BN-1'!$AB98,'OPX_BN-1'!$S98,'OPX_BN-1'!$AJ98,'OPX_BN-1'!$R98,'OPX_BN-1'!$AK98)</f>
        <v>-371319</v>
      </c>
      <c r="AM98" s="427">
        <v>0</v>
      </c>
    </row>
    <row r="99" spans="1:39" ht="15">
      <c r="A99" s="329" t="s">
        <v>533</v>
      </c>
      <c r="B99" s="327" t="str">
        <f>VLOOKUP('OPX_BN-1'!$A99,Tableau106[],3,FALSE)</f>
        <v>A257</v>
      </c>
      <c r="C99" s="327" t="str">
        <f>VLOOKUP('OPX_BN-1'!$A99,Tableau106[],2,FALSE)</f>
        <v>FR01S02E</v>
      </c>
      <c r="D99" s="327" t="str">
        <f>VLOOKUP('OPX_BN-1'!$A99,Tableau106[],8,FALSE)</f>
        <v>SOLAIRE</v>
      </c>
      <c r="E99" s="328">
        <f>VLOOKUP('OPX_BN-1'!$A99,Tableau106[],4,FALSE)</f>
        <v>4.8</v>
      </c>
      <c r="F99" s="327" t="str">
        <f>VLOOKUP('OPX_BN-1'!$A99,Tableau106[],5,FALSE)</f>
        <v>LOYE</v>
      </c>
      <c r="G99" s="327" t="str">
        <f>VLOOKUP('OPX_BN-1'!$A99,Tableau106[],7,FALSE)</f>
        <v>GROUPE</v>
      </c>
      <c r="H99" s="327" t="str">
        <f>VLOOKUP('OPX_BN-1'!$A99,Tableau106[],6,FALSE)</f>
        <v>S</v>
      </c>
      <c r="I99" s="327" t="str">
        <f>VLOOKUP('OPX_BN-1'!$A99,Tableau106[],9,FALSE)</f>
        <v>LoG</v>
      </c>
      <c r="J99" s="160">
        <v>-27792</v>
      </c>
      <c r="K99" s="489">
        <v>-7400</v>
      </c>
      <c r="L99" s="490">
        <v>0</v>
      </c>
      <c r="M99" s="229">
        <v>0</v>
      </c>
      <c r="N99" s="229">
        <v>0</v>
      </c>
      <c r="O99" s="229">
        <v>0</v>
      </c>
      <c r="P99" s="229">
        <v>0</v>
      </c>
      <c r="Q99" s="230">
        <v>-2400</v>
      </c>
      <c r="R99" s="274">
        <f>SUM('OPX_BN-1'!$K99:$Q99)</f>
        <v>-9800</v>
      </c>
      <c r="S99" s="338">
        <v>0</v>
      </c>
      <c r="T99" s="423">
        <v>0</v>
      </c>
      <c r="U99" s="341"/>
      <c r="V99" s="423">
        <v>-6000</v>
      </c>
      <c r="W99" s="423">
        <v>0</v>
      </c>
      <c r="X99" s="423">
        <v>0</v>
      </c>
      <c r="Y99" s="423"/>
      <c r="Z99" s="264">
        <v>-2400</v>
      </c>
      <c r="AA99" s="423"/>
      <c r="AB99" s="273">
        <f>SUM('OPX_BN-1'!$T99:$AA99)</f>
        <v>-8400</v>
      </c>
      <c r="AC99" s="426"/>
      <c r="AD99" s="426"/>
      <c r="AE99" s="417">
        <v>0</v>
      </c>
      <c r="AF99" s="417">
        <v>0</v>
      </c>
      <c r="AG99" s="417">
        <v>0</v>
      </c>
      <c r="AH99" s="417">
        <v>-3300</v>
      </c>
      <c r="AI99" s="417">
        <v>0</v>
      </c>
      <c r="AJ99" s="271">
        <f>SUM('OPX_BN-1'!$AC99:$AI99)</f>
        <v>-3300</v>
      </c>
      <c r="AK99" s="429">
        <v>0</v>
      </c>
      <c r="AL99" s="276">
        <f>SUM('OPX_BN-1'!$J99,'OPX_BN-1'!$AB99,'OPX_BN-1'!$S99,'OPX_BN-1'!$AJ99,'OPX_BN-1'!$R99,'OPX_BN-1'!$AK99)</f>
        <v>-49292</v>
      </c>
      <c r="AM99" s="427">
        <v>0</v>
      </c>
    </row>
    <row r="100" spans="1:39" ht="15">
      <c r="A100" s="329" t="s">
        <v>469</v>
      </c>
      <c r="B100" s="327" t="str">
        <f>VLOOKUP('OPX_BN-1'!$A100,Tableau106[],3,FALSE)</f>
        <v>A039</v>
      </c>
      <c r="C100" s="327" t="str">
        <f>VLOOKUP('OPX_BN-1'!$A100,Tableau106[],2,FALSE)</f>
        <v>FR11E99E</v>
      </c>
      <c r="D100" s="327" t="str">
        <f>VLOOKUP('OPX_BN-1'!$A100,Tableau106[],8,FALSE)</f>
        <v>EOLIEN</v>
      </c>
      <c r="E100" s="328">
        <f>VLOOKUP('OPX_BN-1'!$A100,Tableau106[],4,FALSE)</f>
        <v>12</v>
      </c>
      <c r="F100" s="327" t="str">
        <f>VLOOKUP('OPX_BN-1'!$A100,Tableau106[],5,FALSE)</f>
        <v>LUCO</v>
      </c>
      <c r="G100" s="327" t="str">
        <f>VLOOKUP('OPX_BN-1'!$A100,Tableau106[],7,FALSE)</f>
        <v>GROUPE</v>
      </c>
      <c r="H100" s="327" t="str">
        <f>VLOOKUP('OPX_BN-1'!$A100,Tableau106[],6,FALSE)</f>
        <v>S</v>
      </c>
      <c r="I100" s="327" t="str">
        <f>VLOOKUP('OPX_BN-1'!$A100,Tableau106[],9,FALSE)</f>
        <v>SaH</v>
      </c>
      <c r="J100" s="160">
        <v>-434900.24761184881</v>
      </c>
      <c r="K100" s="489">
        <v>-6000</v>
      </c>
      <c r="L100" s="490">
        <v>0</v>
      </c>
      <c r="M100" s="229">
        <v>0</v>
      </c>
      <c r="N100" s="229">
        <v>0</v>
      </c>
      <c r="O100" s="229">
        <v>0</v>
      </c>
      <c r="P100" s="229">
        <v>-4200</v>
      </c>
      <c r="Q100" s="230">
        <v>-6000</v>
      </c>
      <c r="R100" s="274">
        <f>SUM('OPX_BN-1'!$K100:$Q100)</f>
        <v>-16200</v>
      </c>
      <c r="S100" s="338">
        <v>0</v>
      </c>
      <c r="T100" s="423">
        <v>0</v>
      </c>
      <c r="U100" s="341"/>
      <c r="V100" s="423">
        <v>-8000</v>
      </c>
      <c r="W100" s="423">
        <v>0</v>
      </c>
      <c r="X100" s="423">
        <v>0</v>
      </c>
      <c r="Y100" s="423"/>
      <c r="Z100" s="264">
        <v>-6000</v>
      </c>
      <c r="AA100" s="423"/>
      <c r="AB100" s="273">
        <f>SUM('OPX_BN-1'!$T100:$AA100)</f>
        <v>-14000</v>
      </c>
      <c r="AC100" s="426"/>
      <c r="AD100" s="426"/>
      <c r="AE100" s="417">
        <v>0</v>
      </c>
      <c r="AF100" s="417">
        <v>0</v>
      </c>
      <c r="AG100" s="417">
        <v>0</v>
      </c>
      <c r="AH100" s="417">
        <v>0</v>
      </c>
      <c r="AI100" s="417">
        <v>0</v>
      </c>
      <c r="AJ100" s="271">
        <f>SUM('OPX_BN-1'!$AC100:$AI100)</f>
        <v>0</v>
      </c>
      <c r="AK100" s="429">
        <v>0</v>
      </c>
      <c r="AL100" s="276">
        <f>SUM('OPX_BN-1'!$J100,'OPX_BN-1'!$AB100,'OPX_BN-1'!$S100,'OPX_BN-1'!$AJ100,'OPX_BN-1'!$R100,'OPX_BN-1'!$AK100)</f>
        <v>-465100.24761184881</v>
      </c>
      <c r="AM100" s="427">
        <v>0</v>
      </c>
    </row>
    <row r="101" spans="1:39" ht="15">
      <c r="A101" s="329" t="s">
        <v>400</v>
      </c>
      <c r="B101" s="327" t="str">
        <f>VLOOKUP('OPX_BN-1'!$A101,Tableau106[],3,FALSE)</f>
        <v>A272</v>
      </c>
      <c r="C101" s="327" t="str">
        <f>VLOOKUP('OPX_BN-1'!$A101,Tableau106[],2,FALSE)</f>
        <v>FR21S02E</v>
      </c>
      <c r="D101" s="327" t="str">
        <f>VLOOKUP('OPX_BN-1'!$A101,Tableau106[],8,FALSE)</f>
        <v>SOLAIRE</v>
      </c>
      <c r="E101" s="328">
        <f>VLOOKUP('OPX_BN-1'!$A101,Tableau106[],4,FALSE)</f>
        <v>8.4</v>
      </c>
      <c r="F101" s="327" t="str">
        <f>VLOOKUP('OPX_BN-1'!$A101,Tableau106[],5,FALSE)</f>
        <v>LUX1</v>
      </c>
      <c r="G101" s="327" t="str">
        <f>VLOOKUP('OPX_BN-1'!$A101,Tableau106[],7,FALSE)</f>
        <v>GROUPE</v>
      </c>
      <c r="H101" s="327" t="str">
        <f>VLOOKUP('OPX_BN-1'!$A101,Tableau106[],6,FALSE)</f>
        <v>N</v>
      </c>
      <c r="I101" s="327" t="str">
        <f>VLOOKUP('OPX_BN-1'!$A101,Tableau106[],9,FALSE)</f>
        <v>ZaA</v>
      </c>
      <c r="J101" s="160">
        <v>-39000</v>
      </c>
      <c r="K101" s="489">
        <v>-12600</v>
      </c>
      <c r="L101" s="490">
        <v>0</v>
      </c>
      <c r="M101" s="229">
        <v>0</v>
      </c>
      <c r="N101" s="229">
        <v>0</v>
      </c>
      <c r="O101" s="229">
        <v>0</v>
      </c>
      <c r="P101" s="229">
        <v>0</v>
      </c>
      <c r="Q101" s="230">
        <v>-4200</v>
      </c>
      <c r="R101" s="274">
        <f>SUM('OPX_BN-1'!$K101:$Q101)</f>
        <v>-16800</v>
      </c>
      <c r="S101" s="338">
        <v>0</v>
      </c>
      <c r="T101" s="423">
        <v>0</v>
      </c>
      <c r="U101" s="341"/>
      <c r="V101" s="423">
        <v>0</v>
      </c>
      <c r="W101" s="423">
        <v>0</v>
      </c>
      <c r="X101" s="423">
        <v>0</v>
      </c>
      <c r="Y101" s="423"/>
      <c r="Z101" s="264">
        <v>-4200</v>
      </c>
      <c r="AA101" s="423"/>
      <c r="AB101" s="273">
        <f>SUM('OPX_BN-1'!$T101:$AA101)</f>
        <v>-4200</v>
      </c>
      <c r="AC101" s="426"/>
      <c r="AD101" s="426"/>
      <c r="AE101" s="417">
        <v>0</v>
      </c>
      <c r="AF101" s="417">
        <v>0</v>
      </c>
      <c r="AG101" s="417">
        <v>0</v>
      </c>
      <c r="AH101" s="417">
        <v>0</v>
      </c>
      <c r="AI101" s="417">
        <v>0</v>
      </c>
      <c r="AJ101" s="271">
        <f>SUM('OPX_BN-1'!$AC101:$AI101)</f>
        <v>0</v>
      </c>
      <c r="AK101" s="429">
        <v>0</v>
      </c>
      <c r="AL101" s="276">
        <f>SUM('OPX_BN-1'!$J101,'OPX_BN-1'!$AB101,'OPX_BN-1'!$S101,'OPX_BN-1'!$AJ101,'OPX_BN-1'!$R101,'OPX_BN-1'!$AK101)</f>
        <v>-60000</v>
      </c>
      <c r="AM101" s="427">
        <v>0</v>
      </c>
    </row>
    <row r="102" spans="1:39" ht="15">
      <c r="A102" s="329" t="s">
        <v>599</v>
      </c>
      <c r="B102" s="327" t="str">
        <f>VLOOKUP('OPX_BN-1'!$A102,Tableau106[],3,FALSE)</f>
        <v>A541</v>
      </c>
      <c r="C102" s="327" t="str">
        <f>VLOOKUP('OPX_BN-1'!$A102,Tableau106[],2,FALSE)</f>
        <v>FR85E02E</v>
      </c>
      <c r="D102" s="327" t="str">
        <f>VLOOKUP('OPX_BN-1'!$A102,Tableau106[],8,FALSE)</f>
        <v>EOLIEN</v>
      </c>
      <c r="E102" s="328">
        <f>VLOOKUP('OPX_BN-1'!$A102,Tableau106[],4,FALSE)</f>
        <v>8</v>
      </c>
      <c r="F102" s="327" t="str">
        <f>VLOOKUP('OPX_BN-1'!$A102,Tableau106[],5,FALSE)</f>
        <v>MACH</v>
      </c>
      <c r="G102" s="327" t="str">
        <f>VLOOKUP('OPX_BN-1'!$A102,Tableau106[],7,FALSE)</f>
        <v>EGM</v>
      </c>
      <c r="H102" s="327" t="str">
        <f>VLOOKUP('OPX_BN-1'!$A102,Tableau106[],6,FALSE)</f>
        <v>N</v>
      </c>
      <c r="I102" s="327" t="str">
        <f>VLOOKUP('OPX_BN-1'!$A102,Tableau106[],9,FALSE)</f>
        <v>BoK</v>
      </c>
      <c r="J102" s="160">
        <v>-205342.87687010149</v>
      </c>
      <c r="K102" s="489">
        <v>-4000</v>
      </c>
      <c r="L102" s="490">
        <v>-26455.026455026455</v>
      </c>
      <c r="M102" s="229">
        <v>0</v>
      </c>
      <c r="N102" s="229">
        <v>0</v>
      </c>
      <c r="O102" s="229">
        <v>0</v>
      </c>
      <c r="P102" s="229">
        <v>-2800</v>
      </c>
      <c r="Q102" s="230">
        <v>-4000</v>
      </c>
      <c r="R102" s="274">
        <f>SUM('OPX_BN-1'!$K102:$Q102)</f>
        <v>-37255.026455026455</v>
      </c>
      <c r="S102" s="338">
        <v>0</v>
      </c>
      <c r="T102" s="423">
        <v>0</v>
      </c>
      <c r="U102" s="341"/>
      <c r="V102" s="423">
        <v>-1000</v>
      </c>
      <c r="W102" s="423">
        <v>0</v>
      </c>
      <c r="X102" s="423">
        <v>0</v>
      </c>
      <c r="Y102" s="423"/>
      <c r="Z102" s="264">
        <v>-4000</v>
      </c>
      <c r="AA102" s="423"/>
      <c r="AB102" s="273">
        <f>SUM('OPX_BN-1'!$T102:$AA102)</f>
        <v>-5000</v>
      </c>
      <c r="AC102" s="426"/>
      <c r="AD102" s="426"/>
      <c r="AE102" s="417">
        <v>0</v>
      </c>
      <c r="AF102" s="417">
        <v>0</v>
      </c>
      <c r="AG102" s="417">
        <v>0</v>
      </c>
      <c r="AH102" s="417">
        <v>0</v>
      </c>
      <c r="AI102" s="417">
        <v>0</v>
      </c>
      <c r="AJ102" s="271">
        <f>SUM('OPX_BN-1'!$AC102:$AI102)</f>
        <v>0</v>
      </c>
      <c r="AK102" s="429">
        <v>0</v>
      </c>
      <c r="AL102" s="276">
        <f>SUM('OPX_BN-1'!$J102,'OPX_BN-1'!$AB102,'OPX_BN-1'!$S102,'OPX_BN-1'!$AJ102,'OPX_BN-1'!$R102,'OPX_BN-1'!$AK102)</f>
        <v>-247597.90332512796</v>
      </c>
      <c r="AM102" s="427">
        <v>0</v>
      </c>
    </row>
    <row r="103" spans="1:39" ht="15">
      <c r="A103" s="329" t="s">
        <v>214</v>
      </c>
      <c r="B103" s="327" t="str">
        <f>VLOOKUP('OPX_BN-1'!$A103,Tableau106[],3,FALSE)</f>
        <v>F240</v>
      </c>
      <c r="C103" s="327" t="str">
        <f>VLOOKUP('OPX_BN-1'!$A103,Tableau106[],2,FALSE)</f>
        <v>FR80E93E</v>
      </c>
      <c r="D103" s="327" t="str">
        <f>VLOOKUP('OPX_BN-1'!$A103,Tableau106[],8,FALSE)</f>
        <v>EOLIEN</v>
      </c>
      <c r="E103" s="328">
        <f>VLOOKUP('OPX_BN-1'!$A103,Tableau106[],4,FALSE)</f>
        <v>15</v>
      </c>
      <c r="F103" s="327" t="str">
        <f>VLOOKUP('OPX_BN-1'!$A103,Tableau106[],5,FALSE)</f>
        <v>MAG1, MAG3</v>
      </c>
      <c r="G103" s="327" t="str">
        <f>VLOOKUP('OPX_BN-1'!$A103,Tableau106[],7,FALSE)</f>
        <v>FUTUREN</v>
      </c>
      <c r="H103" s="327" t="str">
        <f>VLOOKUP('OPX_BN-1'!$A103,Tableau106[],6,FALSE)</f>
        <v>N</v>
      </c>
      <c r="I103" s="327" t="str">
        <f>VLOOKUP('OPX_BN-1'!$A103,Tableau106[],9,FALSE)</f>
        <v>AlY</v>
      </c>
      <c r="J103" s="160">
        <v>-11965.62</v>
      </c>
      <c r="K103" s="489">
        <v>-7500</v>
      </c>
      <c r="L103" s="490">
        <v>0</v>
      </c>
      <c r="M103" s="229">
        <v>0</v>
      </c>
      <c r="N103" s="229">
        <v>0</v>
      </c>
      <c r="O103" s="229">
        <v>0</v>
      </c>
      <c r="P103" s="229">
        <v>0</v>
      </c>
      <c r="Q103" s="230">
        <v>-7500</v>
      </c>
      <c r="R103" s="274">
        <f>SUM('OPX_BN-1'!$K103:$Q103)</f>
        <v>-15000</v>
      </c>
      <c r="S103" s="338">
        <v>-199064.0025</v>
      </c>
      <c r="T103" s="423">
        <v>0</v>
      </c>
      <c r="U103" s="341"/>
      <c r="V103" s="423">
        <v>0</v>
      </c>
      <c r="W103" s="423">
        <v>0</v>
      </c>
      <c r="X103" s="423">
        <v>0</v>
      </c>
      <c r="Y103" s="423"/>
      <c r="Z103" s="264">
        <v>-7500</v>
      </c>
      <c r="AA103" s="423"/>
      <c r="AB103" s="273">
        <f>SUM('OPX_BN-1'!$T103:$AA103)</f>
        <v>-7500</v>
      </c>
      <c r="AC103" s="426"/>
      <c r="AD103" s="426"/>
      <c r="AE103" s="417">
        <v>0</v>
      </c>
      <c r="AF103" s="417">
        <v>0</v>
      </c>
      <c r="AG103" s="417">
        <v>0</v>
      </c>
      <c r="AH103" s="417">
        <v>0</v>
      </c>
      <c r="AI103" s="417">
        <v>0</v>
      </c>
      <c r="AJ103" s="271">
        <f>SUM('OPX_BN-1'!$AC103:$AI103)</f>
        <v>0</v>
      </c>
      <c r="AK103" s="429">
        <v>0</v>
      </c>
      <c r="AL103" s="276">
        <f>SUM('OPX_BN-1'!$J103,'OPX_BN-1'!$AB103,'OPX_BN-1'!$S103,'OPX_BN-1'!$AJ103,'OPX_BN-1'!$R103,'OPX_BN-1'!$AK103)</f>
        <v>-233529.6225</v>
      </c>
      <c r="AM103" s="427">
        <v>0</v>
      </c>
    </row>
    <row r="104" spans="1:39" ht="15">
      <c r="A104" s="329" t="s">
        <v>637</v>
      </c>
      <c r="B104" s="327" t="str">
        <f>VLOOKUP('OPX_BN-1'!$A104,Tableau106[],3,FALSE)</f>
        <v>A239</v>
      </c>
      <c r="C104" s="327" t="str">
        <f>VLOOKUP('OPX_BN-1'!$A104,Tableau106[],2,FALSE)</f>
        <v>FR87S01E</v>
      </c>
      <c r="D104" s="327" t="str">
        <f>VLOOKUP('OPX_BN-1'!$A104,Tableau106[],8,FALSE)</f>
        <v>SOLAIRE</v>
      </c>
      <c r="E104" s="328">
        <f>VLOOKUP('OPX_BN-1'!$A104,Tableau106[],4,FALSE)</f>
        <v>5</v>
      </c>
      <c r="F104" s="327" t="str">
        <f>VLOOKUP('OPX_BN-1'!$A104,Tableau106[],5,FALSE)</f>
        <v>MABE</v>
      </c>
      <c r="G104" s="327" t="str">
        <f>VLOOKUP('OPX_BN-1'!$A104,Tableau106[],7,FALSE)</f>
        <v>GROUPE</v>
      </c>
      <c r="H104" s="327" t="str">
        <f>VLOOKUP('OPX_BN-1'!$A104,Tableau106[],6,FALSE)</f>
        <v>N</v>
      </c>
      <c r="I104" s="327" t="str">
        <f>VLOOKUP('OPX_BN-1'!$A104,Tableau106[],9,FALSE)</f>
        <v>ArB</v>
      </c>
      <c r="J104" s="160">
        <v>-25000</v>
      </c>
      <c r="K104" s="489">
        <v>-2500</v>
      </c>
      <c r="L104" s="490">
        <v>0</v>
      </c>
      <c r="M104" s="229">
        <v>0</v>
      </c>
      <c r="N104" s="229">
        <v>0</v>
      </c>
      <c r="O104" s="229">
        <v>0</v>
      </c>
      <c r="P104" s="229">
        <v>0</v>
      </c>
      <c r="Q104" s="230">
        <v>-2500</v>
      </c>
      <c r="R104" s="274">
        <f>SUM('OPX_BN-1'!$K104:$Q104)</f>
        <v>-5000</v>
      </c>
      <c r="S104" s="338">
        <v>0</v>
      </c>
      <c r="T104" s="423">
        <v>0</v>
      </c>
      <c r="U104" s="341"/>
      <c r="V104" s="423">
        <v>0</v>
      </c>
      <c r="W104" s="423">
        <v>0</v>
      </c>
      <c r="X104" s="423">
        <v>0</v>
      </c>
      <c r="Y104" s="423"/>
      <c r="Z104" s="264">
        <v>-2500</v>
      </c>
      <c r="AA104" s="423"/>
      <c r="AB104" s="273">
        <f>SUM('OPX_BN-1'!$T104:$AA104)</f>
        <v>-2500</v>
      </c>
      <c r="AC104" s="426"/>
      <c r="AD104" s="426"/>
      <c r="AE104" s="417">
        <v>0</v>
      </c>
      <c r="AF104" s="417">
        <v>0</v>
      </c>
      <c r="AG104" s="417">
        <v>0</v>
      </c>
      <c r="AH104" s="417">
        <v>0</v>
      </c>
      <c r="AI104" s="417">
        <v>0</v>
      </c>
      <c r="AJ104" s="271">
        <f>SUM('OPX_BN-1'!$AC104:$AI104)</f>
        <v>0</v>
      </c>
      <c r="AK104" s="429">
        <v>0</v>
      </c>
      <c r="AL104" s="276">
        <f>SUM('OPX_BN-1'!$J104,'OPX_BN-1'!$AB104,'OPX_BN-1'!$S104,'OPX_BN-1'!$AJ104,'OPX_BN-1'!$R104,'OPX_BN-1'!$AK104)</f>
        <v>-32500</v>
      </c>
      <c r="AM104" s="427">
        <v>0</v>
      </c>
    </row>
    <row r="105" spans="1:39" ht="15">
      <c r="A105" s="329" t="s">
        <v>536</v>
      </c>
      <c r="B105" s="327" t="str">
        <f>VLOOKUP('OPX_BN-1'!$A105,Tableau106[],3,FALSE)</f>
        <v>A134</v>
      </c>
      <c r="C105" s="327" t="str">
        <f>VLOOKUP('OPX_BN-1'!$A105,Tableau106[],2,FALSE)</f>
        <v>FR04S99E</v>
      </c>
      <c r="D105" s="327" t="str">
        <f>VLOOKUP('OPX_BN-1'!$A105,Tableau106[],8,FALSE)</f>
        <v>SOLAIRE</v>
      </c>
      <c r="E105" s="328">
        <f>VLOOKUP('OPX_BN-1'!$A105,Tableau106[],4,FALSE)</f>
        <v>4.0999999999999996</v>
      </c>
      <c r="F105" s="327" t="str">
        <f>VLOOKUP('OPX_BN-1'!$A105,Tableau106[],5,FALSE)</f>
        <v>MANO</v>
      </c>
      <c r="G105" s="327" t="str">
        <f>VLOOKUP('OPX_BN-1'!$A105,Tableau106[],7,FALSE)</f>
        <v>GROUPE</v>
      </c>
      <c r="H105" s="327" t="str">
        <f>VLOOKUP('OPX_BN-1'!$A105,Tableau106[],6,FALSE)</f>
        <v>S</v>
      </c>
      <c r="I105" s="327" t="str">
        <f>VLOOKUP('OPX_BN-1'!$A105,Tableau106[],9,FALSE)</f>
        <v>ArB</v>
      </c>
      <c r="J105" s="160">
        <v>-145173.15589062209</v>
      </c>
      <c r="K105" s="489">
        <v>-2050</v>
      </c>
      <c r="L105" s="490">
        <v>0</v>
      </c>
      <c r="M105" s="229">
        <v>0</v>
      </c>
      <c r="N105" s="229">
        <v>0</v>
      </c>
      <c r="O105" s="229">
        <v>0</v>
      </c>
      <c r="P105" s="229">
        <v>0</v>
      </c>
      <c r="Q105" s="230">
        <v>-2050</v>
      </c>
      <c r="R105" s="274">
        <f>SUM('OPX_BN-1'!$K105:$Q105)</f>
        <v>-4100</v>
      </c>
      <c r="S105" s="338">
        <v>0</v>
      </c>
      <c r="T105" s="423">
        <v>0</v>
      </c>
      <c r="U105" s="341"/>
      <c r="V105" s="423">
        <v>0</v>
      </c>
      <c r="W105" s="423">
        <v>0</v>
      </c>
      <c r="X105" s="423">
        <v>0</v>
      </c>
      <c r="Y105" s="423"/>
      <c r="Z105" s="264">
        <v>-12050</v>
      </c>
      <c r="AA105" s="423"/>
      <c r="AB105" s="273">
        <f>SUM('OPX_BN-1'!$T105:$AA105)</f>
        <v>-12050</v>
      </c>
      <c r="AC105" s="426"/>
      <c r="AD105" s="426"/>
      <c r="AE105" s="417">
        <v>0</v>
      </c>
      <c r="AF105" s="417">
        <v>0</v>
      </c>
      <c r="AG105" s="417">
        <v>0</v>
      </c>
      <c r="AH105" s="417">
        <v>0</v>
      </c>
      <c r="AI105" s="417">
        <v>0</v>
      </c>
      <c r="AJ105" s="271">
        <f>SUM('OPX_BN-1'!$AC105:$AI105)</f>
        <v>0</v>
      </c>
      <c r="AK105" s="429">
        <v>-8215</v>
      </c>
      <c r="AL105" s="276">
        <f>SUM('OPX_BN-1'!$J105,'OPX_BN-1'!$AB105,'OPX_BN-1'!$S105,'OPX_BN-1'!$AJ105,'OPX_BN-1'!$R105,'OPX_BN-1'!$AK105)</f>
        <v>-169538.15589062209</v>
      </c>
      <c r="AM105" s="427">
        <v>0</v>
      </c>
    </row>
    <row r="106" spans="1:39" ht="15">
      <c r="A106" s="329" t="s">
        <v>537</v>
      </c>
      <c r="B106" s="327" t="str">
        <f>VLOOKUP('OPX_BN-1'!$A106,Tableau106[],3,FALSE)</f>
        <v>A389</v>
      </c>
      <c r="C106" s="327" t="str">
        <f>VLOOKUP('OPX_BN-1'!$A106,Tableau106[],2,FALSE)</f>
        <v>FR89S02E</v>
      </c>
      <c r="D106" s="327" t="str">
        <f>VLOOKUP('OPX_BN-1'!$A106,Tableau106[],8,FALSE)</f>
        <v>SOLAIRE</v>
      </c>
      <c r="E106" s="328">
        <f>VLOOKUP('OPX_BN-1'!$A106,Tableau106[],4,FALSE)</f>
        <v>20</v>
      </c>
      <c r="F106" s="327" t="str">
        <f>VLOOKUP('OPX_BN-1'!$A106,Tableau106[],5,FALSE)</f>
        <v>MA22</v>
      </c>
      <c r="G106" s="327" t="str">
        <f>VLOOKUP('OPX_BN-1'!$A106,Tableau106[],7,FALSE)</f>
        <v>GROUPE</v>
      </c>
      <c r="H106" s="327" t="str">
        <f>VLOOKUP('OPX_BN-1'!$A106,Tableau106[],6,FALSE)</f>
        <v>S</v>
      </c>
      <c r="I106" s="327" t="str">
        <f>VLOOKUP('OPX_BN-1'!$A106,Tableau106[],9,FALSE)</f>
        <v>LoG</v>
      </c>
      <c r="J106" s="160">
        <v>-394158.4878</v>
      </c>
      <c r="K106" s="489">
        <v>-17000</v>
      </c>
      <c r="L106" s="490">
        <v>0</v>
      </c>
      <c r="M106" s="229">
        <v>-15000</v>
      </c>
      <c r="N106" s="229">
        <v>0</v>
      </c>
      <c r="O106" s="229">
        <v>0</v>
      </c>
      <c r="P106" s="229">
        <v>0</v>
      </c>
      <c r="Q106" s="230">
        <v>-10000</v>
      </c>
      <c r="R106" s="274">
        <f>SUM('OPX_BN-1'!$K106:$Q106)</f>
        <v>-42000</v>
      </c>
      <c r="S106" s="338">
        <v>0</v>
      </c>
      <c r="T106" s="423">
        <v>0</v>
      </c>
      <c r="U106" s="341"/>
      <c r="V106" s="423">
        <v>-20000</v>
      </c>
      <c r="W106" s="423">
        <v>0</v>
      </c>
      <c r="X106" s="423">
        <v>0</v>
      </c>
      <c r="Y106" s="423"/>
      <c r="Z106" s="264">
        <v>-208000</v>
      </c>
      <c r="AA106" s="423"/>
      <c r="AB106" s="273">
        <f>SUM('OPX_BN-1'!$T106:$AA106)</f>
        <v>-228000</v>
      </c>
      <c r="AC106" s="426"/>
      <c r="AD106" s="426"/>
      <c r="AE106" s="417">
        <v>0</v>
      </c>
      <c r="AF106" s="417">
        <v>0</v>
      </c>
      <c r="AG106" s="417">
        <v>0</v>
      </c>
      <c r="AH106" s="417">
        <v>0</v>
      </c>
      <c r="AI106" s="417">
        <v>0</v>
      </c>
      <c r="AJ106" s="271">
        <f>SUM('OPX_BN-1'!$AC106:$AI106)</f>
        <v>0</v>
      </c>
      <c r="AK106" s="429">
        <v>-15000</v>
      </c>
      <c r="AL106" s="276">
        <f>SUM('OPX_BN-1'!$J106,'OPX_BN-1'!$AB106,'OPX_BN-1'!$S106,'OPX_BN-1'!$AJ106,'OPX_BN-1'!$R106,'OPX_BN-1'!$AK106)</f>
        <v>-679158.4878</v>
      </c>
      <c r="AM106" s="427">
        <v>0</v>
      </c>
    </row>
    <row r="107" spans="1:39" ht="15">
      <c r="A107" s="329" t="s">
        <v>475</v>
      </c>
      <c r="B107" s="327" t="str">
        <f>VLOOKUP('OPX_BN-1'!$A107,Tableau106[],3,FALSE)</f>
        <v>A540</v>
      </c>
      <c r="C107" s="327" t="str">
        <f>VLOOKUP('OPX_BN-1'!$A107,Tableau106[],2,FALSE)</f>
        <v>FR56E04E</v>
      </c>
      <c r="D107" s="327" t="str">
        <f>VLOOKUP('OPX_BN-1'!$A107,Tableau106[],8,FALSE)</f>
        <v>EOLIEN</v>
      </c>
      <c r="E107" s="328">
        <f>VLOOKUP('OPX_BN-1'!$A107,Tableau106[],4,FALSE)</f>
        <v>10</v>
      </c>
      <c r="F107" s="327" t="str">
        <f>VLOOKUP('OPX_BN-1'!$A107,Tableau106[],5,FALSE)</f>
        <v>MAUR</v>
      </c>
      <c r="G107" s="327" t="str">
        <f>VLOOKUP('OPX_BN-1'!$A107,Tableau106[],7,FALSE)</f>
        <v>EGM</v>
      </c>
      <c r="H107" s="327" t="str">
        <f>VLOOKUP('OPX_BN-1'!$A107,Tableau106[],6,FALSE)</f>
        <v>N</v>
      </c>
      <c r="I107" s="327" t="str">
        <f>VLOOKUP('OPX_BN-1'!$A107,Tableau106[],9,FALSE)</f>
        <v>DeN</v>
      </c>
      <c r="J107" s="160">
        <v>-256678.59608762685</v>
      </c>
      <c r="K107" s="489">
        <v>-5000</v>
      </c>
      <c r="L107" s="490">
        <v>-33068.783068783072</v>
      </c>
      <c r="M107" s="229">
        <v>0</v>
      </c>
      <c r="N107" s="229">
        <v>0</v>
      </c>
      <c r="O107" s="229">
        <v>0</v>
      </c>
      <c r="P107" s="229">
        <v>-3500</v>
      </c>
      <c r="Q107" s="230">
        <v>-5000</v>
      </c>
      <c r="R107" s="274">
        <f>SUM('OPX_BN-1'!$K107:$Q107)</f>
        <v>-46568.783068783072</v>
      </c>
      <c r="S107" s="338">
        <v>0</v>
      </c>
      <c r="T107" s="423">
        <v>0</v>
      </c>
      <c r="U107" s="341"/>
      <c r="V107" s="423">
        <v>-2000</v>
      </c>
      <c r="W107" s="423">
        <v>0</v>
      </c>
      <c r="X107" s="423">
        <v>0</v>
      </c>
      <c r="Y107" s="423"/>
      <c r="Z107" s="264">
        <v>-5000</v>
      </c>
      <c r="AA107" s="423"/>
      <c r="AB107" s="273">
        <f>SUM('OPX_BN-1'!$T107:$AA107)</f>
        <v>-7000</v>
      </c>
      <c r="AC107" s="426"/>
      <c r="AD107" s="426"/>
      <c r="AE107" s="417">
        <v>0</v>
      </c>
      <c r="AF107" s="417">
        <v>0</v>
      </c>
      <c r="AG107" s="417">
        <v>-12000</v>
      </c>
      <c r="AH107" s="417">
        <v>0</v>
      </c>
      <c r="AI107" s="417">
        <v>0</v>
      </c>
      <c r="AJ107" s="271">
        <f>SUM('OPX_BN-1'!$AC107:$AI107)</f>
        <v>-12000</v>
      </c>
      <c r="AK107" s="429">
        <v>0</v>
      </c>
      <c r="AL107" s="276">
        <f>SUM('OPX_BN-1'!$J107,'OPX_BN-1'!$AB107,'OPX_BN-1'!$S107,'OPX_BN-1'!$AJ107,'OPX_BN-1'!$R107,'OPX_BN-1'!$AK107)</f>
        <v>-322247.37915640994</v>
      </c>
      <c r="AM107" s="427">
        <v>0</v>
      </c>
    </row>
    <row r="108" spans="1:39" ht="15">
      <c r="A108" s="329" t="s">
        <v>539</v>
      </c>
      <c r="B108" s="327" t="str">
        <f>VLOOKUP('OPX_BN-1'!$A108,Tableau106[],3,FALSE)</f>
        <v>A295</v>
      </c>
      <c r="C108" s="327" t="str">
        <f>VLOOKUP('OPX_BN-1'!$A108,Tableau106[],2,FALSE)</f>
        <v>FR43S04E</v>
      </c>
      <c r="D108" s="327" t="str">
        <f>VLOOKUP('OPX_BN-1'!$A108,Tableau106[],8,FALSE)</f>
        <v>SOLAIRE</v>
      </c>
      <c r="E108" s="328">
        <f>VLOOKUP('OPX_BN-1'!$A108,Tableau106[],4,FALSE)</f>
        <v>2.8</v>
      </c>
      <c r="F108" s="327" t="str">
        <f>VLOOKUP('OPX_BN-1'!$A108,Tableau106[],5,FALSE)</f>
        <v>MSTV</v>
      </c>
      <c r="G108" s="327" t="str">
        <f>VLOOKUP('OPX_BN-1'!$A108,Tableau106[],7,FALSE)</f>
        <v>GROUPE</v>
      </c>
      <c r="H108" s="327" t="str">
        <f>VLOOKUP('OPX_BN-1'!$A108,Tableau106[],6,FALSE)</f>
        <v>S</v>
      </c>
      <c r="I108" s="327" t="str">
        <f>VLOOKUP('OPX_BN-1'!$A108,Tableau106[],9,FALSE)</f>
        <v>ArB</v>
      </c>
      <c r="J108" s="160">
        <v>-14790</v>
      </c>
      <c r="K108" s="489">
        <v>-1450</v>
      </c>
      <c r="L108" s="490">
        <v>0</v>
      </c>
      <c r="M108" s="229">
        <v>0</v>
      </c>
      <c r="N108" s="229">
        <v>0</v>
      </c>
      <c r="O108" s="229">
        <v>0</v>
      </c>
      <c r="P108" s="229">
        <v>0</v>
      </c>
      <c r="Q108" s="230">
        <v>-1450</v>
      </c>
      <c r="R108" s="274">
        <f>SUM('OPX_BN-1'!$K108:$Q108)</f>
        <v>-2900</v>
      </c>
      <c r="S108" s="338">
        <v>0</v>
      </c>
      <c r="T108" s="423">
        <v>0</v>
      </c>
      <c r="U108" s="341"/>
      <c r="V108" s="423">
        <v>0</v>
      </c>
      <c r="W108" s="423">
        <v>0</v>
      </c>
      <c r="X108" s="423">
        <v>0</v>
      </c>
      <c r="Y108" s="423"/>
      <c r="Z108" s="264">
        <v>-1450</v>
      </c>
      <c r="AA108" s="423"/>
      <c r="AB108" s="273">
        <f>SUM('OPX_BN-1'!$T108:$AA108)</f>
        <v>-1450</v>
      </c>
      <c r="AC108" s="426"/>
      <c r="AD108" s="426"/>
      <c r="AE108" s="417">
        <v>0</v>
      </c>
      <c r="AF108" s="417">
        <v>0</v>
      </c>
      <c r="AG108" s="417">
        <v>0</v>
      </c>
      <c r="AH108" s="417">
        <v>0</v>
      </c>
      <c r="AI108" s="417">
        <v>0</v>
      </c>
      <c r="AJ108" s="271">
        <f>SUM('OPX_BN-1'!$AC108:$AI108)</f>
        <v>0</v>
      </c>
      <c r="AK108" s="429">
        <v>0</v>
      </c>
      <c r="AL108" s="276">
        <f>SUM('OPX_BN-1'!$J108,'OPX_BN-1'!$AB108,'OPX_BN-1'!$S108,'OPX_BN-1'!$AJ108,'OPX_BN-1'!$R108,'OPX_BN-1'!$AK108)</f>
        <v>-19140</v>
      </c>
      <c r="AM108" s="427">
        <v>0</v>
      </c>
    </row>
    <row r="109" spans="1:39" ht="15">
      <c r="A109" s="329" t="s">
        <v>228</v>
      </c>
      <c r="B109" s="327" t="str">
        <f>VLOOKUP('OPX_BN-1'!$A109,Tableau106[],3,FALSE)</f>
        <v>F159</v>
      </c>
      <c r="C109" s="327" t="str">
        <f>VLOOKUP('OPX_BN-1'!$A109,Tableau106[],2,FALSE)</f>
        <v>FR02E13E</v>
      </c>
      <c r="D109" s="327" t="str">
        <f>VLOOKUP('OPX_BN-1'!$A109,Tableau106[],8,FALSE)</f>
        <v>EOLIEN</v>
      </c>
      <c r="E109" s="328">
        <f>VLOOKUP('OPX_BN-1'!$A109,Tableau106[],4,FALSE)</f>
        <v>12.8</v>
      </c>
      <c r="F109" s="327" t="str">
        <f>VLOOKUP('OPX_BN-1'!$A109,Tableau106[],5,FALSE)</f>
        <v>MAZU</v>
      </c>
      <c r="G109" s="327" t="str">
        <f>VLOOKUP('OPX_BN-1'!$A109,Tableau106[],7,FALSE)</f>
        <v>FUTUREN</v>
      </c>
      <c r="H109" s="327" t="str">
        <f>VLOOKUP('OPX_BN-1'!$A109,Tableau106[],6,FALSE)</f>
        <v>N</v>
      </c>
      <c r="I109" s="327" t="str">
        <f>VLOOKUP('OPX_BN-1'!$A109,Tableau106[],9,FALSE)</f>
        <v>NiD</v>
      </c>
      <c r="J109" s="160">
        <v>-9781.5590551181085</v>
      </c>
      <c r="K109" s="489">
        <v>-7900</v>
      </c>
      <c r="L109" s="490">
        <v>0</v>
      </c>
      <c r="M109" s="229">
        <v>0</v>
      </c>
      <c r="N109" s="229">
        <v>0</v>
      </c>
      <c r="O109" s="229">
        <v>0</v>
      </c>
      <c r="P109" s="229">
        <v>0</v>
      </c>
      <c r="Q109" s="230">
        <v>-6400</v>
      </c>
      <c r="R109" s="274">
        <f>SUM('OPX_BN-1'!$K109:$Q109)</f>
        <v>-14300</v>
      </c>
      <c r="S109" s="338">
        <v>-203328.29398800002</v>
      </c>
      <c r="T109" s="423">
        <v>-5000</v>
      </c>
      <c r="U109" s="341"/>
      <c r="V109" s="423">
        <v>-1400</v>
      </c>
      <c r="W109" s="423">
        <v>-6932</v>
      </c>
      <c r="X109" s="423">
        <v>0</v>
      </c>
      <c r="Y109" s="423"/>
      <c r="Z109" s="264">
        <v>-6400</v>
      </c>
      <c r="AA109" s="423"/>
      <c r="AB109" s="273">
        <f>SUM('OPX_BN-1'!$T109:$AA109)</f>
        <v>-19732</v>
      </c>
      <c r="AC109" s="426"/>
      <c r="AD109" s="426"/>
      <c r="AE109" s="417">
        <v>-10000</v>
      </c>
      <c r="AF109" s="417">
        <v>0</v>
      </c>
      <c r="AG109" s="417">
        <v>-15000</v>
      </c>
      <c r="AH109" s="417">
        <v>0</v>
      </c>
      <c r="AI109" s="417">
        <v>0</v>
      </c>
      <c r="AJ109" s="271">
        <f>SUM('OPX_BN-1'!$AC109:$AI109)</f>
        <v>-25000</v>
      </c>
      <c r="AK109" s="429">
        <v>0</v>
      </c>
      <c r="AL109" s="276">
        <f>SUM('OPX_BN-1'!$J109,'OPX_BN-1'!$AB109,'OPX_BN-1'!$S109,'OPX_BN-1'!$AJ109,'OPX_BN-1'!$R109,'OPX_BN-1'!$AK109)</f>
        <v>-272141.85304311814</v>
      </c>
      <c r="AM109" s="427">
        <v>0</v>
      </c>
    </row>
    <row r="110" spans="1:39" ht="15">
      <c r="A110" s="329" t="s">
        <v>531</v>
      </c>
      <c r="B110" s="327" t="str">
        <f>VLOOKUP('OPX_BN-1'!$A110,Tableau106[],3,FALSE)</f>
        <v>A432</v>
      </c>
      <c r="C110" s="327" t="str">
        <f>VLOOKUP('OPX_BN-1'!$A110,Tableau106[],2,FALSE)</f>
        <v>FR07E97E</v>
      </c>
      <c r="D110" s="327" t="str">
        <f>VLOOKUP('OPX_BN-1'!$A110,Tableau106[],8,FALSE)</f>
        <v>EOLIEN</v>
      </c>
      <c r="E110" s="328">
        <f>VLOOKUP('OPX_BN-1'!$A110,Tableau106[],4,FALSE)</f>
        <v>56.4</v>
      </c>
      <c r="F110" s="327" t="str">
        <f>VLOOKUP('OPX_BN-1'!$A110,Tableau106[],5,FALSE)</f>
        <v>MTAR</v>
      </c>
      <c r="G110" s="327" t="str">
        <f>VLOOKUP('OPX_BN-1'!$A110,Tableau106[],7,FALSE)</f>
        <v>GROUPE</v>
      </c>
      <c r="H110" s="327" t="str">
        <f>VLOOKUP('OPX_BN-1'!$A110,Tableau106[],6,FALSE)</f>
        <v>S</v>
      </c>
      <c r="I110" s="327" t="str">
        <f>VLOOKUP('OPX_BN-1'!$A110,Tableau106[],9,FALSE)</f>
        <v>StE</v>
      </c>
      <c r="J110" s="160">
        <v>-96708.24</v>
      </c>
      <c r="K110" s="489">
        <v>-30675</v>
      </c>
      <c r="L110" s="490">
        <v>0</v>
      </c>
      <c r="M110" s="229">
        <v>0</v>
      </c>
      <c r="N110" s="229">
        <v>0</v>
      </c>
      <c r="O110" s="229">
        <v>-5000</v>
      </c>
      <c r="P110" s="229">
        <v>-21472.5</v>
      </c>
      <c r="Q110" s="230">
        <v>-30675</v>
      </c>
      <c r="R110" s="274">
        <f>SUM('OPX_BN-1'!$K110:$Q110)</f>
        <v>-87822.5</v>
      </c>
      <c r="S110" s="338">
        <v>-519881.56589999999</v>
      </c>
      <c r="T110" s="423">
        <v>0</v>
      </c>
      <c r="U110" s="341"/>
      <c r="V110" s="423">
        <v>-15000</v>
      </c>
      <c r="W110" s="423">
        <v>-24000</v>
      </c>
      <c r="X110" s="423">
        <v>-4000</v>
      </c>
      <c r="Y110" s="423"/>
      <c r="Z110" s="264">
        <v>-102675</v>
      </c>
      <c r="AA110" s="423"/>
      <c r="AB110" s="273">
        <f>SUM('OPX_BN-1'!$T110:$AA110)</f>
        <v>-145675</v>
      </c>
      <c r="AC110" s="426"/>
      <c r="AD110" s="426"/>
      <c r="AE110" s="417">
        <v>0</v>
      </c>
      <c r="AF110" s="417">
        <v>0</v>
      </c>
      <c r="AG110" s="417">
        <v>0</v>
      </c>
      <c r="AH110" s="417">
        <v>0</v>
      </c>
      <c r="AI110" s="417">
        <v>-5000</v>
      </c>
      <c r="AJ110" s="271">
        <f>SUM('OPX_BN-1'!$AC110:$AI110)</f>
        <v>-5000</v>
      </c>
      <c r="AK110" s="429">
        <v>0</v>
      </c>
      <c r="AL110" s="276">
        <f>SUM('OPX_BN-1'!$J110,'OPX_BN-1'!$AB110,'OPX_BN-1'!$S110,'OPX_BN-1'!$AJ110,'OPX_BN-1'!$R110,'OPX_BN-1'!$AK110)</f>
        <v>-855087.30590000004</v>
      </c>
      <c r="AM110" s="427">
        <v>0</v>
      </c>
    </row>
    <row r="111" spans="1:39" ht="15">
      <c r="A111" s="329" t="s">
        <v>543</v>
      </c>
      <c r="B111" s="327" t="str">
        <f>VLOOKUP('OPX_BN-1'!$A111,Tableau106[],3,FALSE)</f>
        <v>A902</v>
      </c>
      <c r="C111" s="327" t="str">
        <f>VLOOKUP('OPX_BN-1'!$A111,Tableau106[],2,FALSE)</f>
        <v>FR17S01E</v>
      </c>
      <c r="D111" s="327" t="str">
        <f>VLOOKUP('OPX_BN-1'!$A111,Tableau106[],8,FALSE)</f>
        <v>SOLAIRE</v>
      </c>
      <c r="E111" s="328">
        <f>VLOOKUP('OPX_BN-1'!$A111,Tableau106[],4,FALSE)</f>
        <v>5.5</v>
      </c>
      <c r="F111" s="327" t="str">
        <f>VLOOKUP('OPX_BN-1'!$A111,Tableau106[],5,FALSE)</f>
        <v>MDR1</v>
      </c>
      <c r="G111" s="327" t="str">
        <f>VLOOKUP('OPX_BN-1'!$A111,Tableau106[],7,FALSE)</f>
        <v>GROUPE</v>
      </c>
      <c r="H111" s="327" t="str">
        <f>VLOOKUP('OPX_BN-1'!$A111,Tableau106[],6,FALSE)</f>
        <v>N</v>
      </c>
      <c r="I111" s="327" t="str">
        <f>VLOOKUP('OPX_BN-1'!$A111,Tableau106[],9,FALSE)</f>
        <v>BaA</v>
      </c>
      <c r="J111" s="160">
        <v>-177886.50010192962</v>
      </c>
      <c r="K111" s="489">
        <v>-15750</v>
      </c>
      <c r="L111" s="490">
        <v>0</v>
      </c>
      <c r="M111" s="229">
        <v>0</v>
      </c>
      <c r="N111" s="229">
        <v>0</v>
      </c>
      <c r="O111" s="229">
        <v>0</v>
      </c>
      <c r="P111" s="229">
        <v>0</v>
      </c>
      <c r="Q111" s="230">
        <v>-3000</v>
      </c>
      <c r="R111" s="274">
        <f>SUM('OPX_BN-1'!$K111:$Q111)</f>
        <v>-18750</v>
      </c>
      <c r="S111" s="338">
        <v>0</v>
      </c>
      <c r="T111" s="423">
        <v>0</v>
      </c>
      <c r="U111" s="341"/>
      <c r="V111" s="423">
        <v>0</v>
      </c>
      <c r="W111" s="423">
        <v>0</v>
      </c>
      <c r="X111" s="423">
        <v>0</v>
      </c>
      <c r="Y111" s="423"/>
      <c r="Z111" s="264">
        <v>-3000</v>
      </c>
      <c r="AA111" s="423"/>
      <c r="AB111" s="273">
        <f>SUM('OPX_BN-1'!$T111:$AA111)</f>
        <v>-3000</v>
      </c>
      <c r="AC111" s="426"/>
      <c r="AD111" s="426"/>
      <c r="AE111" s="417">
        <v>0</v>
      </c>
      <c r="AF111" s="417">
        <v>0</v>
      </c>
      <c r="AG111" s="417">
        <v>0</v>
      </c>
      <c r="AH111" s="417">
        <v>0</v>
      </c>
      <c r="AI111" s="417">
        <v>0</v>
      </c>
      <c r="AJ111" s="271">
        <f>SUM('OPX_BN-1'!$AC111:$AI111)</f>
        <v>0</v>
      </c>
      <c r="AK111" s="429">
        <v>0</v>
      </c>
      <c r="AL111" s="276">
        <f>SUM('OPX_BN-1'!$J111,'OPX_BN-1'!$AB111,'OPX_BN-1'!$S111,'OPX_BN-1'!$AJ111,'OPX_BN-1'!$R111,'OPX_BN-1'!$AK111)</f>
        <v>-199636.50010192962</v>
      </c>
      <c r="AM111" s="427">
        <v>0</v>
      </c>
    </row>
    <row r="112" spans="1:39" ht="15">
      <c r="A112" s="329" t="s">
        <v>513</v>
      </c>
      <c r="B112" s="327" t="str">
        <f>VLOOKUP('OPX_BN-1'!$A112,Tableau106[],3,FALSE)</f>
        <v>A540</v>
      </c>
      <c r="C112" s="327" t="str">
        <f>VLOOKUP('OPX_BN-1'!$A112,Tableau106[],2,FALSE)</f>
        <v>FR15E03E</v>
      </c>
      <c r="D112" s="327" t="str">
        <f>VLOOKUP('OPX_BN-1'!$A112,Tableau106[],8,FALSE)</f>
        <v>EOLIEN</v>
      </c>
      <c r="E112" s="328">
        <f>VLOOKUP('OPX_BN-1'!$A112,Tableau106[],4,FALSE)</f>
        <v>12</v>
      </c>
      <c r="F112" s="327" t="str">
        <f>VLOOKUP('OPX_BN-1'!$A112,Tableau106[],5,FALSE)</f>
        <v>MTL1</v>
      </c>
      <c r="G112" s="327" t="str">
        <f>VLOOKUP('OPX_BN-1'!$A112,Tableau106[],7,FALSE)</f>
        <v>EGM</v>
      </c>
      <c r="H112" s="327" t="str">
        <f>VLOOKUP('OPX_BN-1'!$A112,Tableau106[],6,FALSE)</f>
        <v>S</v>
      </c>
      <c r="I112" s="327" t="str">
        <f>VLOOKUP('OPX_BN-1'!$A112,Tableau106[],9,FALSE)</f>
        <v>AuE</v>
      </c>
      <c r="J112" s="160">
        <v>-308014.31530515221</v>
      </c>
      <c r="K112" s="489">
        <v>-6000</v>
      </c>
      <c r="L112" s="490">
        <v>-39682.539682539682</v>
      </c>
      <c r="M112" s="229">
        <v>0</v>
      </c>
      <c r="N112" s="229">
        <v>0</v>
      </c>
      <c r="O112" s="229">
        <v>0</v>
      </c>
      <c r="P112" s="229">
        <v>-4200</v>
      </c>
      <c r="Q112" s="230">
        <v>-6000</v>
      </c>
      <c r="R112" s="274">
        <f>SUM('OPX_BN-1'!$K112:$Q112)</f>
        <v>-55882.539682539682</v>
      </c>
      <c r="S112" s="338">
        <v>0</v>
      </c>
      <c r="T112" s="423">
        <v>0</v>
      </c>
      <c r="U112" s="341"/>
      <c r="V112" s="423">
        <v>-4000</v>
      </c>
      <c r="W112" s="423">
        <v>0</v>
      </c>
      <c r="X112" s="423">
        <v>0</v>
      </c>
      <c r="Y112" s="423"/>
      <c r="Z112" s="264">
        <v>-6000</v>
      </c>
      <c r="AA112" s="423"/>
      <c r="AB112" s="273">
        <f>SUM('OPX_BN-1'!$T112:$AA112)</f>
        <v>-10000</v>
      </c>
      <c r="AC112" s="426"/>
      <c r="AD112" s="426"/>
      <c r="AE112" s="417">
        <v>0</v>
      </c>
      <c r="AF112" s="417">
        <v>0</v>
      </c>
      <c r="AG112" s="417">
        <v>-20000</v>
      </c>
      <c r="AH112" s="417">
        <v>-30000</v>
      </c>
      <c r="AI112" s="417">
        <v>-38000</v>
      </c>
      <c r="AJ112" s="271">
        <f>SUM('OPX_BN-1'!$AC112:$AI112)</f>
        <v>-88000</v>
      </c>
      <c r="AK112" s="429">
        <v>0</v>
      </c>
      <c r="AL112" s="276">
        <f>SUM('OPX_BN-1'!$J112,'OPX_BN-1'!$AB112,'OPX_BN-1'!$S112,'OPX_BN-1'!$AJ112,'OPX_BN-1'!$R112,'OPX_BN-1'!$AK112)</f>
        <v>-461896.85498769191</v>
      </c>
      <c r="AM112" s="427">
        <v>0</v>
      </c>
    </row>
    <row r="113" spans="1:39" ht="15">
      <c r="A113" s="329" t="s">
        <v>236</v>
      </c>
      <c r="B113" s="327" t="str">
        <f>VLOOKUP('OPX_BN-1'!$A113,Tableau106[],3,FALSE)</f>
        <v>F140</v>
      </c>
      <c r="C113" s="327" t="str">
        <f>VLOOKUP('OPX_BN-1'!$A113,Tableau106[],2,FALSE)</f>
        <v>FR57E06E</v>
      </c>
      <c r="D113" s="327" t="str">
        <f>VLOOKUP('OPX_BN-1'!$A113,Tableau106[],8,FALSE)</f>
        <v>EOLIEN</v>
      </c>
      <c r="E113" s="328">
        <f>VLOOKUP('OPX_BN-1'!$A113,Tableau106[],4,FALSE)</f>
        <v>15.4</v>
      </c>
      <c r="F113" s="327" t="str">
        <f>VLOOKUP('OPX_BN-1'!$A113,Tableau106[],5,FALSE)</f>
        <v>MOTT</v>
      </c>
      <c r="G113" s="327" t="str">
        <f>VLOOKUP('OPX_BN-1'!$A113,Tableau106[],7,FALSE)</f>
        <v>FUTUREN</v>
      </c>
      <c r="H113" s="327" t="str">
        <f>VLOOKUP('OPX_BN-1'!$A113,Tableau106[],6,FALSE)</f>
        <v>N</v>
      </c>
      <c r="I113" s="327" t="str">
        <f>VLOOKUP('OPX_BN-1'!$A113,Tableau106[],9,FALSE)</f>
        <v>NiL</v>
      </c>
      <c r="J113" s="160">
        <v>-12331.971874015746</v>
      </c>
      <c r="K113" s="489">
        <v>-7700</v>
      </c>
      <c r="L113" s="490">
        <v>0</v>
      </c>
      <c r="M113" s="229">
        <v>0</v>
      </c>
      <c r="N113" s="229">
        <v>0</v>
      </c>
      <c r="O113" s="229">
        <v>0</v>
      </c>
      <c r="P113" s="229">
        <v>0</v>
      </c>
      <c r="Q113" s="230">
        <v>-7700</v>
      </c>
      <c r="R113" s="274">
        <f>SUM('OPX_BN-1'!$K113:$Q113)</f>
        <v>-15400</v>
      </c>
      <c r="S113" s="338">
        <v>-289344.02</v>
      </c>
      <c r="T113" s="423">
        <v>0</v>
      </c>
      <c r="U113" s="341"/>
      <c r="V113" s="423">
        <v>-2000</v>
      </c>
      <c r="W113" s="423">
        <v>0</v>
      </c>
      <c r="X113" s="423">
        <v>0</v>
      </c>
      <c r="Y113" s="423"/>
      <c r="Z113" s="264">
        <v>-7700</v>
      </c>
      <c r="AA113" s="423"/>
      <c r="AB113" s="273">
        <f>SUM('OPX_BN-1'!$T113:$AA113)</f>
        <v>-9700</v>
      </c>
      <c r="AC113" s="426"/>
      <c r="AD113" s="426"/>
      <c r="AE113" s="417">
        <v>0</v>
      </c>
      <c r="AF113" s="417">
        <v>0</v>
      </c>
      <c r="AG113" s="417">
        <v>0</v>
      </c>
      <c r="AH113" s="417">
        <v>0</v>
      </c>
      <c r="AI113" s="417">
        <v>0</v>
      </c>
      <c r="AJ113" s="271">
        <f>SUM('OPX_BN-1'!$AC113:$AI113)</f>
        <v>0</v>
      </c>
      <c r="AK113" s="429">
        <v>0</v>
      </c>
      <c r="AL113" s="276">
        <f>SUM('OPX_BN-1'!$J113,'OPX_BN-1'!$AB113,'OPX_BN-1'!$S113,'OPX_BN-1'!$AJ113,'OPX_BN-1'!$R113,'OPX_BN-1'!$AK113)</f>
        <v>-326775.99187401577</v>
      </c>
      <c r="AM113" s="427">
        <v>0</v>
      </c>
    </row>
    <row r="114" spans="1:39" ht="15">
      <c r="A114" s="329" t="s">
        <v>238</v>
      </c>
      <c r="B114" s="327" t="str">
        <f>VLOOKUP('OPX_BN-1'!$A114,Tableau106[],3,FALSE)</f>
        <v>F036</v>
      </c>
      <c r="C114" s="327" t="str">
        <f>VLOOKUP('OPX_BN-1'!$A114,Tableau106[],2,FALSE)</f>
        <v>FR80E95E</v>
      </c>
      <c r="D114" s="327" t="str">
        <f>VLOOKUP('OPX_BN-1'!$A114,Tableau106[],8,FALSE)</f>
        <v>EOLIEN</v>
      </c>
      <c r="E114" s="328">
        <f>VLOOKUP('OPX_BN-1'!$A114,Tableau106[],4,FALSE)</f>
        <v>12</v>
      </c>
      <c r="F114" s="327" t="str">
        <f>VLOOKUP('OPX_BN-1'!$A114,Tableau106[],5,FALSE)</f>
        <v>MODF</v>
      </c>
      <c r="G114" s="327" t="str">
        <f>VLOOKUP('OPX_BN-1'!$A114,Tableau106[],7,FALSE)</f>
        <v>FUTUREN</v>
      </c>
      <c r="H114" s="327" t="str">
        <f>VLOOKUP('OPX_BN-1'!$A114,Tableau106[],6,FALSE)</f>
        <v>N</v>
      </c>
      <c r="I114" s="327" t="str">
        <f>VLOOKUP('OPX_BN-1'!$A114,Tableau106[],9,FALSE)</f>
        <v>NiD</v>
      </c>
      <c r="J114" s="160">
        <v>-9678.5952755905491</v>
      </c>
      <c r="K114" s="489">
        <v>-6000</v>
      </c>
      <c r="L114" s="490">
        <v>0</v>
      </c>
      <c r="M114" s="229">
        <v>0</v>
      </c>
      <c r="N114" s="229">
        <v>0</v>
      </c>
      <c r="O114" s="229">
        <v>0</v>
      </c>
      <c r="P114" s="229">
        <v>0</v>
      </c>
      <c r="Q114" s="230">
        <v>-6000</v>
      </c>
      <c r="R114" s="274">
        <f>SUM('OPX_BN-1'!$K114:$Q114)</f>
        <v>-12000</v>
      </c>
      <c r="S114" s="338">
        <v>-377345.52970000001</v>
      </c>
      <c r="T114" s="423">
        <v>0</v>
      </c>
      <c r="U114" s="341"/>
      <c r="V114" s="423">
        <v>-2000</v>
      </c>
      <c r="W114" s="423">
        <v>0</v>
      </c>
      <c r="X114" s="423">
        <v>0</v>
      </c>
      <c r="Y114" s="423"/>
      <c r="Z114" s="264">
        <v>-6000</v>
      </c>
      <c r="AA114" s="423"/>
      <c r="AB114" s="273">
        <f>SUM('OPX_BN-1'!$T114:$AA114)</f>
        <v>-8000</v>
      </c>
      <c r="AC114" s="426"/>
      <c r="AD114" s="426"/>
      <c r="AE114" s="417">
        <v>0</v>
      </c>
      <c r="AF114" s="417">
        <v>0</v>
      </c>
      <c r="AG114" s="417">
        <v>0</v>
      </c>
      <c r="AH114" s="417">
        <v>0</v>
      </c>
      <c r="AI114" s="417">
        <v>0</v>
      </c>
      <c r="AJ114" s="271">
        <f>SUM('OPX_BN-1'!$AC114:$AI114)</f>
        <v>0</v>
      </c>
      <c r="AK114" s="429">
        <v>0</v>
      </c>
      <c r="AL114" s="276">
        <f>SUM('OPX_BN-1'!$J114,'OPX_BN-1'!$AB114,'OPX_BN-1'!$S114,'OPX_BN-1'!$AJ114,'OPX_BN-1'!$R114,'OPX_BN-1'!$AK114)</f>
        <v>-407024.12497559056</v>
      </c>
      <c r="AM114" s="427">
        <v>0</v>
      </c>
    </row>
    <row r="115" spans="1:39" ht="15">
      <c r="A115" s="329" t="s">
        <v>240</v>
      </c>
      <c r="B115" s="327" t="str">
        <f>VLOOKUP('OPX_BN-1'!$A115,Tableau106[],3,FALSE)</f>
        <v>F208</v>
      </c>
      <c r="C115" s="327" t="str">
        <f>VLOOKUP('OPX_BN-1'!$A115,Tableau106[],2,FALSE)</f>
        <v>FR17E05E</v>
      </c>
      <c r="D115" s="327" t="str">
        <f>VLOOKUP('OPX_BN-1'!$A115,Tableau106[],8,FALSE)</f>
        <v>EOLIEN</v>
      </c>
      <c r="E115" s="328">
        <f>VLOOKUP('OPX_BN-1'!$A115,Tableau106[],4,FALSE)</f>
        <v>21</v>
      </c>
      <c r="F115" s="327" t="str">
        <f>VLOOKUP('OPX_BN-1'!$A115,Tableau106[],5,FALSE)</f>
        <v>NAC1, NAC2</v>
      </c>
      <c r="G115" s="327" t="str">
        <f>VLOOKUP('OPX_BN-1'!$A115,Tableau106[],7,FALSE)</f>
        <v>FUTUREN</v>
      </c>
      <c r="H115" s="327" t="str">
        <f>VLOOKUP('OPX_BN-1'!$A115,Tableau106[],6,FALSE)</f>
        <v>S</v>
      </c>
      <c r="I115" s="327" t="str">
        <f>VLOOKUP('OPX_BN-1'!$A115,Tableau106[],9,FALSE)</f>
        <v>NoS</v>
      </c>
      <c r="J115" s="160">
        <v>0</v>
      </c>
      <c r="K115" s="489">
        <v>-10500</v>
      </c>
      <c r="L115" s="490">
        <v>0</v>
      </c>
      <c r="M115" s="229">
        <v>0</v>
      </c>
      <c r="N115" s="229">
        <v>0</v>
      </c>
      <c r="O115" s="229">
        <v>0</v>
      </c>
      <c r="P115" s="229">
        <v>0</v>
      </c>
      <c r="Q115" s="230">
        <v>-10500</v>
      </c>
      <c r="R115" s="274">
        <f>SUM('OPX_BN-1'!$K115:$Q115)</f>
        <v>-21000</v>
      </c>
      <c r="S115" s="338">
        <v>-418178.46639999998</v>
      </c>
      <c r="T115" s="423">
        <v>-2000</v>
      </c>
      <c r="U115" s="341"/>
      <c r="V115" s="423">
        <v>-3826.5</v>
      </c>
      <c r="W115" s="423">
        <v>-12131</v>
      </c>
      <c r="X115" s="423">
        <v>0</v>
      </c>
      <c r="Y115" s="423"/>
      <c r="Z115" s="264">
        <v>-10500</v>
      </c>
      <c r="AA115" s="423"/>
      <c r="AB115" s="273">
        <f>SUM('OPX_BN-1'!$T115:$AA115)</f>
        <v>-28457.5</v>
      </c>
      <c r="AC115" s="426"/>
      <c r="AD115" s="426"/>
      <c r="AE115" s="417">
        <v>0</v>
      </c>
      <c r="AF115" s="417">
        <v>0</v>
      </c>
      <c r="AG115" s="417">
        <v>0</v>
      </c>
      <c r="AH115" s="417">
        <v>0</v>
      </c>
      <c r="AI115" s="417">
        <v>-20000</v>
      </c>
      <c r="AJ115" s="271">
        <f>SUM('OPX_BN-1'!$AC115:$AI115)</f>
        <v>-20000</v>
      </c>
      <c r="AK115" s="429">
        <v>0</v>
      </c>
      <c r="AL115" s="276">
        <f>SUM('OPX_BN-1'!$J115,'OPX_BN-1'!$AB115,'OPX_BN-1'!$S115,'OPX_BN-1'!$AJ115,'OPX_BN-1'!$R115,'OPX_BN-1'!$AK115)</f>
        <v>-487635.96639999998</v>
      </c>
      <c r="AM115" s="427">
        <v>0</v>
      </c>
    </row>
    <row r="116" spans="1:39" ht="15">
      <c r="A116" s="329" t="s">
        <v>548</v>
      </c>
      <c r="B116" s="327" t="str">
        <f>VLOOKUP('OPX_BN-1'!$A116,Tableau106[],3,FALSE)</f>
        <v>A119</v>
      </c>
      <c r="C116" s="327" t="str">
        <f>VLOOKUP('OPX_BN-1'!$A116,Tableau106[],2,FALSE)</f>
        <v>FR11S97E</v>
      </c>
      <c r="D116" s="327" t="str">
        <f>VLOOKUP('OPX_BN-1'!$A116,Tableau106[],8,FALSE)</f>
        <v>SOLAIRE</v>
      </c>
      <c r="E116" s="328">
        <f>VLOOKUP('OPX_BN-1'!$A116,Tableau106[],4,FALSE)</f>
        <v>7</v>
      </c>
      <c r="F116" s="327" t="str">
        <f>VLOOKUP('OPX_BN-1'!$A116,Tableau106[],5,FALSE)</f>
        <v>NARB</v>
      </c>
      <c r="G116" s="327" t="str">
        <f>VLOOKUP('OPX_BN-1'!$A116,Tableau106[],7,FALSE)</f>
        <v>GROUPE</v>
      </c>
      <c r="H116" s="327" t="str">
        <f>VLOOKUP('OPX_BN-1'!$A116,Tableau106[],6,FALSE)</f>
        <v>S</v>
      </c>
      <c r="I116" s="327" t="str">
        <f>VLOOKUP('OPX_BN-1'!$A116,Tableau106[],9,FALSE)</f>
        <v>BaA</v>
      </c>
      <c r="J116" s="160">
        <v>-327031.02269756218</v>
      </c>
      <c r="K116" s="489">
        <v>-3500</v>
      </c>
      <c r="L116" s="490">
        <v>0</v>
      </c>
      <c r="M116" s="229">
        <v>0</v>
      </c>
      <c r="N116" s="229">
        <v>0</v>
      </c>
      <c r="O116" s="229">
        <v>0</v>
      </c>
      <c r="P116" s="229">
        <v>0</v>
      </c>
      <c r="Q116" s="230">
        <v>-3500</v>
      </c>
      <c r="R116" s="274">
        <f>SUM('OPX_BN-1'!$K116:$Q116)</f>
        <v>-7000</v>
      </c>
      <c r="S116" s="338">
        <v>0</v>
      </c>
      <c r="T116" s="423">
        <v>0</v>
      </c>
      <c r="U116" s="341"/>
      <c r="V116" s="423">
        <v>-20000</v>
      </c>
      <c r="W116" s="423">
        <v>0</v>
      </c>
      <c r="X116" s="423">
        <v>0</v>
      </c>
      <c r="Y116" s="423"/>
      <c r="Z116" s="264">
        <v>-3500</v>
      </c>
      <c r="AA116" s="423"/>
      <c r="AB116" s="273">
        <f>SUM('OPX_BN-1'!$T116:$AA116)</f>
        <v>-23500</v>
      </c>
      <c r="AC116" s="426"/>
      <c r="AD116" s="426"/>
      <c r="AE116" s="417">
        <v>0</v>
      </c>
      <c r="AF116" s="417">
        <v>0</v>
      </c>
      <c r="AG116" s="417">
        <v>0</v>
      </c>
      <c r="AH116" s="417">
        <v>0</v>
      </c>
      <c r="AI116" s="417">
        <v>0</v>
      </c>
      <c r="AJ116" s="271">
        <f>SUM('OPX_BN-1'!$AC116:$AI116)</f>
        <v>0</v>
      </c>
      <c r="AK116" s="429">
        <v>-9500</v>
      </c>
      <c r="AL116" s="276">
        <f>SUM('OPX_BN-1'!$J116,'OPX_BN-1'!$AB116,'OPX_BN-1'!$S116,'OPX_BN-1'!$AJ116,'OPX_BN-1'!$R116,'OPX_BN-1'!$AK116)</f>
        <v>-367031.02269756218</v>
      </c>
      <c r="AM116" s="427">
        <v>0</v>
      </c>
    </row>
    <row r="117" spans="1:39" ht="15">
      <c r="A117" s="329" t="s">
        <v>478</v>
      </c>
      <c r="B117" s="327" t="str">
        <f>VLOOKUP('OPX_BN-1'!$A117,Tableau106[],3,FALSE)</f>
        <v>A530</v>
      </c>
      <c r="C117" s="327" t="str">
        <f>VLOOKUP('OPX_BN-1'!$A117,Tableau106[],2,FALSE)</f>
        <v>FR57E02E</v>
      </c>
      <c r="D117" s="327" t="str">
        <f>VLOOKUP('OPX_BN-1'!$A117,Tableau106[],8,FALSE)</f>
        <v>EOLIEN</v>
      </c>
      <c r="E117" s="328">
        <f>VLOOKUP('OPX_BN-1'!$A117,Tableau106[],4,FALSE)</f>
        <v>12</v>
      </c>
      <c r="F117" s="327" t="str">
        <f>VLOOKUP('OPX_BN-1'!$A117,Tableau106[],5,FALSE)</f>
        <v>NIED</v>
      </c>
      <c r="G117" s="327" t="str">
        <f>VLOOKUP('OPX_BN-1'!$A117,Tableau106[],7,FALSE)</f>
        <v>GROUPE</v>
      </c>
      <c r="H117" s="327" t="str">
        <f>VLOOKUP('OPX_BN-1'!$A117,Tableau106[],6,FALSE)</f>
        <v>N</v>
      </c>
      <c r="I117" s="327" t="str">
        <f>VLOOKUP('OPX_BN-1'!$A117,Tableau106[],9,FALSE)</f>
        <v>HuB</v>
      </c>
      <c r="J117" s="160">
        <v>-12626.246851385387</v>
      </c>
      <c r="K117" s="489">
        <v>-20000</v>
      </c>
      <c r="L117" s="490">
        <v>0</v>
      </c>
      <c r="M117" s="229">
        <v>0</v>
      </c>
      <c r="N117" s="229">
        <v>0</v>
      </c>
      <c r="O117" s="229">
        <v>0</v>
      </c>
      <c r="P117" s="229">
        <v>-4200</v>
      </c>
      <c r="Q117" s="230">
        <v>-6000</v>
      </c>
      <c r="R117" s="274">
        <f>SUM('OPX_BN-1'!$K117:$Q117)</f>
        <v>-30200</v>
      </c>
      <c r="S117" s="338">
        <v>-363257.591312</v>
      </c>
      <c r="T117" s="423">
        <v>-2600</v>
      </c>
      <c r="U117" s="341"/>
      <c r="V117" s="423">
        <v>-800</v>
      </c>
      <c r="W117" s="423">
        <v>0</v>
      </c>
      <c r="X117" s="423">
        <v>0</v>
      </c>
      <c r="Y117" s="423"/>
      <c r="Z117" s="264">
        <v>-6000</v>
      </c>
      <c r="AA117" s="423"/>
      <c r="AB117" s="273">
        <f>SUM('OPX_BN-1'!$T117:$AA117)</f>
        <v>-9400</v>
      </c>
      <c r="AC117" s="426"/>
      <c r="AD117" s="426"/>
      <c r="AE117" s="417">
        <v>-8000</v>
      </c>
      <c r="AF117" s="417">
        <v>0</v>
      </c>
      <c r="AG117" s="417">
        <v>0</v>
      </c>
      <c r="AH117" s="417">
        <v>0</v>
      </c>
      <c r="AI117" s="417">
        <v>0</v>
      </c>
      <c r="AJ117" s="271">
        <f>SUM('OPX_BN-1'!$AC117:$AI117)</f>
        <v>-8000</v>
      </c>
      <c r="AK117" s="429">
        <v>0</v>
      </c>
      <c r="AL117" s="276">
        <f>SUM('OPX_BN-1'!$J117,'OPX_BN-1'!$AB117,'OPX_BN-1'!$S117,'OPX_BN-1'!$AJ117,'OPX_BN-1'!$R117,'OPX_BN-1'!$AK117)</f>
        <v>-423483.8381633854</v>
      </c>
      <c r="AM117" s="427">
        <v>0</v>
      </c>
    </row>
    <row r="118" spans="1:39" ht="15">
      <c r="A118" s="329" t="s">
        <v>403</v>
      </c>
      <c r="B118" s="327" t="str">
        <f>VLOOKUP('OPX_BN-1'!$A118,Tableau106[],3,FALSE)</f>
        <v>A258</v>
      </c>
      <c r="C118" s="327" t="str">
        <f>VLOOKUP('OPX_BN-1'!$A118,Tableau106[],2,FALSE)</f>
        <v>FR01S04E</v>
      </c>
      <c r="D118" s="327" t="str">
        <f>VLOOKUP('OPX_BN-1'!$A118,Tableau106[],8,FALSE)</f>
        <v>SOLAIRE</v>
      </c>
      <c r="E118" s="328">
        <f>VLOOKUP('OPX_BN-1'!$A118,Tableau106[],4,FALSE)</f>
        <v>13.4</v>
      </c>
      <c r="F118" s="327" t="str">
        <f>VLOOKUP('OPX_BN-1'!$A118,Tableau106[],5,FALSE)</f>
        <v>NIEV</v>
      </c>
      <c r="G118" s="327" t="str">
        <f>VLOOKUP('OPX_BN-1'!$A118,Tableau106[],7,FALSE)</f>
        <v>GROUPE</v>
      </c>
      <c r="H118" s="327" t="str">
        <f>VLOOKUP('OPX_BN-1'!$A118,Tableau106[],6,FALSE)</f>
        <v>S</v>
      </c>
      <c r="I118" s="327" t="str">
        <f>VLOOKUP('OPX_BN-1'!$A118,Tableau106[],9,FALSE)</f>
        <v>ZaA</v>
      </c>
      <c r="J118" s="160">
        <v>-47300</v>
      </c>
      <c r="K118" s="489">
        <v>-20000</v>
      </c>
      <c r="L118" s="490">
        <v>0</v>
      </c>
      <c r="M118" s="229">
        <v>0</v>
      </c>
      <c r="N118" s="229">
        <v>0</v>
      </c>
      <c r="O118" s="229">
        <v>0</v>
      </c>
      <c r="P118" s="229">
        <v>0</v>
      </c>
      <c r="Q118" s="230">
        <v>-6700</v>
      </c>
      <c r="R118" s="274">
        <f>SUM('OPX_BN-1'!$K118:$Q118)</f>
        <v>-26700</v>
      </c>
      <c r="S118" s="338">
        <v>0</v>
      </c>
      <c r="T118" s="423">
        <v>0</v>
      </c>
      <c r="U118" s="341"/>
      <c r="V118" s="423">
        <v>0</v>
      </c>
      <c r="W118" s="423">
        <v>0</v>
      </c>
      <c r="X118" s="423">
        <v>0</v>
      </c>
      <c r="Y118" s="423"/>
      <c r="Z118" s="264">
        <v>-6700</v>
      </c>
      <c r="AA118" s="423"/>
      <c r="AB118" s="273">
        <f>SUM('OPX_BN-1'!$T118:$AA118)</f>
        <v>-6700</v>
      </c>
      <c r="AC118" s="426"/>
      <c r="AD118" s="426"/>
      <c r="AE118" s="417">
        <v>0</v>
      </c>
      <c r="AF118" s="417">
        <v>0</v>
      </c>
      <c r="AG118" s="417">
        <v>0</v>
      </c>
      <c r="AH118" s="417">
        <v>0</v>
      </c>
      <c r="AI118" s="417">
        <v>0</v>
      </c>
      <c r="AJ118" s="271">
        <f>SUM('OPX_BN-1'!$AC118:$AI118)</f>
        <v>0</v>
      </c>
      <c r="AK118" s="429">
        <v>0</v>
      </c>
      <c r="AL118" s="276">
        <f>SUM('OPX_BN-1'!$J118,'OPX_BN-1'!$AB118,'OPX_BN-1'!$S118,'OPX_BN-1'!$AJ118,'OPX_BN-1'!$R118,'OPX_BN-1'!$AK118)</f>
        <v>-80700</v>
      </c>
      <c r="AM118" s="427">
        <v>0</v>
      </c>
    </row>
    <row r="119" spans="1:39" ht="15">
      <c r="A119" s="329" t="s">
        <v>626</v>
      </c>
      <c r="B119" s="327" t="str">
        <f>VLOOKUP('OPX_BN-1'!$A119,Tableau106[],3,FALSE)</f>
        <v>A937</v>
      </c>
      <c r="C119" s="327" t="str">
        <f>VLOOKUP('OPX_BN-1'!$A119,Tableau106[],2,FALSE)</f>
        <v>FR34E82E</v>
      </c>
      <c r="D119" s="327" t="str">
        <f>VLOOKUP('OPX_BN-1'!$A119,Tableau106[],8,FALSE)</f>
        <v>EOLIEN</v>
      </c>
      <c r="E119" s="328">
        <f>VLOOKUP('OPX_BN-1'!$A119,Tableau106[],4,FALSE)</f>
        <v>6</v>
      </c>
      <c r="F119" s="327" t="str">
        <f>VLOOKUP('OPX_BN-1'!$A119,Tableau106[],5,FALSE)</f>
        <v>NIPL</v>
      </c>
      <c r="G119" s="327" t="str">
        <f>VLOOKUP('OPX_BN-1'!$A119,Tableau106[],7,FALSE)</f>
        <v>FUTUREN</v>
      </c>
      <c r="H119" s="327" t="str">
        <f>VLOOKUP('OPX_BN-1'!$A119,Tableau106[],6,FALSE)</f>
        <v>S</v>
      </c>
      <c r="I119" s="327" t="str">
        <f>VLOOKUP('OPX_BN-1'!$A119,Tableau106[],9,FALSE)</f>
        <v>KéD</v>
      </c>
      <c r="J119" s="160">
        <v>-191460.12</v>
      </c>
      <c r="K119" s="489">
        <v>-9000</v>
      </c>
      <c r="L119" s="490">
        <v>0</v>
      </c>
      <c r="M119" s="229">
        <v>0</v>
      </c>
      <c r="N119" s="229">
        <v>0</v>
      </c>
      <c r="O119" s="229">
        <v>0</v>
      </c>
      <c r="P119" s="229">
        <v>-2100</v>
      </c>
      <c r="Q119" s="230">
        <v>-2300</v>
      </c>
      <c r="R119" s="274">
        <f>SUM('OPX_BN-1'!$K119:$Q119)</f>
        <v>-13400</v>
      </c>
      <c r="S119" s="338">
        <v>0</v>
      </c>
      <c r="T119" s="423">
        <v>0</v>
      </c>
      <c r="U119" s="341"/>
      <c r="V119" s="423">
        <v>-7500</v>
      </c>
      <c r="W119" s="423">
        <v>0</v>
      </c>
      <c r="X119" s="423">
        <v>0</v>
      </c>
      <c r="Y119" s="423"/>
      <c r="Z119" s="264">
        <v>-7300</v>
      </c>
      <c r="AA119" s="423"/>
      <c r="AB119" s="273">
        <f>SUM('OPX_BN-1'!$T119:$AA119)</f>
        <v>-14800</v>
      </c>
      <c r="AC119" s="426"/>
      <c r="AD119" s="426"/>
      <c r="AE119" s="417">
        <v>0</v>
      </c>
      <c r="AF119" s="417">
        <v>0</v>
      </c>
      <c r="AG119" s="417">
        <v>-10726</v>
      </c>
      <c r="AH119" s="417">
        <v>-18551.97</v>
      </c>
      <c r="AI119" s="417">
        <v>0</v>
      </c>
      <c r="AJ119" s="271">
        <f>SUM('OPX_BN-1'!$AC119:$AI119)</f>
        <v>-29277.97</v>
      </c>
      <c r="AK119" s="429">
        <v>0</v>
      </c>
      <c r="AL119" s="276">
        <f>SUM('OPX_BN-1'!$J119,'OPX_BN-1'!$AB119,'OPX_BN-1'!$S119,'OPX_BN-1'!$AJ119,'OPX_BN-1'!$R119,'OPX_BN-1'!$AK119)</f>
        <v>-248938.09</v>
      </c>
      <c r="AM119" s="427">
        <v>0</v>
      </c>
    </row>
    <row r="120" spans="1:39" ht="15">
      <c r="A120" s="329" t="s">
        <v>551</v>
      </c>
      <c r="B120" s="327" t="str">
        <f>VLOOKUP('OPX_BN-1'!$A120,Tableau106[],3,FALSE)</f>
        <v>A313</v>
      </c>
      <c r="C120" s="327" t="str">
        <f>VLOOKUP('OPX_BN-1'!$A120,Tableau106[],2,FALSE)</f>
        <v>FR89S16E</v>
      </c>
      <c r="D120" s="327" t="str">
        <f>VLOOKUP('OPX_BN-1'!$A120,Tableau106[],8,FALSE)</f>
        <v>SOLAIRE</v>
      </c>
      <c r="E120" s="328">
        <f>VLOOKUP('OPX_BN-1'!$A120,Tableau106[],4,FALSE)</f>
        <v>3.8</v>
      </c>
      <c r="F120" s="327" t="str">
        <f>VLOOKUP('OPX_BN-1'!$A120,Tableau106[],5,FALSE)</f>
        <v>NITR</v>
      </c>
      <c r="G120" s="327" t="str">
        <f>VLOOKUP('OPX_BN-1'!$A120,Tableau106[],7,FALSE)</f>
        <v>GROUPE</v>
      </c>
      <c r="H120" s="327" t="str">
        <f>VLOOKUP('OPX_BN-1'!$A120,Tableau106[],6,FALSE)</f>
        <v>N</v>
      </c>
      <c r="I120" s="327" t="str">
        <f>VLOOKUP('OPX_BN-1'!$A120,Tableau106[],9,FALSE)</f>
        <v>LoG</v>
      </c>
      <c r="J120" s="160">
        <v>-27744</v>
      </c>
      <c r="K120" s="489">
        <v>-1700</v>
      </c>
      <c r="L120" s="490">
        <v>0</v>
      </c>
      <c r="M120" s="229">
        <v>0</v>
      </c>
      <c r="N120" s="229">
        <v>0</v>
      </c>
      <c r="O120" s="229">
        <v>0</v>
      </c>
      <c r="P120" s="229">
        <v>0</v>
      </c>
      <c r="Q120" s="230">
        <v>-1700</v>
      </c>
      <c r="R120" s="274">
        <f>SUM('OPX_BN-1'!$K120:$Q120)</f>
        <v>-3400</v>
      </c>
      <c r="S120" s="338">
        <v>0</v>
      </c>
      <c r="T120" s="423">
        <v>0</v>
      </c>
      <c r="U120" s="341"/>
      <c r="V120" s="423">
        <v>0</v>
      </c>
      <c r="W120" s="423">
        <v>0</v>
      </c>
      <c r="X120" s="423">
        <v>0</v>
      </c>
      <c r="Y120" s="423"/>
      <c r="Z120" s="264">
        <v>-1700</v>
      </c>
      <c r="AA120" s="423"/>
      <c r="AB120" s="273">
        <f>SUM('OPX_BN-1'!$T120:$AA120)</f>
        <v>-1700</v>
      </c>
      <c r="AC120" s="426"/>
      <c r="AD120" s="426"/>
      <c r="AE120" s="417">
        <v>0</v>
      </c>
      <c r="AF120" s="417">
        <v>0</v>
      </c>
      <c r="AG120" s="417">
        <v>0</v>
      </c>
      <c r="AH120" s="417">
        <v>-2500</v>
      </c>
      <c r="AI120" s="417">
        <v>0</v>
      </c>
      <c r="AJ120" s="271">
        <f>SUM('OPX_BN-1'!$AC120:$AI120)</f>
        <v>-2500</v>
      </c>
      <c r="AK120" s="429">
        <v>0</v>
      </c>
      <c r="AL120" s="276">
        <f>SUM('OPX_BN-1'!$J120,'OPX_BN-1'!$AB120,'OPX_BN-1'!$S120,'OPX_BN-1'!$AJ120,'OPX_BN-1'!$R120,'OPX_BN-1'!$AK120)</f>
        <v>-35344</v>
      </c>
      <c r="AM120" s="427">
        <v>0</v>
      </c>
    </row>
    <row r="121" spans="1:39" ht="15">
      <c r="A121" s="329" t="s">
        <v>480</v>
      </c>
      <c r="B121" s="327" t="str">
        <f>VLOOKUP('OPX_BN-1'!$A121,Tableau106[],3,FALSE)</f>
        <v>A540</v>
      </c>
      <c r="C121" s="327" t="str">
        <f>VLOOKUP('OPX_BN-1'!$A121,Tableau106[],2,FALSE)</f>
        <v>FR35E02E</v>
      </c>
      <c r="D121" s="327" t="str">
        <f>VLOOKUP('OPX_BN-1'!$A121,Tableau106[],8,FALSE)</f>
        <v>EOLIEN</v>
      </c>
      <c r="E121" s="328">
        <f>VLOOKUP('OPX_BN-1'!$A121,Tableau106[],4,FALSE)</f>
        <v>10</v>
      </c>
      <c r="F121" s="327" t="str">
        <f>VLOOKUP('OPX_BN-1'!$A121,Tableau106[],5,FALSE)</f>
        <v>NOUR</v>
      </c>
      <c r="G121" s="327" t="str">
        <f>VLOOKUP('OPX_BN-1'!$A121,Tableau106[],7,FALSE)</f>
        <v>EGM</v>
      </c>
      <c r="H121" s="327" t="str">
        <f>VLOOKUP('OPX_BN-1'!$A121,Tableau106[],6,FALSE)</f>
        <v>N</v>
      </c>
      <c r="I121" s="327" t="str">
        <f>VLOOKUP('OPX_BN-1'!$A121,Tableau106[],9,FALSE)</f>
        <v>MaA</v>
      </c>
      <c r="J121" s="160">
        <v>-256678.59608762685</v>
      </c>
      <c r="K121" s="489">
        <v>-5000</v>
      </c>
      <c r="L121" s="490">
        <v>-33068.783068783072</v>
      </c>
      <c r="M121" s="229">
        <v>0</v>
      </c>
      <c r="N121" s="229">
        <v>0</v>
      </c>
      <c r="O121" s="229">
        <v>0</v>
      </c>
      <c r="P121" s="229">
        <v>-3500</v>
      </c>
      <c r="Q121" s="230">
        <v>-5000</v>
      </c>
      <c r="R121" s="274">
        <f>SUM('OPX_BN-1'!$K121:$Q121)</f>
        <v>-46568.783068783072</v>
      </c>
      <c r="S121" s="338">
        <v>-41000</v>
      </c>
      <c r="T121" s="423">
        <v>0</v>
      </c>
      <c r="U121" s="341"/>
      <c r="V121" s="423">
        <v>-2000</v>
      </c>
      <c r="W121" s="423">
        <v>0</v>
      </c>
      <c r="X121" s="423">
        <v>0</v>
      </c>
      <c r="Y121" s="423"/>
      <c r="Z121" s="264">
        <v>-5000</v>
      </c>
      <c r="AA121" s="423"/>
      <c r="AB121" s="273">
        <f>SUM('OPX_BN-1'!$T121:$AA121)</f>
        <v>-7000</v>
      </c>
      <c r="AC121" s="426"/>
      <c r="AD121" s="426"/>
      <c r="AE121" s="417">
        <v>0</v>
      </c>
      <c r="AF121" s="417">
        <v>0</v>
      </c>
      <c r="AG121" s="417">
        <v>-12000</v>
      </c>
      <c r="AH121" s="417">
        <v>0</v>
      </c>
      <c r="AI121" s="417">
        <v>0</v>
      </c>
      <c r="AJ121" s="271">
        <f>SUM('OPX_BN-1'!$AC121:$AI121)</f>
        <v>-12000</v>
      </c>
      <c r="AK121" s="429">
        <v>0</v>
      </c>
      <c r="AL121" s="276">
        <f>SUM('OPX_BN-1'!$J121,'OPX_BN-1'!$AB121,'OPX_BN-1'!$S121,'OPX_BN-1'!$AJ121,'OPX_BN-1'!$R121,'OPX_BN-1'!$AK121)</f>
        <v>-363247.37915640994</v>
      </c>
      <c r="AM121" s="427">
        <v>0</v>
      </c>
    </row>
    <row r="122" spans="1:39" ht="15">
      <c r="A122" s="329" t="s">
        <v>529</v>
      </c>
      <c r="B122" s="327" t="str">
        <f>VLOOKUP('OPX_BN-1'!$A122,Tableau106[],3,FALSE)</f>
        <v>A540</v>
      </c>
      <c r="C122" s="327" t="str">
        <f>VLOOKUP('OPX_BN-1'!$A122,Tableau106[],2,FALSE)</f>
        <v>FR80E01E</v>
      </c>
      <c r="D122" s="327" t="str">
        <f>VLOOKUP('OPX_BN-1'!$A122,Tableau106[],8,FALSE)</f>
        <v>EOLIEN</v>
      </c>
      <c r="E122" s="328">
        <f>VLOOKUP('OPX_BN-1'!$A122,Tableau106[],4,FALSE)</f>
        <v>8</v>
      </c>
      <c r="F122" s="327" t="str">
        <f>VLOOKUP('OPX_BN-1'!$A122,Tableau106[],5,FALSE)</f>
        <v>NURL</v>
      </c>
      <c r="G122" s="327" t="str">
        <f>VLOOKUP('OPX_BN-1'!$A122,Tableau106[],7,FALSE)</f>
        <v>EGM</v>
      </c>
      <c r="H122" s="327" t="str">
        <f>VLOOKUP('OPX_BN-1'!$A122,Tableau106[],6,FALSE)</f>
        <v>N</v>
      </c>
      <c r="I122" s="327" t="str">
        <f>VLOOKUP('OPX_BN-1'!$A122,Tableau106[],9,FALSE)</f>
        <v>NoS</v>
      </c>
      <c r="J122" s="160">
        <v>-205342.87687010149</v>
      </c>
      <c r="K122" s="489">
        <v>-4000</v>
      </c>
      <c r="L122" s="490">
        <v>-26455.026455026455</v>
      </c>
      <c r="M122" s="229">
        <v>0</v>
      </c>
      <c r="N122" s="229">
        <v>0</v>
      </c>
      <c r="O122" s="229">
        <v>0</v>
      </c>
      <c r="P122" s="229">
        <v>-2800</v>
      </c>
      <c r="Q122" s="230">
        <v>-4000</v>
      </c>
      <c r="R122" s="274">
        <f>SUM('OPX_BN-1'!$K122:$Q122)</f>
        <v>-37255.026455026455</v>
      </c>
      <c r="S122" s="338">
        <v>0</v>
      </c>
      <c r="T122" s="423">
        <v>0</v>
      </c>
      <c r="U122" s="341"/>
      <c r="V122" s="423">
        <v>-1000</v>
      </c>
      <c r="W122" s="423">
        <v>0</v>
      </c>
      <c r="X122" s="423">
        <v>0</v>
      </c>
      <c r="Y122" s="423"/>
      <c r="Z122" s="264">
        <v>-4000</v>
      </c>
      <c r="AA122" s="423"/>
      <c r="AB122" s="273">
        <f>SUM('OPX_BN-1'!$T122:$AA122)</f>
        <v>-5000</v>
      </c>
      <c r="AC122" s="426"/>
      <c r="AD122" s="426"/>
      <c r="AE122" s="417">
        <v>0</v>
      </c>
      <c r="AF122" s="417">
        <v>0</v>
      </c>
      <c r="AG122" s="417">
        <v>0</v>
      </c>
      <c r="AH122" s="417">
        <v>0</v>
      </c>
      <c r="AI122" s="417">
        <v>0</v>
      </c>
      <c r="AJ122" s="271">
        <f>SUM('OPX_BN-1'!$AC122:$AI122)</f>
        <v>0</v>
      </c>
      <c r="AK122" s="429">
        <v>0</v>
      </c>
      <c r="AL122" s="276">
        <f>SUM('OPX_BN-1'!$J122,'OPX_BN-1'!$AB122,'OPX_BN-1'!$S122,'OPX_BN-1'!$AJ122,'OPX_BN-1'!$R122,'OPX_BN-1'!$AK122)</f>
        <v>-247597.90332512796</v>
      </c>
      <c r="AM122" s="427">
        <v>0</v>
      </c>
    </row>
    <row r="123" spans="1:39" ht="15">
      <c r="A123" s="329" t="s">
        <v>555</v>
      </c>
      <c r="B123" s="327" t="str">
        <f>VLOOKUP('OPX_BN-1'!$A123,Tableau106[],3,FALSE)</f>
        <v>A374</v>
      </c>
      <c r="C123" s="327" t="str">
        <f>VLOOKUP('OPX_BN-1'!$A123,Tableau106[],2,FALSE)</f>
        <v>FR68S02E</v>
      </c>
      <c r="D123" s="327" t="str">
        <f>VLOOKUP('OPX_BN-1'!$A123,Tableau106[],8,FALSE)</f>
        <v>SOLAIRE</v>
      </c>
      <c r="E123" s="328">
        <f>VLOOKUP('OPX_BN-1'!$A123,Tableau106[],4,FALSE)</f>
        <v>15.5</v>
      </c>
      <c r="F123" s="327" t="str">
        <f>VLOOKUP('OPX_BN-1'!$A123,Tableau106[],5,FALSE)</f>
        <v>OTTM</v>
      </c>
      <c r="G123" s="327" t="str">
        <f>VLOOKUP('OPX_BN-1'!$A123,Tableau106[],7,FALSE)</f>
        <v>GROUPE</v>
      </c>
      <c r="H123" s="327" t="str">
        <f>VLOOKUP('OPX_BN-1'!$A123,Tableau106[],6,FALSE)</f>
        <v>N</v>
      </c>
      <c r="I123" s="327" t="str">
        <f>VLOOKUP('OPX_BN-1'!$A123,Tableau106[],9,FALSE)</f>
        <v>ZaA</v>
      </c>
      <c r="J123" s="160">
        <v>-77500</v>
      </c>
      <c r="K123" s="489">
        <v>-7750</v>
      </c>
      <c r="L123" s="490">
        <v>0</v>
      </c>
      <c r="M123" s="229">
        <v>0</v>
      </c>
      <c r="N123" s="229">
        <v>0</v>
      </c>
      <c r="O123" s="229">
        <v>0</v>
      </c>
      <c r="P123" s="229">
        <v>0</v>
      </c>
      <c r="Q123" s="230">
        <v>-7750</v>
      </c>
      <c r="R123" s="274">
        <f>SUM('OPX_BN-1'!$K123:$Q123)</f>
        <v>-15500</v>
      </c>
      <c r="S123" s="338">
        <v>0</v>
      </c>
      <c r="T123" s="423">
        <v>0</v>
      </c>
      <c r="U123" s="341"/>
      <c r="V123" s="423">
        <v>0</v>
      </c>
      <c r="W123" s="423">
        <v>0</v>
      </c>
      <c r="X123" s="423">
        <v>0</v>
      </c>
      <c r="Y123" s="423"/>
      <c r="Z123" s="264">
        <v>-7750</v>
      </c>
      <c r="AA123" s="423"/>
      <c r="AB123" s="273">
        <f>SUM('OPX_BN-1'!$T123:$AA123)</f>
        <v>-7750</v>
      </c>
      <c r="AC123" s="426"/>
      <c r="AD123" s="426"/>
      <c r="AE123" s="417">
        <v>0</v>
      </c>
      <c r="AF123" s="417">
        <v>0</v>
      </c>
      <c r="AG123" s="417">
        <v>0</v>
      </c>
      <c r="AH123" s="417">
        <v>-10000</v>
      </c>
      <c r="AI123" s="417">
        <v>-8000</v>
      </c>
      <c r="AJ123" s="271">
        <f>SUM('OPX_BN-1'!$AC123:$AI123)</f>
        <v>-18000</v>
      </c>
      <c r="AK123" s="429">
        <v>0</v>
      </c>
      <c r="AL123" s="276">
        <f>SUM('OPX_BN-1'!$J123,'OPX_BN-1'!$AB123,'OPX_BN-1'!$S123,'OPX_BN-1'!$AJ123,'OPX_BN-1'!$R123,'OPX_BN-1'!$AK123)</f>
        <v>-118750</v>
      </c>
      <c r="AM123" s="427">
        <v>0</v>
      </c>
    </row>
    <row r="124" spans="1:39" ht="15">
      <c r="A124" s="329" t="s">
        <v>438</v>
      </c>
      <c r="B124" s="327" t="str">
        <f>VLOOKUP('OPX_BN-1'!$A124,Tableau106[],3,FALSE)</f>
        <v>A044</v>
      </c>
      <c r="C124" s="327" t="str">
        <f>VLOOKUP('OPX_BN-1'!$A124,Tableau106[],2,FALSE)</f>
        <v>FR34E99E</v>
      </c>
      <c r="D124" s="327" t="str">
        <f>VLOOKUP('OPX_BN-1'!$A124,Tableau106[],8,FALSE)</f>
        <v>EOLIEN</v>
      </c>
      <c r="E124" s="328">
        <f>VLOOKUP('OPX_BN-1'!$A124,Tableau106[],4,FALSE)</f>
        <v>8.1</v>
      </c>
      <c r="F124" s="327" t="str">
        <f>VLOOKUP('OPX_BN-1'!$A124,Tableau106[],5,FALSE)</f>
        <v>OUPI</v>
      </c>
      <c r="G124" s="327" t="str">
        <f>VLOOKUP('OPX_BN-1'!$A124,Tableau106[],7,FALSE)</f>
        <v>GROUPE</v>
      </c>
      <c r="H124" s="327" t="str">
        <f>VLOOKUP('OPX_BN-1'!$A124,Tableau106[],6,FALSE)</f>
        <v>S</v>
      </c>
      <c r="I124" s="327" t="str">
        <f>VLOOKUP('OPX_BN-1'!$A124,Tableau106[],9,FALSE)</f>
        <v>SaH</v>
      </c>
      <c r="J124" s="160">
        <v>-102937.17600000001</v>
      </c>
      <c r="K124" s="489">
        <v>-44050</v>
      </c>
      <c r="L124" s="490">
        <v>0</v>
      </c>
      <c r="M124" s="229">
        <v>0</v>
      </c>
      <c r="N124" s="229">
        <v>0</v>
      </c>
      <c r="O124" s="229">
        <v>0</v>
      </c>
      <c r="P124" s="229">
        <v>0</v>
      </c>
      <c r="Q124" s="230">
        <v>-4050</v>
      </c>
      <c r="R124" s="274">
        <f>SUM('OPX_BN-1'!$K124:$Q124)</f>
        <v>-48100</v>
      </c>
      <c r="S124" s="338">
        <v>0</v>
      </c>
      <c r="T124" s="423">
        <v>0</v>
      </c>
      <c r="U124" s="341"/>
      <c r="V124" s="423">
        <v>0</v>
      </c>
      <c r="W124" s="423">
        <v>0</v>
      </c>
      <c r="X124" s="423">
        <v>-6500</v>
      </c>
      <c r="Y124" s="423"/>
      <c r="Z124" s="264">
        <v>-14050</v>
      </c>
      <c r="AA124" s="423"/>
      <c r="AB124" s="273">
        <f>SUM('OPX_BN-1'!$T124:$AA124)</f>
        <v>-20550</v>
      </c>
      <c r="AC124" s="426"/>
      <c r="AD124" s="426"/>
      <c r="AE124" s="417">
        <v>0</v>
      </c>
      <c r="AF124" s="417">
        <v>0</v>
      </c>
      <c r="AG124" s="417">
        <v>0</v>
      </c>
      <c r="AH124" s="417">
        <v>0</v>
      </c>
      <c r="AI124" s="417">
        <v>0</v>
      </c>
      <c r="AJ124" s="271">
        <f>SUM('OPX_BN-1'!$AC124:$AI124)</f>
        <v>0</v>
      </c>
      <c r="AK124" s="429">
        <v>0</v>
      </c>
      <c r="AL124" s="276">
        <f>SUM('OPX_BN-1'!$J124,'OPX_BN-1'!$AB124,'OPX_BN-1'!$S124,'OPX_BN-1'!$AJ124,'OPX_BN-1'!$R124,'OPX_BN-1'!$AK124)</f>
        <v>-171587.17600000001</v>
      </c>
      <c r="AM124" s="427">
        <v>0</v>
      </c>
    </row>
    <row r="125" spans="1:39" ht="15">
      <c r="A125" s="329" t="s">
        <v>492</v>
      </c>
      <c r="B125" s="327" t="str">
        <f>VLOOKUP('OPX_BN-1'!$A125,Tableau106[],3,FALSE)</f>
        <v>A540</v>
      </c>
      <c r="C125" s="327" t="str">
        <f>VLOOKUP('OPX_BN-1'!$A125,Tableau106[],2,FALSE)</f>
        <v>FR79E01E</v>
      </c>
      <c r="D125" s="327" t="str">
        <f>VLOOKUP('OPX_BN-1'!$A125,Tableau106[],8,FALSE)</f>
        <v>EOLIEN</v>
      </c>
      <c r="E125" s="328">
        <f>VLOOKUP('OPX_BN-1'!$A125,Tableau106[],4,FALSE)</f>
        <v>12</v>
      </c>
      <c r="F125" s="327" t="str">
        <f>VLOOKUP('OPX_BN-1'!$A125,Tableau106[],5,FALSE)</f>
        <v>PAMP</v>
      </c>
      <c r="G125" s="327" t="str">
        <f>VLOOKUP('OPX_BN-1'!$A125,Tableau106[],7,FALSE)</f>
        <v>EGM</v>
      </c>
      <c r="H125" s="327" t="str">
        <f>VLOOKUP('OPX_BN-1'!$A125,Tableau106[],6,FALSE)</f>
        <v>N</v>
      </c>
      <c r="I125" s="327" t="str">
        <f>VLOOKUP('OPX_BN-1'!$A125,Tableau106[],9,FALSE)</f>
        <v>DeN</v>
      </c>
      <c r="J125" s="160">
        <v>-256678.59608762685</v>
      </c>
      <c r="K125" s="489">
        <v>-6000</v>
      </c>
      <c r="L125" s="490">
        <v>-39682.539682539682</v>
      </c>
      <c r="M125" s="229">
        <v>0</v>
      </c>
      <c r="N125" s="229">
        <v>0</v>
      </c>
      <c r="O125" s="229">
        <v>0</v>
      </c>
      <c r="P125" s="229">
        <v>-4200</v>
      </c>
      <c r="Q125" s="230">
        <v>-6000</v>
      </c>
      <c r="R125" s="274">
        <f>SUM('OPX_BN-1'!$K125:$Q125)</f>
        <v>-55882.539682539682</v>
      </c>
      <c r="S125" s="338">
        <v>0</v>
      </c>
      <c r="T125" s="423">
        <v>0</v>
      </c>
      <c r="U125" s="341"/>
      <c r="V125" s="423">
        <v>-2000</v>
      </c>
      <c r="W125" s="423">
        <v>0</v>
      </c>
      <c r="X125" s="423">
        <v>0</v>
      </c>
      <c r="Y125" s="423"/>
      <c r="Z125" s="264">
        <v>-6000</v>
      </c>
      <c r="AA125" s="423"/>
      <c r="AB125" s="273">
        <f>SUM('OPX_BN-1'!$T125:$AA125)</f>
        <v>-8000</v>
      </c>
      <c r="AC125" s="426"/>
      <c r="AD125" s="426"/>
      <c r="AE125" s="417">
        <v>-5000</v>
      </c>
      <c r="AF125" s="417">
        <v>0</v>
      </c>
      <c r="AG125" s="417">
        <v>0</v>
      </c>
      <c r="AH125" s="417">
        <v>0</v>
      </c>
      <c r="AI125" s="417">
        <v>-6652</v>
      </c>
      <c r="AJ125" s="271">
        <f>SUM('OPX_BN-1'!$AC125:$AI125)</f>
        <v>-11652</v>
      </c>
      <c r="AK125" s="429">
        <v>0</v>
      </c>
      <c r="AL125" s="276">
        <f>SUM('OPX_BN-1'!$J125,'OPX_BN-1'!$AB125,'OPX_BN-1'!$S125,'OPX_BN-1'!$AJ125,'OPX_BN-1'!$R125,'OPX_BN-1'!$AK125)</f>
        <v>-332213.13577016658</v>
      </c>
      <c r="AM125" s="427">
        <v>0</v>
      </c>
    </row>
    <row r="126" spans="1:39" ht="15">
      <c r="A126" s="329" t="s">
        <v>534</v>
      </c>
      <c r="B126" s="327" t="str">
        <f>VLOOKUP('OPX_BN-1'!$A126,Tableau106[],3,FALSE)</f>
        <v>A418</v>
      </c>
      <c r="C126" s="327" t="str">
        <f>VLOOKUP('OPX_BN-1'!$A126,Tableau106[],2,FALSE)</f>
        <v>FR51E08E</v>
      </c>
      <c r="D126" s="327" t="str">
        <f>VLOOKUP('OPX_BN-1'!$A126,Tableau106[],8,FALSE)</f>
        <v>EOLIEN</v>
      </c>
      <c r="E126" s="328">
        <f>VLOOKUP('OPX_BN-1'!$A126,Tableau106[],4,FALSE)</f>
        <v>21.6</v>
      </c>
      <c r="F126" s="327" t="str">
        <f>VLOOKUP('OPX_BN-1'!$A126,Tableau106[],5,FALSE)</f>
        <v>PAAN</v>
      </c>
      <c r="G126" s="327" t="str">
        <f>VLOOKUP('OPX_BN-1'!$A126,Tableau106[],7,FALSE)</f>
        <v>GROUPE</v>
      </c>
      <c r="H126" s="327" t="str">
        <f>VLOOKUP('OPX_BN-1'!$A126,Tableau106[],6,FALSE)</f>
        <v>N</v>
      </c>
      <c r="I126" s="327" t="str">
        <f>VLOOKUP('OPX_BN-1'!$A126,Tableau106[],9,FALSE)</f>
        <v>AlY</v>
      </c>
      <c r="J126" s="160">
        <v>-368698.91040000005</v>
      </c>
      <c r="K126" s="489">
        <v>-10800</v>
      </c>
      <c r="L126" s="490">
        <v>0</v>
      </c>
      <c r="M126" s="229">
        <v>0</v>
      </c>
      <c r="N126" s="229">
        <v>0</v>
      </c>
      <c r="O126" s="229">
        <v>0</v>
      </c>
      <c r="P126" s="229">
        <v>-7560</v>
      </c>
      <c r="Q126" s="230">
        <v>-10800</v>
      </c>
      <c r="R126" s="274">
        <f>SUM('OPX_BN-1'!$K126:$Q126)</f>
        <v>-29160</v>
      </c>
      <c r="S126" s="338">
        <v>0</v>
      </c>
      <c r="T126" s="423">
        <v>0</v>
      </c>
      <c r="U126" s="341"/>
      <c r="V126" s="423">
        <v>-486</v>
      </c>
      <c r="W126" s="423">
        <v>0</v>
      </c>
      <c r="X126" s="423">
        <v>0</v>
      </c>
      <c r="Y126" s="423"/>
      <c r="Z126" s="264">
        <v>-10800</v>
      </c>
      <c r="AA126" s="423"/>
      <c r="AB126" s="273">
        <f>SUM('OPX_BN-1'!$T126:$AA126)</f>
        <v>-11286</v>
      </c>
      <c r="AC126" s="426"/>
      <c r="AD126" s="426"/>
      <c r="AE126" s="417">
        <v>0</v>
      </c>
      <c r="AF126" s="417">
        <v>0</v>
      </c>
      <c r="AG126" s="417">
        <v>-12000</v>
      </c>
      <c r="AH126" s="417">
        <v>0</v>
      </c>
      <c r="AI126" s="417">
        <v>-12960</v>
      </c>
      <c r="AJ126" s="271">
        <f>SUM('OPX_BN-1'!$AC126:$AI126)</f>
        <v>-24960</v>
      </c>
      <c r="AK126" s="429">
        <v>0</v>
      </c>
      <c r="AL126" s="276">
        <f>SUM('OPX_BN-1'!$J126,'OPX_BN-1'!$AB126,'OPX_BN-1'!$S126,'OPX_BN-1'!$AJ126,'OPX_BN-1'!$R126,'OPX_BN-1'!$AK126)</f>
        <v>-434104.91040000005</v>
      </c>
      <c r="AM126" s="427">
        <v>0</v>
      </c>
    </row>
    <row r="127" spans="1:39" ht="15">
      <c r="A127" s="329" t="s">
        <v>559</v>
      </c>
      <c r="B127" s="327" t="str">
        <f>VLOOKUP('OPX_BN-1'!$A127,Tableau106[],3,FALSE)</f>
        <v>A960</v>
      </c>
      <c r="C127" s="327" t="str">
        <f>VLOOKUP('OPX_BN-1'!$A127,Tableau106[],2,FALSE)</f>
        <v>FRD1E01E</v>
      </c>
      <c r="D127" s="327" t="str">
        <f>VLOOKUP('OPX_BN-1'!$A127,Tableau106[],8,FALSE)</f>
        <v>EOLIEN DOM</v>
      </c>
      <c r="E127" s="328">
        <f>VLOOKUP('OPX_BN-1'!$A127,Tableau106[],4,FALSE)</f>
        <v>9</v>
      </c>
      <c r="F127" s="327" t="str">
        <f>VLOOKUP('OPX_BN-1'!$A127,Tableau106[],5,FALSE)</f>
        <v>PCR1</v>
      </c>
      <c r="G127" s="327" t="str">
        <f>VLOOKUP('OPX_BN-1'!$A127,Tableau106[],7,FALSE)</f>
        <v>GROUPE</v>
      </c>
      <c r="H127" s="327" t="str">
        <f>VLOOKUP('OPX_BN-1'!$A127,Tableau106[],6,FALSE)</f>
        <v>DOM</v>
      </c>
      <c r="I127" s="327" t="str">
        <f>VLOOKUP('OPX_BN-1'!$A127,Tableau106[],9,FALSE)</f>
        <v>DoJ</v>
      </c>
      <c r="J127" s="160">
        <v>0</v>
      </c>
      <c r="K127" s="489">
        <v>-4500</v>
      </c>
      <c r="L127" s="490">
        <v>0</v>
      </c>
      <c r="M127" s="229">
        <v>0</v>
      </c>
      <c r="N127" s="229">
        <v>0</v>
      </c>
      <c r="O127" s="229">
        <v>0</v>
      </c>
      <c r="P127" s="229">
        <v>0</v>
      </c>
      <c r="Q127" s="230">
        <v>-4500</v>
      </c>
      <c r="R127" s="274">
        <f>SUM('OPX_BN-1'!$K127:$Q127)</f>
        <v>-9000</v>
      </c>
      <c r="S127" s="338">
        <v>-513122.4</v>
      </c>
      <c r="T127" s="423">
        <v>-20000</v>
      </c>
      <c r="U127" s="341"/>
      <c r="V127" s="423">
        <v>-30000</v>
      </c>
      <c r="W127" s="423">
        <v>-7000</v>
      </c>
      <c r="X127" s="423">
        <v>-20000</v>
      </c>
      <c r="Y127" s="423"/>
      <c r="Z127" s="264">
        <v>-8200</v>
      </c>
      <c r="AA127" s="423"/>
      <c r="AB127" s="273">
        <f>SUM('OPX_BN-1'!$T127:$AA127)</f>
        <v>-85200</v>
      </c>
      <c r="AC127" s="426"/>
      <c r="AD127" s="426"/>
      <c r="AE127" s="417">
        <v>0</v>
      </c>
      <c r="AF127" s="417">
        <v>0</v>
      </c>
      <c r="AG127" s="417">
        <v>-58000</v>
      </c>
      <c r="AH127" s="417">
        <v>0</v>
      </c>
      <c r="AI127" s="417">
        <v>-7500</v>
      </c>
      <c r="AJ127" s="271">
        <f>SUM('OPX_BN-1'!$AC127:$AI127)</f>
        <v>-65500</v>
      </c>
      <c r="AK127" s="429">
        <v>0</v>
      </c>
      <c r="AL127" s="276">
        <f>SUM('OPX_BN-1'!$J127,'OPX_BN-1'!$AB127,'OPX_BN-1'!$S127,'OPX_BN-1'!$AJ127,'OPX_BN-1'!$R127,'OPX_BN-1'!$AK127)</f>
        <v>-672822.4</v>
      </c>
      <c r="AM127" s="427">
        <v>0</v>
      </c>
    </row>
    <row r="128" spans="1:39" ht="15">
      <c r="A128" s="329" t="s">
        <v>595</v>
      </c>
      <c r="B128" s="327" t="str">
        <f>VLOOKUP('OPX_BN-1'!$A128,Tableau106[],3,FALSE)</f>
        <v>A935</v>
      </c>
      <c r="C128" s="327" t="str">
        <f>VLOOKUP('OPX_BN-1'!$A128,Tableau106[],2,FALSE)</f>
        <v>FR34E84E</v>
      </c>
      <c r="D128" s="327" t="str">
        <f>VLOOKUP('OPX_BN-1'!$A128,Tableau106[],8,FALSE)</f>
        <v>EOLIEN</v>
      </c>
      <c r="E128" s="328">
        <f>VLOOKUP('OPX_BN-1'!$A128,Tableau106[],4,FALSE)</f>
        <v>6</v>
      </c>
      <c r="F128" s="327" t="str">
        <f>VLOOKUP('OPX_BN-1'!$A128,Tableau106[],5,FALSE)</f>
        <v>PEMO</v>
      </c>
      <c r="G128" s="327" t="str">
        <f>VLOOKUP('OPX_BN-1'!$A128,Tableau106[],7,FALSE)</f>
        <v>FUTUREN</v>
      </c>
      <c r="H128" s="327" t="str">
        <f>VLOOKUP('OPX_BN-1'!$A128,Tableau106[],6,FALSE)</f>
        <v>S</v>
      </c>
      <c r="I128" s="327" t="str">
        <f>VLOOKUP('OPX_BN-1'!$A128,Tableau106[],9,FALSE)</f>
        <v>KéD</v>
      </c>
      <c r="J128" s="160">
        <v>-191460.12</v>
      </c>
      <c r="K128" s="489">
        <v>-9000</v>
      </c>
      <c r="L128" s="490">
        <v>0</v>
      </c>
      <c r="M128" s="229">
        <v>0</v>
      </c>
      <c r="N128" s="229">
        <v>0</v>
      </c>
      <c r="O128" s="229">
        <v>0</v>
      </c>
      <c r="P128" s="229">
        <v>-2100</v>
      </c>
      <c r="Q128" s="230">
        <v>-1725</v>
      </c>
      <c r="R128" s="274">
        <f>SUM('OPX_BN-1'!$K128:$Q128)</f>
        <v>-12825</v>
      </c>
      <c r="S128" s="338">
        <v>0</v>
      </c>
      <c r="T128" s="423">
        <v>0</v>
      </c>
      <c r="U128" s="341"/>
      <c r="V128" s="423">
        <v>-7500</v>
      </c>
      <c r="W128" s="423">
        <v>0</v>
      </c>
      <c r="X128" s="423">
        <v>-3000</v>
      </c>
      <c r="Y128" s="423"/>
      <c r="Z128" s="264">
        <v>-1725</v>
      </c>
      <c r="AA128" s="423"/>
      <c r="AB128" s="273">
        <f>SUM('OPX_BN-1'!$T128:$AA128)</f>
        <v>-12225</v>
      </c>
      <c r="AC128" s="426"/>
      <c r="AD128" s="426"/>
      <c r="AE128" s="417">
        <v>0</v>
      </c>
      <c r="AF128" s="417">
        <v>0</v>
      </c>
      <c r="AG128" s="417">
        <v>-10726</v>
      </c>
      <c r="AH128" s="417">
        <v>-18551.97</v>
      </c>
      <c r="AI128" s="417">
        <v>0</v>
      </c>
      <c r="AJ128" s="271">
        <f>SUM('OPX_BN-1'!$AC128:$AI128)</f>
        <v>-29277.97</v>
      </c>
      <c r="AK128" s="429">
        <v>0</v>
      </c>
      <c r="AL128" s="276">
        <f>SUM('OPX_BN-1'!$J128,'OPX_BN-1'!$AB128,'OPX_BN-1'!$S128,'OPX_BN-1'!$AJ128,'OPX_BN-1'!$R128,'OPX_BN-1'!$AK128)</f>
        <v>-245788.09</v>
      </c>
      <c r="AM128" s="427">
        <v>0</v>
      </c>
    </row>
    <row r="129" spans="1:39" ht="15">
      <c r="A129" s="329" t="s">
        <v>562</v>
      </c>
      <c r="B129" s="327" t="str">
        <f>VLOOKUP('OPX_BN-1'!$A129,Tableau106[],3,FALSE)</f>
        <v>A166</v>
      </c>
      <c r="C129" s="327" t="str">
        <f>VLOOKUP('OPX_BN-1'!$A129,Tableau106[],2,FALSE)</f>
        <v>FR97S86E</v>
      </c>
      <c r="D129" s="327" t="str">
        <f>VLOOKUP('OPX_BN-1'!$A129,Tableau106[],8,FALSE)</f>
        <v>SOLAIRE DOM</v>
      </c>
      <c r="E129" s="328">
        <f>VLOOKUP('OPX_BN-1'!$A129,Tableau106[],4,FALSE)</f>
        <v>3.456</v>
      </c>
      <c r="F129" s="327" t="str">
        <f>VLOOKUP('OPX_BN-1'!$A129,Tableau106[],5,FALSE)</f>
        <v>PIER</v>
      </c>
      <c r="G129" s="327" t="str">
        <f>VLOOKUP('OPX_BN-1'!$A129,Tableau106[],7,FALSE)</f>
        <v>GROUPE</v>
      </c>
      <c r="H129" s="327" t="str">
        <f>VLOOKUP('OPX_BN-1'!$A129,Tableau106[],6,FALSE)</f>
        <v>DOM</v>
      </c>
      <c r="I129" s="327" t="str">
        <f>VLOOKUP('OPX_BN-1'!$A129,Tableau106[],9,FALSE)</f>
        <v>BéK</v>
      </c>
      <c r="J129" s="160">
        <v>0</v>
      </c>
      <c r="K129" s="489">
        <v>-1728</v>
      </c>
      <c r="L129" s="490">
        <v>0</v>
      </c>
      <c r="M129" s="229">
        <v>0</v>
      </c>
      <c r="N129" s="229">
        <v>0</v>
      </c>
      <c r="O129" s="229">
        <v>0</v>
      </c>
      <c r="P129" s="229">
        <v>0</v>
      </c>
      <c r="Q129" s="230">
        <v>-1728</v>
      </c>
      <c r="R129" s="274">
        <f>SUM('OPX_BN-1'!$K129:$Q129)</f>
        <v>-3456</v>
      </c>
      <c r="S129" s="338">
        <v>-213620.99992</v>
      </c>
      <c r="T129" s="423">
        <v>0</v>
      </c>
      <c r="U129" s="341"/>
      <c r="V129" s="423">
        <v>0</v>
      </c>
      <c r="W129" s="423">
        <v>-500</v>
      </c>
      <c r="X129" s="423">
        <v>0</v>
      </c>
      <c r="Y129" s="423"/>
      <c r="Z129" s="264">
        <v>-26828</v>
      </c>
      <c r="AA129" s="423"/>
      <c r="AB129" s="273">
        <f>SUM('OPX_BN-1'!$T129:$AA129)</f>
        <v>-27328</v>
      </c>
      <c r="AC129" s="426"/>
      <c r="AD129" s="426"/>
      <c r="AE129" s="417">
        <v>0</v>
      </c>
      <c r="AF129" s="417">
        <v>0</v>
      </c>
      <c r="AG129" s="417">
        <v>0</v>
      </c>
      <c r="AH129" s="417">
        <v>0</v>
      </c>
      <c r="AI129" s="417">
        <v>0</v>
      </c>
      <c r="AJ129" s="271">
        <f>SUM('OPX_BN-1'!$AC129:$AI129)</f>
        <v>0</v>
      </c>
      <c r="AK129" s="429">
        <v>0</v>
      </c>
      <c r="AL129" s="276">
        <f>SUM('OPX_BN-1'!$J129,'OPX_BN-1'!$AB129,'OPX_BN-1'!$S129,'OPX_BN-1'!$AJ129,'OPX_BN-1'!$R129,'OPX_BN-1'!$AK129)</f>
        <v>-244404.99992</v>
      </c>
      <c r="AM129" s="427">
        <v>0</v>
      </c>
    </row>
    <row r="130" spans="1:39" ht="15">
      <c r="A130" s="329" t="s">
        <v>556</v>
      </c>
      <c r="B130" s="327" t="str">
        <f>VLOOKUP('OPX_BN-1'!$A130,Tableau106[],3,FALSE)</f>
        <v>A160</v>
      </c>
      <c r="C130" s="327" t="str">
        <f>VLOOKUP('OPX_BN-1'!$A130,Tableau106[],2,FALSE)</f>
        <v>FR11E85E</v>
      </c>
      <c r="D130" s="327" t="str">
        <f>VLOOKUP('OPX_BN-1'!$A130,Tableau106[],8,FALSE)</f>
        <v>EOLIEN</v>
      </c>
      <c r="E130" s="328">
        <f>VLOOKUP('OPX_BN-1'!$A130,Tableau106[],4,FALSE)</f>
        <v>11.5</v>
      </c>
      <c r="F130" s="327" t="str">
        <f>VLOOKUP('OPX_BN-1'!$A130,Tableau106[],5,FALSE)</f>
        <v>LUC2</v>
      </c>
      <c r="G130" s="327" t="str">
        <f>VLOOKUP('OPX_BN-1'!$A130,Tableau106[],7,FALSE)</f>
        <v>FUTUREN</v>
      </c>
      <c r="H130" s="327" t="str">
        <f>VLOOKUP('OPX_BN-1'!$A130,Tableau106[],6,FALSE)</f>
        <v>S</v>
      </c>
      <c r="I130" s="327" t="str">
        <f>VLOOKUP('OPX_BN-1'!$A130,Tableau106[],9,FALSE)</f>
        <v>StE</v>
      </c>
      <c r="J130" s="160">
        <v>-12626.246851385387</v>
      </c>
      <c r="K130" s="489">
        <v>-5750</v>
      </c>
      <c r="L130" s="490">
        <v>0</v>
      </c>
      <c r="M130" s="229">
        <v>0</v>
      </c>
      <c r="N130" s="229">
        <v>0</v>
      </c>
      <c r="O130" s="229">
        <v>0</v>
      </c>
      <c r="P130" s="229">
        <v>-4025</v>
      </c>
      <c r="Q130" s="230">
        <v>-5750</v>
      </c>
      <c r="R130" s="274">
        <f>SUM('OPX_BN-1'!$K130:$Q130)</f>
        <v>-15525</v>
      </c>
      <c r="S130" s="338">
        <v>-332586.52451299998</v>
      </c>
      <c r="T130" s="423">
        <v>0</v>
      </c>
      <c r="U130" s="341"/>
      <c r="V130" s="423">
        <v>-5000</v>
      </c>
      <c r="W130" s="423">
        <v>-6000</v>
      </c>
      <c r="X130" s="423">
        <v>0</v>
      </c>
      <c r="Y130" s="423"/>
      <c r="Z130" s="264">
        <v>-5750</v>
      </c>
      <c r="AA130" s="423"/>
      <c r="AB130" s="273">
        <f>SUM('OPX_BN-1'!$T130:$AA130)</f>
        <v>-16750</v>
      </c>
      <c r="AC130" s="426"/>
      <c r="AD130" s="426"/>
      <c r="AE130" s="417">
        <v>0</v>
      </c>
      <c r="AF130" s="417">
        <v>0</v>
      </c>
      <c r="AG130" s="417">
        <v>0</v>
      </c>
      <c r="AH130" s="417">
        <v>0</v>
      </c>
      <c r="AI130" s="417">
        <v>-3500</v>
      </c>
      <c r="AJ130" s="271">
        <f>SUM('OPX_BN-1'!$AC130:$AI130)</f>
        <v>-3500</v>
      </c>
      <c r="AK130" s="429">
        <v>0</v>
      </c>
      <c r="AL130" s="276">
        <f>SUM('OPX_BN-1'!$J130,'OPX_BN-1'!$AB130,'OPX_BN-1'!$S130,'OPX_BN-1'!$AJ130,'OPX_BN-1'!$R130,'OPX_BN-1'!$AK130)</f>
        <v>-380987.77136438538</v>
      </c>
      <c r="AM130" s="427">
        <v>0</v>
      </c>
    </row>
    <row r="131" spans="1:39" ht="15">
      <c r="A131" s="329" t="s">
        <v>512</v>
      </c>
      <c r="B131" s="327" t="str">
        <f>VLOOKUP('OPX_BN-1'!$A131,Tableau106[],3,FALSE)</f>
        <v>A551</v>
      </c>
      <c r="C131" s="327" t="str">
        <f>VLOOKUP('OPX_BN-1'!$A131,Tableau106[],2,FALSE)</f>
        <v>FR59E02E</v>
      </c>
      <c r="D131" s="327" t="str">
        <f>VLOOKUP('OPX_BN-1'!$A131,Tableau106[],8,FALSE)</f>
        <v>EOLIEN</v>
      </c>
      <c r="E131" s="328">
        <f>VLOOKUP('OPX_BN-1'!$A131,Tableau106[],4,FALSE)</f>
        <v>12</v>
      </c>
      <c r="F131" s="327" t="str">
        <f>VLOOKUP('OPX_BN-1'!$A131,Tableau106[],5,FALSE)</f>
        <v>PLES</v>
      </c>
      <c r="G131" s="327" t="str">
        <f>VLOOKUP('OPX_BN-1'!$A131,Tableau106[],7,FALSE)</f>
        <v>ENDF</v>
      </c>
      <c r="H131" s="327" t="str">
        <f>VLOOKUP('OPX_BN-1'!$A131,Tableau106[],6,FALSE)</f>
        <v>N</v>
      </c>
      <c r="I131" s="327" t="str">
        <f>VLOOKUP('OPX_BN-1'!$A131,Tableau106[],9,FALSE)</f>
        <v>AnN</v>
      </c>
      <c r="J131" s="160">
        <v>0</v>
      </c>
      <c r="K131" s="489">
        <v>-6000</v>
      </c>
      <c r="L131" s="490">
        <v>0</v>
      </c>
      <c r="M131" s="229">
        <v>0</v>
      </c>
      <c r="N131" s="229">
        <v>0</v>
      </c>
      <c r="O131" s="229">
        <v>0</v>
      </c>
      <c r="P131" s="229">
        <v>0</v>
      </c>
      <c r="Q131" s="230">
        <v>-6000</v>
      </c>
      <c r="R131" s="274">
        <f>SUM('OPX_BN-1'!$K131:$Q131)</f>
        <v>-12000</v>
      </c>
      <c r="S131" s="338">
        <v>-377707.97330000001</v>
      </c>
      <c r="T131" s="423">
        <v>-1500</v>
      </c>
      <c r="U131" s="341"/>
      <c r="V131" s="423">
        <v>-7710</v>
      </c>
      <c r="W131" s="423">
        <v>-6932</v>
      </c>
      <c r="X131" s="423">
        <v>0</v>
      </c>
      <c r="Y131" s="423"/>
      <c r="Z131" s="264">
        <v>-6000</v>
      </c>
      <c r="AA131" s="423"/>
      <c r="AB131" s="273">
        <f>SUM('OPX_BN-1'!$T131:$AA131)</f>
        <v>-22142</v>
      </c>
      <c r="AC131" s="426"/>
      <c r="AD131" s="426"/>
      <c r="AE131" s="417">
        <v>0</v>
      </c>
      <c r="AF131" s="417">
        <v>0</v>
      </c>
      <c r="AG131" s="417">
        <v>0</v>
      </c>
      <c r="AH131" s="417">
        <v>0</v>
      </c>
      <c r="AI131" s="417">
        <v>0</v>
      </c>
      <c r="AJ131" s="271">
        <f>SUM('OPX_BN-1'!$AC131:$AI131)</f>
        <v>0</v>
      </c>
      <c r="AK131" s="429">
        <v>0</v>
      </c>
      <c r="AL131" s="276">
        <f>SUM('OPX_BN-1'!$J131,'OPX_BN-1'!$AB131,'OPX_BN-1'!$S131,'OPX_BN-1'!$AJ131,'OPX_BN-1'!$R131,'OPX_BN-1'!$AK131)</f>
        <v>-411849.97330000001</v>
      </c>
      <c r="AM131" s="427">
        <v>-10000</v>
      </c>
    </row>
    <row r="132" spans="1:39" ht="15">
      <c r="A132" s="329" t="s">
        <v>456</v>
      </c>
      <c r="B132" s="327" t="str">
        <f>VLOOKUP('OPX_BN-1'!$A132,Tableau106[],3,FALSE)</f>
        <v>F150</v>
      </c>
      <c r="C132" s="327" t="str">
        <f>VLOOKUP('OPX_BN-1'!$A132,Tableau106[],2,FALSE)</f>
        <v>FR22E04E</v>
      </c>
      <c r="D132" s="327" t="str">
        <f>VLOOKUP('OPX_BN-1'!$A132,Tableau106[],8,FALSE)</f>
        <v>EOLIEN</v>
      </c>
      <c r="E132" s="328">
        <f>VLOOKUP('OPX_BN-1'!$A132,Tableau106[],4,FALSE)</f>
        <v>6.9</v>
      </c>
      <c r="F132" s="327" t="str">
        <f>VLOOKUP('OPX_BN-1'!$A132,Tableau106[],5,FALSE)</f>
        <v>PLAT</v>
      </c>
      <c r="G132" s="327" t="str">
        <f>VLOOKUP('OPX_BN-1'!$A132,Tableau106[],7,FALSE)</f>
        <v>FUTUREN</v>
      </c>
      <c r="H132" s="327" t="str">
        <f>VLOOKUP('OPX_BN-1'!$A132,Tableau106[],6,FALSE)</f>
        <v>N</v>
      </c>
      <c r="I132" s="327" t="str">
        <f>VLOOKUP('OPX_BN-1'!$A132,Tableau106[],9,FALSE)</f>
        <v>AlY</v>
      </c>
      <c r="J132" s="160">
        <v>-4999.9211338582672</v>
      </c>
      <c r="K132" s="489">
        <v>-3450</v>
      </c>
      <c r="L132" s="490">
        <v>0</v>
      </c>
      <c r="M132" s="229">
        <v>0</v>
      </c>
      <c r="N132" s="229">
        <v>0</v>
      </c>
      <c r="O132" s="229">
        <v>0</v>
      </c>
      <c r="P132" s="229">
        <v>0</v>
      </c>
      <c r="Q132" s="230">
        <v>-3450</v>
      </c>
      <c r="R132" s="274">
        <f>SUM('OPX_BN-1'!$K132:$Q132)</f>
        <v>-6900</v>
      </c>
      <c r="S132" s="338">
        <v>-226862.36779600001</v>
      </c>
      <c r="T132" s="423">
        <v>0</v>
      </c>
      <c r="U132" s="341"/>
      <c r="V132" s="423">
        <v>0</v>
      </c>
      <c r="W132" s="423">
        <v>0</v>
      </c>
      <c r="X132" s="423">
        <v>0</v>
      </c>
      <c r="Y132" s="423"/>
      <c r="Z132" s="264">
        <v>-3450</v>
      </c>
      <c r="AA132" s="423"/>
      <c r="AB132" s="273">
        <f>SUM('OPX_BN-1'!$T132:$AA132)</f>
        <v>-3450</v>
      </c>
      <c r="AC132" s="426"/>
      <c r="AD132" s="426"/>
      <c r="AE132" s="417">
        <v>0</v>
      </c>
      <c r="AF132" s="417">
        <v>0</v>
      </c>
      <c r="AG132" s="417">
        <v>0</v>
      </c>
      <c r="AH132" s="417">
        <v>0</v>
      </c>
      <c r="AI132" s="417">
        <v>0</v>
      </c>
      <c r="AJ132" s="271">
        <f>SUM('OPX_BN-1'!$AC132:$AI132)</f>
        <v>0</v>
      </c>
      <c r="AK132" s="429">
        <v>0</v>
      </c>
      <c r="AL132" s="276">
        <f>SUM('OPX_BN-1'!$J132,'OPX_BN-1'!$AB132,'OPX_BN-1'!$S132,'OPX_BN-1'!$AJ132,'OPX_BN-1'!$R132,'OPX_BN-1'!$AK132)</f>
        <v>-242212.28892985827</v>
      </c>
      <c r="AM132" s="427">
        <v>0</v>
      </c>
    </row>
    <row r="133" spans="1:39" ht="15">
      <c r="A133" s="329" t="s">
        <v>521</v>
      </c>
      <c r="B133" s="327" t="str">
        <f>VLOOKUP('OPX_BN-1'!$A133,Tableau106[],3,FALSE)</f>
        <v>A552</v>
      </c>
      <c r="C133" s="327" t="str">
        <f>VLOOKUP('OPX_BN-1'!$A133,Tableau106[],2,FALSE)</f>
        <v>FR02E07E</v>
      </c>
      <c r="D133" s="327" t="str">
        <f>VLOOKUP('OPX_BN-1'!$A133,Tableau106[],8,FALSE)</f>
        <v>EOLIEN</v>
      </c>
      <c r="E133" s="328">
        <f>VLOOKUP('OPX_BN-1'!$A133,Tableau106[],4,FALSE)</f>
        <v>21</v>
      </c>
      <c r="F133" s="327" t="str">
        <f>VLOOKUP('OPX_BN-1'!$A133,Tableau106[],5,FALSE)</f>
        <v>PLAN</v>
      </c>
      <c r="G133" s="327" t="str">
        <f>VLOOKUP('OPX_BN-1'!$A133,Tableau106[],7,FALSE)</f>
        <v>ENDF</v>
      </c>
      <c r="H133" s="327" t="str">
        <f>VLOOKUP('OPX_BN-1'!$A133,Tableau106[],6,FALSE)</f>
        <v>N</v>
      </c>
      <c r="I133" s="327" t="str">
        <f>VLOOKUP('OPX_BN-1'!$A133,Tableau106[],9,FALSE)</f>
        <v>BoK</v>
      </c>
      <c r="J133" s="160">
        <v>0</v>
      </c>
      <c r="K133" s="489">
        <v>-10500</v>
      </c>
      <c r="L133" s="490">
        <v>0</v>
      </c>
      <c r="M133" s="229">
        <v>0</v>
      </c>
      <c r="N133" s="229">
        <v>0</v>
      </c>
      <c r="O133" s="229">
        <v>0</v>
      </c>
      <c r="P133" s="229">
        <v>0</v>
      </c>
      <c r="Q133" s="230">
        <v>-10500</v>
      </c>
      <c r="R133" s="274">
        <f>SUM('OPX_BN-1'!$K133:$Q133)</f>
        <v>-21000</v>
      </c>
      <c r="S133" s="338">
        <v>-663338.98259999999</v>
      </c>
      <c r="T133" s="423">
        <v>0</v>
      </c>
      <c r="U133" s="341"/>
      <c r="V133" s="423">
        <v>-2000</v>
      </c>
      <c r="W133" s="423">
        <v>0</v>
      </c>
      <c r="X133" s="423">
        <v>0</v>
      </c>
      <c r="Y133" s="423"/>
      <c r="Z133" s="264">
        <v>-10500</v>
      </c>
      <c r="AA133" s="423"/>
      <c r="AB133" s="273">
        <f>SUM('OPX_BN-1'!$T133:$AA133)</f>
        <v>-12500</v>
      </c>
      <c r="AC133" s="426"/>
      <c r="AD133" s="426"/>
      <c r="AE133" s="417">
        <v>0</v>
      </c>
      <c r="AF133" s="417">
        <v>0</v>
      </c>
      <c r="AG133" s="417">
        <v>0</v>
      </c>
      <c r="AH133" s="417">
        <v>0</v>
      </c>
      <c r="AI133" s="417">
        <v>0</v>
      </c>
      <c r="AJ133" s="271">
        <f>SUM('OPX_BN-1'!$AC133:$AI133)</f>
        <v>0</v>
      </c>
      <c r="AK133" s="429">
        <v>0</v>
      </c>
      <c r="AL133" s="276">
        <f>SUM('OPX_BN-1'!$J133,'OPX_BN-1'!$AB133,'OPX_BN-1'!$S133,'OPX_BN-1'!$AJ133,'OPX_BN-1'!$R133,'OPX_BN-1'!$AK133)</f>
        <v>-696838.98259999999</v>
      </c>
      <c r="AM133" s="427">
        <v>-10000</v>
      </c>
    </row>
    <row r="134" spans="1:39" ht="15">
      <c r="A134" s="329" t="s">
        <v>560</v>
      </c>
      <c r="B134" s="327" t="str">
        <f>VLOOKUP('OPX_BN-1'!$A134,Tableau106[],3,FALSE)</f>
        <v>A370</v>
      </c>
      <c r="C134" s="327" t="str">
        <f>VLOOKUP('OPX_BN-1'!$A134,Tableau106[],2,FALSE)</f>
        <v>FR11E94E</v>
      </c>
      <c r="D134" s="327" t="str">
        <f>VLOOKUP('OPX_BN-1'!$A134,Tableau106[],8,FALSE)</f>
        <v>EOLIEN</v>
      </c>
      <c r="E134" s="328">
        <f>VLOOKUP('OPX_BN-1'!$A134,Tableau106[],4,FALSE)</f>
        <v>9.1999999999999993</v>
      </c>
      <c r="F134" s="327" t="str">
        <f>VLOOKUP('OPX_BN-1'!$A134,Tableau106[],5,FALSE)</f>
        <v>PLGR</v>
      </c>
      <c r="G134" s="327" t="str">
        <f>VLOOKUP('OPX_BN-1'!$A134,Tableau106[],7,FALSE)</f>
        <v>GROUPE</v>
      </c>
      <c r="H134" s="327" t="str">
        <f>VLOOKUP('OPX_BN-1'!$A134,Tableau106[],6,FALSE)</f>
        <v>S</v>
      </c>
      <c r="I134" s="327" t="str">
        <f>VLOOKUP('OPX_BN-1'!$A134,Tableau106[],9,FALSE)</f>
        <v>ThC</v>
      </c>
      <c r="J134" s="160">
        <v>-12626.246851385387</v>
      </c>
      <c r="K134" s="489">
        <v>-4600</v>
      </c>
      <c r="L134" s="490">
        <v>0</v>
      </c>
      <c r="M134" s="229">
        <v>0</v>
      </c>
      <c r="N134" s="229">
        <v>0</v>
      </c>
      <c r="O134" s="229">
        <v>0</v>
      </c>
      <c r="P134" s="229">
        <v>-3220</v>
      </c>
      <c r="Q134" s="230">
        <v>-4600</v>
      </c>
      <c r="R134" s="274">
        <f>SUM('OPX_BN-1'!$K134:$Q134)</f>
        <v>-12420</v>
      </c>
      <c r="S134" s="338">
        <v>-277372.95585600002</v>
      </c>
      <c r="T134" s="423">
        <v>0</v>
      </c>
      <c r="U134" s="341"/>
      <c r="V134" s="423">
        <v>-4000</v>
      </c>
      <c r="W134" s="423">
        <v>-5000</v>
      </c>
      <c r="X134" s="423">
        <v>0</v>
      </c>
      <c r="Y134" s="423"/>
      <c r="Z134" s="264">
        <v>-4600</v>
      </c>
      <c r="AA134" s="423"/>
      <c r="AB134" s="273">
        <f>SUM('OPX_BN-1'!$T134:$AA134)</f>
        <v>-13600</v>
      </c>
      <c r="AC134" s="426"/>
      <c r="AD134" s="426"/>
      <c r="AE134" s="417">
        <v>0</v>
      </c>
      <c r="AF134" s="417">
        <v>0</v>
      </c>
      <c r="AG134" s="417">
        <v>-6000</v>
      </c>
      <c r="AH134" s="417">
        <v>0</v>
      </c>
      <c r="AI134" s="417">
        <v>-10000</v>
      </c>
      <c r="AJ134" s="271">
        <f>SUM('OPX_BN-1'!$AC134:$AI134)</f>
        <v>-16000</v>
      </c>
      <c r="AK134" s="429">
        <v>0</v>
      </c>
      <c r="AL134" s="276">
        <f>SUM('OPX_BN-1'!$J134,'OPX_BN-1'!$AB134,'OPX_BN-1'!$S134,'OPX_BN-1'!$AJ134,'OPX_BN-1'!$R134,'OPX_BN-1'!$AK134)</f>
        <v>-332019.20270738541</v>
      </c>
      <c r="AM134" s="427">
        <v>0</v>
      </c>
    </row>
    <row r="135" spans="1:39" ht="15">
      <c r="A135" s="329" t="s">
        <v>566</v>
      </c>
      <c r="B135" s="327" t="str">
        <f>VLOOKUP('OPX_BN-1'!$A135,Tableau106[],3,FALSE)</f>
        <v>A545</v>
      </c>
      <c r="C135" s="327" t="str">
        <f>VLOOKUP('OPX_BN-1'!$A135,Tableau106[],2,FALSE)</f>
        <v>FR56E05E</v>
      </c>
      <c r="D135" s="327" t="str">
        <f>VLOOKUP('OPX_BN-1'!$A135,Tableau106[],8,FALSE)</f>
        <v>EOLIEN</v>
      </c>
      <c r="E135" s="328">
        <f>VLOOKUP('OPX_BN-1'!$A135,Tableau106[],4,FALSE)</f>
        <v>10</v>
      </c>
      <c r="F135" s="327" t="str">
        <f>VLOOKUP('OPX_BN-1'!$A135,Tableau106[],5,FALSE)</f>
        <v>PLEU</v>
      </c>
      <c r="G135" s="327" t="str">
        <f>VLOOKUP('OPX_BN-1'!$A135,Tableau106[],7,FALSE)</f>
        <v>EGM</v>
      </c>
      <c r="H135" s="327" t="str">
        <f>VLOOKUP('OPX_BN-1'!$A135,Tableau106[],6,FALSE)</f>
        <v>N</v>
      </c>
      <c r="I135" s="327" t="str">
        <f>VLOOKUP('OPX_BN-1'!$A135,Tableau106[],9,FALSE)</f>
        <v>MaA</v>
      </c>
      <c r="J135" s="160">
        <v>-256678.59608762685</v>
      </c>
      <c r="K135" s="489">
        <v>-5000</v>
      </c>
      <c r="L135" s="490">
        <v>-33068.783068783072</v>
      </c>
      <c r="M135" s="229">
        <v>0</v>
      </c>
      <c r="N135" s="229">
        <v>0</v>
      </c>
      <c r="O135" s="229">
        <v>0</v>
      </c>
      <c r="P135" s="229">
        <v>-3500</v>
      </c>
      <c r="Q135" s="230">
        <v>-5000</v>
      </c>
      <c r="R135" s="274">
        <f>SUM('OPX_BN-1'!$K135:$Q135)</f>
        <v>-46568.783068783072</v>
      </c>
      <c r="S135" s="338">
        <v>0</v>
      </c>
      <c r="T135" s="423">
        <v>0</v>
      </c>
      <c r="U135" s="341"/>
      <c r="V135" s="423">
        <v>-2000</v>
      </c>
      <c r="W135" s="423">
        <v>0</v>
      </c>
      <c r="X135" s="423">
        <v>0</v>
      </c>
      <c r="Y135" s="423"/>
      <c r="Z135" s="264">
        <v>-5000</v>
      </c>
      <c r="AA135" s="423"/>
      <c r="AB135" s="273">
        <f>SUM('OPX_BN-1'!$T135:$AA135)</f>
        <v>-7000</v>
      </c>
      <c r="AC135" s="426"/>
      <c r="AD135" s="426"/>
      <c r="AE135" s="417">
        <v>0</v>
      </c>
      <c r="AF135" s="417">
        <v>0</v>
      </c>
      <c r="AG135" s="417">
        <v>0</v>
      </c>
      <c r="AH135" s="417">
        <v>0</v>
      </c>
      <c r="AI135" s="417">
        <v>0</v>
      </c>
      <c r="AJ135" s="271">
        <f>SUM('OPX_BN-1'!$AC135:$AI135)</f>
        <v>0</v>
      </c>
      <c r="AK135" s="429">
        <v>0</v>
      </c>
      <c r="AL135" s="276">
        <f>SUM('OPX_BN-1'!$J135,'OPX_BN-1'!$AB135,'OPX_BN-1'!$S135,'OPX_BN-1'!$AJ135,'OPX_BN-1'!$R135,'OPX_BN-1'!$AK135)</f>
        <v>-310247.37915640994</v>
      </c>
      <c r="AM135" s="427">
        <v>0</v>
      </c>
    </row>
    <row r="136" spans="1:39" ht="15">
      <c r="A136" s="329" t="s">
        <v>195</v>
      </c>
      <c r="B136" s="327" t="str">
        <f>VLOOKUP('OPX_BN-1'!$A136,Tableau106[],3,FALSE)</f>
        <v>F034</v>
      </c>
      <c r="C136" s="327" t="str">
        <f>VLOOKUP('OPX_BN-1'!$A136,Tableau106[],2,FALSE)</f>
        <v>FR12E94E</v>
      </c>
      <c r="D136" s="327" t="str">
        <f>VLOOKUP('OPX_BN-1'!$A136,Tableau106[],8,FALSE)</f>
        <v>EOLIEN</v>
      </c>
      <c r="E136" s="328">
        <f>VLOOKUP('OPX_BN-1'!$A136,Tableau106[],4,FALSE)</f>
        <v>11.5</v>
      </c>
      <c r="F136" s="327" t="str">
        <f>VLOOKUP('OPX_BN-1'!$A136,Tableau106[],5,FALSE)</f>
        <v>PLOS</v>
      </c>
      <c r="G136" s="327" t="str">
        <f>VLOOKUP('OPX_BN-1'!$A136,Tableau106[],7,FALSE)</f>
        <v>FUTUREN</v>
      </c>
      <c r="H136" s="327" t="str">
        <f>VLOOKUP('OPX_BN-1'!$A136,Tableau106[],6,FALSE)</f>
        <v>S</v>
      </c>
      <c r="I136" s="327" t="str">
        <f>VLOOKUP('OPX_BN-1'!$A136,Tableau106[],9,FALSE)</f>
        <v>OdP</v>
      </c>
      <c r="J136" s="160">
        <v>-7401.8267716535474</v>
      </c>
      <c r="K136" s="489">
        <v>-7750</v>
      </c>
      <c r="L136" s="490">
        <v>0</v>
      </c>
      <c r="M136" s="229">
        <v>0</v>
      </c>
      <c r="N136" s="229">
        <v>0</v>
      </c>
      <c r="O136" s="229">
        <v>0</v>
      </c>
      <c r="P136" s="229">
        <v>0</v>
      </c>
      <c r="Q136" s="230">
        <v>-5750</v>
      </c>
      <c r="R136" s="274">
        <f>SUM('OPX_BN-1'!$K136:$Q136)</f>
        <v>-13500</v>
      </c>
      <c r="S136" s="338">
        <v>-235181.1</v>
      </c>
      <c r="T136" s="423">
        <v>0</v>
      </c>
      <c r="U136" s="341"/>
      <c r="V136" s="423">
        <v>-2471.5</v>
      </c>
      <c r="W136" s="423">
        <v>0</v>
      </c>
      <c r="X136" s="423">
        <v>0</v>
      </c>
      <c r="Y136" s="423"/>
      <c r="Z136" s="264">
        <v>-10750</v>
      </c>
      <c r="AA136" s="423"/>
      <c r="AB136" s="273">
        <f>SUM('OPX_BN-1'!$T136:$AA136)</f>
        <v>-13221.5</v>
      </c>
      <c r="AC136" s="426"/>
      <c r="AD136" s="426"/>
      <c r="AE136" s="417">
        <v>-30000</v>
      </c>
      <c r="AF136" s="417">
        <v>0</v>
      </c>
      <c r="AG136" s="417">
        <v>-50000</v>
      </c>
      <c r="AH136" s="417">
        <v>0</v>
      </c>
      <c r="AI136" s="417">
        <v>-30000</v>
      </c>
      <c r="AJ136" s="271">
        <f>SUM('OPX_BN-1'!$AC136:$AI136)</f>
        <v>-110000</v>
      </c>
      <c r="AK136" s="429">
        <v>0</v>
      </c>
      <c r="AL136" s="276">
        <f>SUM('OPX_BN-1'!$J136,'OPX_BN-1'!$AB136,'OPX_BN-1'!$S136,'OPX_BN-1'!$AJ136,'OPX_BN-1'!$R136,'OPX_BN-1'!$AK136)</f>
        <v>-379304.42677165358</v>
      </c>
      <c r="AM136" s="427">
        <v>0</v>
      </c>
    </row>
    <row r="137" spans="1:39" ht="15">
      <c r="A137" s="329" t="s">
        <v>588</v>
      </c>
      <c r="B137" s="327" t="str">
        <f>VLOOKUP('OPX_BN-1'!$A137,Tableau106[],3,FALSE)</f>
        <v>A533</v>
      </c>
      <c r="C137" s="327" t="str">
        <f>VLOOKUP('OPX_BN-1'!$A137,Tableau106[],2,FALSE)</f>
        <v>FR57E03E</v>
      </c>
      <c r="D137" s="327" t="str">
        <f>VLOOKUP('OPX_BN-1'!$A137,Tableau106[],8,FALSE)</f>
        <v>EOLIEN</v>
      </c>
      <c r="E137" s="328">
        <f>VLOOKUP('OPX_BN-1'!$A137,Tableau106[],4,FALSE)</f>
        <v>8</v>
      </c>
      <c r="F137" s="327" t="str">
        <f>VLOOKUP('OPX_BN-1'!$A137,Tableau106[],5,FALSE)</f>
        <v>PDFE</v>
      </c>
      <c r="G137" s="327" t="str">
        <f>VLOOKUP('OPX_BN-1'!$A137,Tableau106[],7,FALSE)</f>
        <v>GROUPE</v>
      </c>
      <c r="H137" s="327" t="str">
        <f>VLOOKUP('OPX_BN-1'!$A137,Tableau106[],6,FALSE)</f>
        <v>N</v>
      </c>
      <c r="I137" s="327" t="str">
        <f>VLOOKUP('OPX_BN-1'!$A137,Tableau106[],9,FALSE)</f>
        <v>AyB</v>
      </c>
      <c r="J137" s="160">
        <v>-12626.246851385387</v>
      </c>
      <c r="K137" s="489">
        <v>-4000</v>
      </c>
      <c r="L137" s="490">
        <v>0</v>
      </c>
      <c r="M137" s="229">
        <v>0</v>
      </c>
      <c r="N137" s="229">
        <v>0</v>
      </c>
      <c r="O137" s="229">
        <v>0</v>
      </c>
      <c r="P137" s="229">
        <v>-2800</v>
      </c>
      <c r="Q137" s="230">
        <v>-4000</v>
      </c>
      <c r="R137" s="274">
        <f>SUM('OPX_BN-1'!$K137:$Q137)</f>
        <v>-10800</v>
      </c>
      <c r="S137" s="338">
        <v>-221742.18</v>
      </c>
      <c r="T137" s="423">
        <v>0</v>
      </c>
      <c r="U137" s="341"/>
      <c r="V137" s="423">
        <v>-650</v>
      </c>
      <c r="W137" s="423">
        <v>0</v>
      </c>
      <c r="X137" s="423">
        <v>0</v>
      </c>
      <c r="Y137" s="423"/>
      <c r="Z137" s="264">
        <v>-4000</v>
      </c>
      <c r="AA137" s="423"/>
      <c r="AB137" s="273">
        <f>SUM('OPX_BN-1'!$T137:$AA137)</f>
        <v>-4650</v>
      </c>
      <c r="AC137" s="426"/>
      <c r="AD137" s="426"/>
      <c r="AE137" s="417">
        <v>0</v>
      </c>
      <c r="AF137" s="417">
        <v>0</v>
      </c>
      <c r="AG137" s="417">
        <v>0</v>
      </c>
      <c r="AH137" s="417">
        <v>0</v>
      </c>
      <c r="AI137" s="417">
        <v>0</v>
      </c>
      <c r="AJ137" s="271">
        <f>SUM('OPX_BN-1'!$AC137:$AI137)</f>
        <v>0</v>
      </c>
      <c r="AK137" s="429">
        <v>0</v>
      </c>
      <c r="AL137" s="276">
        <f>SUM('OPX_BN-1'!$J137,'OPX_BN-1'!$AB137,'OPX_BN-1'!$S137,'OPX_BN-1'!$AJ137,'OPX_BN-1'!$R137,'OPX_BN-1'!$AK137)</f>
        <v>-249818.42685138539</v>
      </c>
      <c r="AM137" s="427">
        <v>0</v>
      </c>
    </row>
    <row r="138" spans="1:39" ht="15">
      <c r="A138" s="329" t="s">
        <v>527</v>
      </c>
      <c r="B138" s="327" t="str">
        <f>VLOOKUP('OPX_BN-1'!$A138,Tableau106[],3,FALSE)</f>
        <v>A150</v>
      </c>
      <c r="C138" s="327" t="str">
        <f>VLOOKUP('OPX_BN-1'!$A138,Tableau106[],2,FALSE)</f>
        <v>FR51E01E</v>
      </c>
      <c r="D138" s="327" t="str">
        <f>VLOOKUP('OPX_BN-1'!$A138,Tableau106[],8,FALSE)</f>
        <v>EOLIEN</v>
      </c>
      <c r="E138" s="328">
        <f>VLOOKUP('OPX_BN-1'!$A138,Tableau106[],4,FALSE)</f>
        <v>12.3</v>
      </c>
      <c r="F138" s="327" t="str">
        <f>VLOOKUP('OPX_BN-1'!$A138,Tableau106[],5,FALSE)</f>
        <v>PDC1, PDC2</v>
      </c>
      <c r="G138" s="327" t="str">
        <f>VLOOKUP('OPX_BN-1'!$A138,Tableau106[],7,FALSE)</f>
        <v>FUTUREN</v>
      </c>
      <c r="H138" s="327" t="str">
        <f>VLOOKUP('OPX_BN-1'!$A138,Tableau106[],6,FALSE)</f>
        <v>N</v>
      </c>
      <c r="I138" s="327" t="str">
        <f>VLOOKUP('OPX_BN-1'!$A138,Tableau106[],9,FALSE)</f>
        <v>HuB</v>
      </c>
      <c r="J138" s="160">
        <v>-23606</v>
      </c>
      <c r="K138" s="489">
        <v>-6150</v>
      </c>
      <c r="L138" s="490">
        <v>0</v>
      </c>
      <c r="M138" s="229">
        <v>0</v>
      </c>
      <c r="N138" s="229">
        <v>0</v>
      </c>
      <c r="O138" s="229">
        <v>0</v>
      </c>
      <c r="P138" s="229">
        <v>-4305</v>
      </c>
      <c r="Q138" s="230">
        <v>-6150</v>
      </c>
      <c r="R138" s="274">
        <f>SUM('OPX_BN-1'!$K138:$Q138)</f>
        <v>-16605</v>
      </c>
      <c r="S138" s="338">
        <v>-265724.09999999998</v>
      </c>
      <c r="T138" s="423">
        <v>0</v>
      </c>
      <c r="U138" s="341"/>
      <c r="V138" s="423">
        <v>-2700</v>
      </c>
      <c r="W138" s="423">
        <v>0</v>
      </c>
      <c r="X138" s="423">
        <v>0</v>
      </c>
      <c r="Y138" s="423"/>
      <c r="Z138" s="264">
        <v>-6150</v>
      </c>
      <c r="AA138" s="423"/>
      <c r="AB138" s="273">
        <f>SUM('OPX_BN-1'!$T138:$AA138)</f>
        <v>-8850</v>
      </c>
      <c r="AC138" s="426"/>
      <c r="AD138" s="426"/>
      <c r="AE138" s="417">
        <v>0</v>
      </c>
      <c r="AF138" s="417">
        <v>-10000</v>
      </c>
      <c r="AG138" s="417">
        <v>-30000</v>
      </c>
      <c r="AH138" s="417">
        <v>0</v>
      </c>
      <c r="AI138" s="417">
        <v>0</v>
      </c>
      <c r="AJ138" s="271">
        <f>SUM('OPX_BN-1'!$AC138:$AI138)</f>
        <v>-40000</v>
      </c>
      <c r="AK138" s="429">
        <v>0</v>
      </c>
      <c r="AL138" s="276">
        <f>SUM('OPX_BN-1'!$J138,'OPX_BN-1'!$AB138,'OPX_BN-1'!$S138,'OPX_BN-1'!$AJ138,'OPX_BN-1'!$R138,'OPX_BN-1'!$AK138)</f>
        <v>-354785.1</v>
      </c>
      <c r="AM138" s="427">
        <v>0</v>
      </c>
    </row>
    <row r="139" spans="1:39" ht="15">
      <c r="A139" s="329" t="s">
        <v>574</v>
      </c>
      <c r="B139" s="327" t="str">
        <f>VLOOKUP('OPX_BN-1'!$A139,Tableau106[],3,FALSE)</f>
        <v>A041</v>
      </c>
      <c r="C139" s="327" t="str">
        <f>VLOOKUP('OPX_BN-1'!$A139,Tableau106[],2,FALSE)</f>
        <v>FR97S92E</v>
      </c>
      <c r="D139" s="327" t="str">
        <f>VLOOKUP('OPX_BN-1'!$A139,Tableau106[],8,FALSE)</f>
        <v>SOLAIRE DOM</v>
      </c>
      <c r="E139" s="328">
        <f>VLOOKUP('OPX_BN-1'!$A139,Tableau106[],4,FALSE)</f>
        <v>4.5</v>
      </c>
      <c r="F139" s="327" t="str">
        <f>VLOOKUP('OPX_BN-1'!$A139,Tableau106[],5,FALSE)</f>
        <v>POTI</v>
      </c>
      <c r="G139" s="327" t="str">
        <f>VLOOKUP('OPX_BN-1'!$A139,Tableau106[],7,FALSE)</f>
        <v>GROUPE</v>
      </c>
      <c r="H139" s="327" t="str">
        <f>VLOOKUP('OPX_BN-1'!$A139,Tableau106[],6,FALSE)</f>
        <v>DOM</v>
      </c>
      <c r="I139" s="327" t="str">
        <f>VLOOKUP('OPX_BN-1'!$A139,Tableau106[],9,FALSE)</f>
        <v>DoJ</v>
      </c>
      <c r="J139" s="160">
        <v>0</v>
      </c>
      <c r="K139" s="489">
        <v>-2250</v>
      </c>
      <c r="L139" s="490">
        <v>0</v>
      </c>
      <c r="M139" s="229">
        <v>0</v>
      </c>
      <c r="N139" s="229">
        <v>0</v>
      </c>
      <c r="O139" s="229">
        <v>0</v>
      </c>
      <c r="P139" s="229">
        <v>0</v>
      </c>
      <c r="Q139" s="230">
        <v>-2250</v>
      </c>
      <c r="R139" s="274">
        <f>SUM('OPX_BN-1'!$K139:$Q139)</f>
        <v>-4500</v>
      </c>
      <c r="S139" s="338">
        <v>-260598.007224</v>
      </c>
      <c r="T139" s="423">
        <v>-25000</v>
      </c>
      <c r="U139" s="341"/>
      <c r="V139" s="423">
        <v>0</v>
      </c>
      <c r="W139" s="423">
        <v>-2100</v>
      </c>
      <c r="X139" s="423">
        <v>-6400</v>
      </c>
      <c r="Y139" s="423"/>
      <c r="Z139" s="264">
        <v>-5250</v>
      </c>
      <c r="AA139" s="423"/>
      <c r="AB139" s="273">
        <f>SUM('OPX_BN-1'!$T139:$AA139)</f>
        <v>-38750</v>
      </c>
      <c r="AC139" s="426"/>
      <c r="AD139" s="426"/>
      <c r="AE139" s="417">
        <v>0</v>
      </c>
      <c r="AF139" s="417">
        <v>0</v>
      </c>
      <c r="AG139" s="417">
        <v>0</v>
      </c>
      <c r="AH139" s="417">
        <v>0</v>
      </c>
      <c r="AI139" s="417">
        <v>0</v>
      </c>
      <c r="AJ139" s="271">
        <f>SUM('OPX_BN-1'!$AC139:$AI139)</f>
        <v>0</v>
      </c>
      <c r="AK139" s="429">
        <v>0</v>
      </c>
      <c r="AL139" s="276">
        <f>SUM('OPX_BN-1'!$J139,'OPX_BN-1'!$AB139,'OPX_BN-1'!$S139,'OPX_BN-1'!$AJ139,'OPX_BN-1'!$R139,'OPX_BN-1'!$AK139)</f>
        <v>-303848.007224</v>
      </c>
      <c r="AM139" s="427">
        <v>0</v>
      </c>
    </row>
    <row r="140" spans="1:39" ht="15">
      <c r="A140" s="329" t="s">
        <v>286</v>
      </c>
      <c r="B140" s="327" t="str">
        <f>VLOOKUP('OPX_BN-1'!$A140,Tableau106[],3,FALSE)</f>
        <v>A539</v>
      </c>
      <c r="C140" s="327" t="str">
        <f>VLOOKUP('OPX_BN-1'!$A140,Tableau106[],2,FALSE)</f>
        <v>FR11E87E</v>
      </c>
      <c r="D140" s="327" t="str">
        <f>VLOOKUP('OPX_BN-1'!$A140,Tableau106[],8,FALSE)</f>
        <v>EOLIEN</v>
      </c>
      <c r="E140" s="328">
        <f>VLOOKUP('OPX_BN-1'!$A140,Tableau106[],4,FALSE)</f>
        <v>5.0999999999999996</v>
      </c>
      <c r="F140" s="327" t="str">
        <f>VLOOKUP('OPX_BN-1'!$A140,Tableau106[],5,FALSE)</f>
        <v>POUZ</v>
      </c>
      <c r="G140" s="327" t="str">
        <f>VLOOKUP('OPX_BN-1'!$A140,Tableau106[],7,FALSE)</f>
        <v>GROUPE</v>
      </c>
      <c r="H140" s="327" t="str">
        <f>VLOOKUP('OPX_BN-1'!$A140,Tableau106[],6,FALSE)</f>
        <v>S</v>
      </c>
      <c r="I140" s="327" t="str">
        <f>VLOOKUP('OPX_BN-1'!$A140,Tableau106[],9,FALSE)</f>
        <v>SaH</v>
      </c>
      <c r="J140" s="160">
        <v>-235902.54</v>
      </c>
      <c r="K140" s="489">
        <v>-2550</v>
      </c>
      <c r="L140" s="490">
        <v>0</v>
      </c>
      <c r="M140" s="229">
        <v>0</v>
      </c>
      <c r="N140" s="229">
        <v>0</v>
      </c>
      <c r="O140" s="229">
        <v>0</v>
      </c>
      <c r="P140" s="229">
        <v>-1785</v>
      </c>
      <c r="Q140" s="230">
        <v>-2550</v>
      </c>
      <c r="R140" s="274">
        <f>SUM('OPX_BN-1'!$K140:$Q140)</f>
        <v>-6885</v>
      </c>
      <c r="S140" s="338">
        <v>0</v>
      </c>
      <c r="T140" s="423">
        <v>0</v>
      </c>
      <c r="U140" s="341"/>
      <c r="V140" s="423">
        <v>-15000</v>
      </c>
      <c r="W140" s="423">
        <v>0</v>
      </c>
      <c r="X140" s="423">
        <v>0</v>
      </c>
      <c r="Y140" s="423"/>
      <c r="Z140" s="264">
        <v>-2550</v>
      </c>
      <c r="AA140" s="423"/>
      <c r="AB140" s="273">
        <f>SUM('OPX_BN-1'!$T140:$AA140)</f>
        <v>-17550</v>
      </c>
      <c r="AC140" s="426"/>
      <c r="AD140" s="426"/>
      <c r="AE140" s="417">
        <v>0</v>
      </c>
      <c r="AF140" s="417">
        <v>-10000</v>
      </c>
      <c r="AG140" s="417">
        <v>-30000</v>
      </c>
      <c r="AH140" s="417">
        <v>0</v>
      </c>
      <c r="AI140" s="417">
        <v>0</v>
      </c>
      <c r="AJ140" s="271">
        <f>SUM('OPX_BN-1'!$AC140:$AI140)</f>
        <v>-40000</v>
      </c>
      <c r="AK140" s="429">
        <v>0</v>
      </c>
      <c r="AL140" s="276">
        <f>SUM('OPX_BN-1'!$J140,'OPX_BN-1'!$AB140,'OPX_BN-1'!$S140,'OPX_BN-1'!$AJ140,'OPX_BN-1'!$R140,'OPX_BN-1'!$AK140)</f>
        <v>-300337.54000000004</v>
      </c>
      <c r="AM140" s="427">
        <v>0</v>
      </c>
    </row>
    <row r="141" spans="1:39" ht="15">
      <c r="A141" s="329" t="s">
        <v>577</v>
      </c>
      <c r="B141" s="327" t="str">
        <f>VLOOKUP('OPX_BN-1'!$A141,Tableau106[],3,FALSE)</f>
        <v>A045</v>
      </c>
      <c r="C141" s="327" t="str">
        <f>VLOOKUP('OPX_BN-1'!$A141,Tableau106[],2,FALSE)</f>
        <v>FR97S74E</v>
      </c>
      <c r="D141" s="327" t="str">
        <f>VLOOKUP('OPX_BN-1'!$A141,Tableau106[],8,FALSE)</f>
        <v>SOLAIRE DOM</v>
      </c>
      <c r="E141" s="328">
        <f>VLOOKUP('OPX_BN-1'!$A141,Tableau106[],4,FALSE)</f>
        <v>0.68200000000000005</v>
      </c>
      <c r="F141" s="327" t="str">
        <f>VLOOKUP('OPX_BN-1'!$A141,Tableau106[],5,FALSE)</f>
        <v>PROV</v>
      </c>
      <c r="G141" s="327" t="str">
        <f>VLOOKUP('OPX_BN-1'!$A141,Tableau106[],7,FALSE)</f>
        <v>GROUPE</v>
      </c>
      <c r="H141" s="327" t="str">
        <f>VLOOKUP('OPX_BN-1'!$A141,Tableau106[],6,FALSE)</f>
        <v>DOM</v>
      </c>
      <c r="I141" s="327" t="str">
        <f>VLOOKUP('OPX_BN-1'!$A141,Tableau106[],9,FALSE)</f>
        <v>DoJ</v>
      </c>
      <c r="J141" s="160">
        <v>0</v>
      </c>
      <c r="K141" s="489">
        <v>-341</v>
      </c>
      <c r="L141" s="490">
        <v>0</v>
      </c>
      <c r="M141" s="229">
        <v>0</v>
      </c>
      <c r="N141" s="229">
        <v>0</v>
      </c>
      <c r="O141" s="229">
        <v>0</v>
      </c>
      <c r="P141" s="229">
        <v>0</v>
      </c>
      <c r="Q141" s="230">
        <v>-500</v>
      </c>
      <c r="R141" s="274">
        <f>SUM('OPX_BN-1'!$K141:$Q141)</f>
        <v>-841</v>
      </c>
      <c r="S141" s="338">
        <v>-31561.1</v>
      </c>
      <c r="T141" s="423">
        <v>-6000</v>
      </c>
      <c r="U141" s="341"/>
      <c r="V141" s="423">
        <v>0</v>
      </c>
      <c r="W141" s="423">
        <v>-1220</v>
      </c>
      <c r="X141" s="423">
        <v>0</v>
      </c>
      <c r="Y141" s="423"/>
      <c r="Z141" s="264">
        <v>-3500</v>
      </c>
      <c r="AA141" s="423"/>
      <c r="AB141" s="273">
        <f>SUM('OPX_BN-1'!$T141:$AA141)</f>
        <v>-10720</v>
      </c>
      <c r="AC141" s="426"/>
      <c r="AD141" s="426"/>
      <c r="AE141" s="417">
        <v>0</v>
      </c>
      <c r="AF141" s="417">
        <v>0</v>
      </c>
      <c r="AG141" s="417">
        <v>0</v>
      </c>
      <c r="AH141" s="417">
        <v>0</v>
      </c>
      <c r="AI141" s="417">
        <v>0</v>
      </c>
      <c r="AJ141" s="271">
        <f>SUM('OPX_BN-1'!$AC141:$AI141)</f>
        <v>0</v>
      </c>
      <c r="AK141" s="429">
        <v>0</v>
      </c>
      <c r="AL141" s="276">
        <f>SUM('OPX_BN-1'!$J141,'OPX_BN-1'!$AB141,'OPX_BN-1'!$S141,'OPX_BN-1'!$AJ141,'OPX_BN-1'!$R141,'OPX_BN-1'!$AK141)</f>
        <v>-43122.1</v>
      </c>
      <c r="AM141" s="427">
        <v>0</v>
      </c>
    </row>
    <row r="142" spans="1:39" ht="15">
      <c r="A142" s="329" t="s">
        <v>621</v>
      </c>
      <c r="B142" s="327" t="str">
        <f>VLOOKUP('OPX_BN-1'!$A142,Tableau106[],3,FALSE)</f>
        <v>A540</v>
      </c>
      <c r="C142" s="327" t="str">
        <f>VLOOKUP('OPX_BN-1'!$A142,Tableau106[],2,FALSE)</f>
        <v>FR55E05E</v>
      </c>
      <c r="D142" s="327" t="str">
        <f>VLOOKUP('OPX_BN-1'!$A142,Tableau106[],8,FALSE)</f>
        <v>EOLIEN</v>
      </c>
      <c r="E142" s="328">
        <f>VLOOKUP('OPX_BN-1'!$A142,Tableau106[],4,FALSE)</f>
        <v>12</v>
      </c>
      <c r="F142" s="327" t="str">
        <f>VLOOKUP('OPX_BN-1'!$A142,Tableau106[],5,FALSE)</f>
        <v>RAM1</v>
      </c>
      <c r="G142" s="327" t="str">
        <f>VLOOKUP('OPX_BN-1'!$A142,Tableau106[],7,FALSE)</f>
        <v>EGM</v>
      </c>
      <c r="H142" s="327" t="str">
        <f>VLOOKUP('OPX_BN-1'!$A142,Tableau106[],6,FALSE)</f>
        <v>N</v>
      </c>
      <c r="I142" s="327" t="str">
        <f>VLOOKUP('OPX_BN-1'!$A142,Tableau106[],9,FALSE)</f>
        <v>BaB</v>
      </c>
      <c r="J142" s="160">
        <v>-308014.31530515221</v>
      </c>
      <c r="K142" s="489">
        <v>-6000</v>
      </c>
      <c r="L142" s="490">
        <v>-39682.539682539682</v>
      </c>
      <c r="M142" s="229">
        <v>0</v>
      </c>
      <c r="N142" s="229">
        <v>0</v>
      </c>
      <c r="O142" s="229">
        <v>0</v>
      </c>
      <c r="P142" s="229">
        <v>-4200</v>
      </c>
      <c r="Q142" s="230">
        <v>-6000</v>
      </c>
      <c r="R142" s="274">
        <f>SUM('OPX_BN-1'!$K142:$Q142)</f>
        <v>-55882.539682539682</v>
      </c>
      <c r="S142" s="338">
        <v>-50294.14</v>
      </c>
      <c r="T142" s="423">
        <v>0</v>
      </c>
      <c r="U142" s="341"/>
      <c r="V142" s="423">
        <v>-2000</v>
      </c>
      <c r="W142" s="423">
        <v>0</v>
      </c>
      <c r="X142" s="423">
        <v>0</v>
      </c>
      <c r="Y142" s="423"/>
      <c r="Z142" s="264">
        <v>-6000</v>
      </c>
      <c r="AA142" s="423"/>
      <c r="AB142" s="273">
        <f>SUM('OPX_BN-1'!$T142:$AA142)</f>
        <v>-8000</v>
      </c>
      <c r="AC142" s="426"/>
      <c r="AD142" s="426"/>
      <c r="AE142" s="417">
        <v>0</v>
      </c>
      <c r="AF142" s="417">
        <v>0</v>
      </c>
      <c r="AG142" s="417">
        <v>0</v>
      </c>
      <c r="AH142" s="417">
        <v>0</v>
      </c>
      <c r="AI142" s="417">
        <v>0</v>
      </c>
      <c r="AJ142" s="271">
        <f>SUM('OPX_BN-1'!$AC142:$AI142)</f>
        <v>0</v>
      </c>
      <c r="AK142" s="429">
        <v>0</v>
      </c>
      <c r="AL142" s="276">
        <f>SUM('OPX_BN-1'!$J142,'OPX_BN-1'!$AB142,'OPX_BN-1'!$S142,'OPX_BN-1'!$AJ142,'OPX_BN-1'!$R142,'OPX_BN-1'!$AK142)</f>
        <v>-422190.99498769193</v>
      </c>
      <c r="AM142" s="427">
        <v>0</v>
      </c>
    </row>
    <row r="143" spans="1:39" ht="15">
      <c r="A143" s="329" t="s">
        <v>624</v>
      </c>
      <c r="B143" s="327" t="str">
        <f>VLOOKUP('OPX_BN-1'!$A143,Tableau106[],3,FALSE)</f>
        <v>A540</v>
      </c>
      <c r="C143" s="327" t="str">
        <f>VLOOKUP('OPX_BN-1'!$A143,Tableau106[],2,FALSE)</f>
        <v>FR55E06E</v>
      </c>
      <c r="D143" s="327" t="str">
        <f>VLOOKUP('OPX_BN-1'!$A143,Tableau106[],8,FALSE)</f>
        <v>EOLIEN</v>
      </c>
      <c r="E143" s="328">
        <f>VLOOKUP('OPX_BN-1'!$A143,Tableau106[],4,FALSE)</f>
        <v>26</v>
      </c>
      <c r="F143" s="327" t="str">
        <f>VLOOKUP('OPX_BN-1'!$A143,Tableau106[],5,FALSE)</f>
        <v>RAM2</v>
      </c>
      <c r="G143" s="327" t="str">
        <f>VLOOKUP('OPX_BN-1'!$A143,Tableau106[],7,FALSE)</f>
        <v>EGM</v>
      </c>
      <c r="H143" s="327" t="str">
        <f>VLOOKUP('OPX_BN-1'!$A143,Tableau106[],6,FALSE)</f>
        <v>N</v>
      </c>
      <c r="I143" s="327" t="str">
        <f>VLOOKUP('OPX_BN-1'!$A143,Tableau106[],9,FALSE)</f>
        <v>BaB</v>
      </c>
      <c r="J143" s="160">
        <v>-667364.34982782975</v>
      </c>
      <c r="K143" s="489">
        <v>-13000</v>
      </c>
      <c r="L143" s="490">
        <v>-85978.835978835981</v>
      </c>
      <c r="M143" s="229">
        <v>0</v>
      </c>
      <c r="N143" s="229">
        <v>0</v>
      </c>
      <c r="O143" s="229">
        <v>0</v>
      </c>
      <c r="P143" s="229">
        <v>-9100</v>
      </c>
      <c r="Q143" s="230">
        <v>-13000</v>
      </c>
      <c r="R143" s="274">
        <f>SUM('OPX_BN-1'!$K143:$Q143)</f>
        <v>-121078.83597883598</v>
      </c>
      <c r="S143" s="338">
        <v>0</v>
      </c>
      <c r="T143" s="423">
        <v>0</v>
      </c>
      <c r="U143" s="341"/>
      <c r="V143" s="423">
        <v>-4000</v>
      </c>
      <c r="W143" s="423">
        <v>0</v>
      </c>
      <c r="X143" s="423">
        <v>0</v>
      </c>
      <c r="Y143" s="423"/>
      <c r="Z143" s="264">
        <v>-13000</v>
      </c>
      <c r="AA143" s="423"/>
      <c r="AB143" s="273">
        <f>SUM('OPX_BN-1'!$T143:$AA143)</f>
        <v>-17000</v>
      </c>
      <c r="AC143" s="426"/>
      <c r="AD143" s="426"/>
      <c r="AE143" s="417">
        <v>-15000</v>
      </c>
      <c r="AF143" s="417">
        <v>0</v>
      </c>
      <c r="AG143" s="417">
        <v>0</v>
      </c>
      <c r="AH143" s="417">
        <v>0</v>
      </c>
      <c r="AI143" s="417">
        <v>0</v>
      </c>
      <c r="AJ143" s="271">
        <f>SUM('OPX_BN-1'!$AC143:$AI143)</f>
        <v>-15000</v>
      </c>
      <c r="AK143" s="429">
        <v>0</v>
      </c>
      <c r="AL143" s="276">
        <f>SUM('OPX_BN-1'!$J143,'OPX_BN-1'!$AB143,'OPX_BN-1'!$S143,'OPX_BN-1'!$AJ143,'OPX_BN-1'!$R143,'OPX_BN-1'!$AK143)</f>
        <v>-820443.18580666569</v>
      </c>
      <c r="AM143" s="427">
        <v>-25000</v>
      </c>
    </row>
    <row r="144" spans="1:39" ht="15">
      <c r="A144" s="329" t="s">
        <v>511</v>
      </c>
      <c r="B144" s="327" t="str">
        <f>VLOOKUP('OPX_BN-1'!$A144,Tableau106[],3,FALSE)</f>
        <v>A540</v>
      </c>
      <c r="C144" s="327" t="str">
        <f>VLOOKUP('OPX_BN-1'!$A144,Tableau106[],2,FALSE)</f>
        <v>FR02E04E</v>
      </c>
      <c r="D144" s="327" t="str">
        <f>VLOOKUP('OPX_BN-1'!$A144,Tableau106[],8,FALSE)</f>
        <v>EOLIEN</v>
      </c>
      <c r="E144" s="328">
        <f>VLOOKUP('OPX_BN-1'!$A144,Tableau106[],4,FALSE)</f>
        <v>10</v>
      </c>
      <c r="F144" s="327" t="str">
        <f>VLOOKUP('OPX_BN-1'!$A144,Tableau106[],5,FALSE)</f>
        <v>RIBE</v>
      </c>
      <c r="G144" s="327" t="str">
        <f>VLOOKUP('OPX_BN-1'!$A144,Tableau106[],7,FALSE)</f>
        <v>EGM</v>
      </c>
      <c r="H144" s="327" t="str">
        <f>VLOOKUP('OPX_BN-1'!$A144,Tableau106[],6,FALSE)</f>
        <v>N</v>
      </c>
      <c r="I144" s="327" t="str">
        <f>VLOOKUP('OPX_BN-1'!$A144,Tableau106[],9,FALSE)</f>
        <v>NoS</v>
      </c>
      <c r="J144" s="160">
        <v>-256678.59608762685</v>
      </c>
      <c r="K144" s="489">
        <v>-5000</v>
      </c>
      <c r="L144" s="490">
        <v>-33068.783068783072</v>
      </c>
      <c r="M144" s="229">
        <v>0</v>
      </c>
      <c r="N144" s="229">
        <v>0</v>
      </c>
      <c r="O144" s="229">
        <v>0</v>
      </c>
      <c r="P144" s="229">
        <v>-3500</v>
      </c>
      <c r="Q144" s="230">
        <v>-5000</v>
      </c>
      <c r="R144" s="274">
        <f>SUM('OPX_BN-1'!$K144:$Q144)</f>
        <v>-46568.783068783072</v>
      </c>
      <c r="S144" s="338">
        <v>0</v>
      </c>
      <c r="T144" s="423">
        <v>0</v>
      </c>
      <c r="U144" s="341"/>
      <c r="V144" s="423">
        <v>-2000</v>
      </c>
      <c r="W144" s="423">
        <v>0</v>
      </c>
      <c r="X144" s="423">
        <v>0</v>
      </c>
      <c r="Y144" s="423"/>
      <c r="Z144" s="264">
        <v>-5000</v>
      </c>
      <c r="AA144" s="423"/>
      <c r="AB144" s="273">
        <f>SUM('OPX_BN-1'!$T144:$AA144)</f>
        <v>-7000</v>
      </c>
      <c r="AC144" s="426"/>
      <c r="AD144" s="426"/>
      <c r="AE144" s="417">
        <v>0</v>
      </c>
      <c r="AF144" s="417">
        <v>0</v>
      </c>
      <c r="AG144" s="417">
        <v>0</v>
      </c>
      <c r="AH144" s="417">
        <v>0</v>
      </c>
      <c r="AI144" s="417">
        <v>0</v>
      </c>
      <c r="AJ144" s="271">
        <f>SUM('OPX_BN-1'!$AC144:$AI144)</f>
        <v>0</v>
      </c>
      <c r="AK144" s="429">
        <v>0</v>
      </c>
      <c r="AL144" s="276">
        <f>SUM('OPX_BN-1'!$J144,'OPX_BN-1'!$AB144,'OPX_BN-1'!$S144,'OPX_BN-1'!$AJ144,'OPX_BN-1'!$R144,'OPX_BN-1'!$AK144)</f>
        <v>-310247.37915640994</v>
      </c>
      <c r="AM144" s="427">
        <v>0</v>
      </c>
    </row>
    <row r="145" spans="1:39" ht="15">
      <c r="A145" s="329" t="s">
        <v>617</v>
      </c>
      <c r="B145" s="327" t="str">
        <f>VLOOKUP('OPX_BN-1'!$A145,Tableau106[],3,FALSE)</f>
        <v>A892</v>
      </c>
      <c r="C145" s="327" t="str">
        <f>VLOOKUP('OPX_BN-1'!$A145,Tableau106[],2,FALSE)</f>
        <v>FR34E98E</v>
      </c>
      <c r="D145" s="327" t="str">
        <f>VLOOKUP('OPX_BN-1'!$A145,Tableau106[],8,FALSE)</f>
        <v>EOLIEN</v>
      </c>
      <c r="E145" s="328">
        <f>VLOOKUP('OPX_BN-1'!$A145,Tableau106[],4,FALSE)</f>
        <v>3.6</v>
      </c>
      <c r="F145" s="327" t="str">
        <f>VLOOKUP('OPX_BN-1'!$A145,Tableau106[],5,FALSE)</f>
        <v>RIOL</v>
      </c>
      <c r="G145" s="327" t="str">
        <f>VLOOKUP('OPX_BN-1'!$A145,Tableau106[],7,FALSE)</f>
        <v>GROUPE</v>
      </c>
      <c r="H145" s="327" t="str">
        <f>VLOOKUP('OPX_BN-1'!$A145,Tableau106[],6,FALSE)</f>
        <v>S</v>
      </c>
      <c r="I145" s="327" t="str">
        <f>VLOOKUP('OPX_BN-1'!$A145,Tableau106[],9,FALSE)</f>
        <v>SaH</v>
      </c>
      <c r="J145" s="160">
        <v>-225406.23170832868</v>
      </c>
      <c r="K145" s="489">
        <v>-1800</v>
      </c>
      <c r="L145" s="490">
        <v>0</v>
      </c>
      <c r="M145" s="229">
        <v>0</v>
      </c>
      <c r="N145" s="229">
        <v>0</v>
      </c>
      <c r="O145" s="229">
        <v>0</v>
      </c>
      <c r="P145" s="229">
        <v>-1260</v>
      </c>
      <c r="Q145" s="230">
        <v>-1800</v>
      </c>
      <c r="R145" s="274">
        <f>SUM('OPX_BN-1'!$K145:$Q145)</f>
        <v>-4860</v>
      </c>
      <c r="S145" s="338">
        <v>0</v>
      </c>
      <c r="T145" s="423">
        <v>0</v>
      </c>
      <c r="U145" s="341"/>
      <c r="V145" s="423">
        <v>-5000</v>
      </c>
      <c r="W145" s="423">
        <v>0</v>
      </c>
      <c r="X145" s="423">
        <v>0</v>
      </c>
      <c r="Y145" s="423"/>
      <c r="Z145" s="264">
        <v>-1800</v>
      </c>
      <c r="AA145" s="423"/>
      <c r="AB145" s="273">
        <f>SUM('OPX_BN-1'!$T145:$AA145)</f>
        <v>-6800</v>
      </c>
      <c r="AC145" s="426"/>
      <c r="AD145" s="426"/>
      <c r="AE145" s="417">
        <v>0</v>
      </c>
      <c r="AF145" s="417">
        <v>0</v>
      </c>
      <c r="AG145" s="417">
        <v>-12000</v>
      </c>
      <c r="AH145" s="417">
        <v>0</v>
      </c>
      <c r="AI145" s="417">
        <v>0</v>
      </c>
      <c r="AJ145" s="271">
        <f>SUM('OPX_BN-1'!$AC145:$AI145)</f>
        <v>-12000</v>
      </c>
      <c r="AK145" s="429">
        <v>-20000</v>
      </c>
      <c r="AL145" s="276">
        <f>SUM('OPX_BN-1'!$J145,'OPX_BN-1'!$AB145,'OPX_BN-1'!$S145,'OPX_BN-1'!$AJ145,'OPX_BN-1'!$R145,'OPX_BN-1'!$AK145)</f>
        <v>-269066.23170832871</v>
      </c>
      <c r="AM145" s="427">
        <v>0</v>
      </c>
    </row>
    <row r="146" spans="1:39" ht="15">
      <c r="A146" s="329" t="s">
        <v>638</v>
      </c>
      <c r="B146" s="327" t="str">
        <f>VLOOKUP('OPX_BN-1'!$A146,Tableau106[],3,FALSE)</f>
        <v>A251</v>
      </c>
      <c r="C146" s="327" t="str">
        <f>VLOOKUP('OPX_BN-1'!$A146,Tableau106[],2,FALSE)</f>
        <v>FRD4S01E</v>
      </c>
      <c r="D146" s="327" t="str">
        <f>VLOOKUP('OPX_BN-1'!$A146,Tableau106[],8,FALSE)</f>
        <v>SOLAIRE DOM</v>
      </c>
      <c r="E146" s="328">
        <f>VLOOKUP('OPX_BN-1'!$A146,Tableau106[],4,FALSE)</f>
        <v>4.49</v>
      </c>
      <c r="F146" s="327" t="str">
        <f>VLOOKUP('OPX_BN-1'!$A146,Tableau106[],5,FALSE)</f>
        <v>RDGA</v>
      </c>
      <c r="G146" s="327" t="str">
        <f>VLOOKUP('OPX_BN-1'!$A146,Tableau106[],7,FALSE)</f>
        <v>GROUPE</v>
      </c>
      <c r="H146" s="327" t="str">
        <f>VLOOKUP('OPX_BN-1'!$A146,Tableau106[],6,FALSE)</f>
        <v>DOM</v>
      </c>
      <c r="I146" s="327" t="str">
        <f>VLOOKUP('OPX_BN-1'!$A146,Tableau106[],9,FALSE)</f>
        <v>BeK</v>
      </c>
      <c r="J146" s="160">
        <v>-36000</v>
      </c>
      <c r="K146" s="489">
        <v>-2250</v>
      </c>
      <c r="L146" s="490">
        <v>0</v>
      </c>
      <c r="M146" s="229">
        <v>0</v>
      </c>
      <c r="N146" s="229">
        <v>0</v>
      </c>
      <c r="O146" s="229">
        <v>0</v>
      </c>
      <c r="P146" s="229">
        <v>0</v>
      </c>
      <c r="Q146" s="230">
        <v>-2250</v>
      </c>
      <c r="R146" s="274">
        <f>SUM('OPX_BN-1'!$K146:$Q146)</f>
        <v>-4500</v>
      </c>
      <c r="S146" s="338">
        <v>0</v>
      </c>
      <c r="T146" s="423">
        <v>0</v>
      </c>
      <c r="U146" s="341"/>
      <c r="V146" s="423">
        <v>0</v>
      </c>
      <c r="W146" s="423">
        <v>0</v>
      </c>
      <c r="X146" s="423">
        <v>0</v>
      </c>
      <c r="Y146" s="423"/>
      <c r="Z146" s="264">
        <v>-2250</v>
      </c>
      <c r="AA146" s="423"/>
      <c r="AB146" s="273">
        <f>SUM('OPX_BN-1'!$T146:$AA146)</f>
        <v>-2250</v>
      </c>
      <c r="AC146" s="426"/>
      <c r="AD146" s="426"/>
      <c r="AE146" s="417">
        <v>0</v>
      </c>
      <c r="AF146" s="417">
        <v>0</v>
      </c>
      <c r="AG146" s="417">
        <v>0</v>
      </c>
      <c r="AH146" s="417">
        <v>-8419</v>
      </c>
      <c r="AI146" s="417">
        <v>0</v>
      </c>
      <c r="AJ146" s="271">
        <f>SUM('OPX_BN-1'!$AC146:$AI146)</f>
        <v>-8419</v>
      </c>
      <c r="AK146" s="429">
        <v>0</v>
      </c>
      <c r="AL146" s="276">
        <f>SUM('OPX_BN-1'!$J146,'OPX_BN-1'!$AB146,'OPX_BN-1'!$S146,'OPX_BN-1'!$AJ146,'OPX_BN-1'!$R146,'OPX_BN-1'!$AK146)</f>
        <v>-51169</v>
      </c>
      <c r="AM146" s="427">
        <v>0</v>
      </c>
    </row>
    <row r="147" spans="1:39" ht="15">
      <c r="A147" s="329" t="s">
        <v>581</v>
      </c>
      <c r="B147" s="327" t="str">
        <f>VLOOKUP('OPX_BN-1'!$A147,Tableau106[],3,FALSE)</f>
        <v>A063</v>
      </c>
      <c r="C147" s="327" t="str">
        <f>VLOOKUP('OPX_BN-1'!$A147,Tableau106[],2,FALSE)</f>
        <v>FR34E85E</v>
      </c>
      <c r="D147" s="327" t="str">
        <f>VLOOKUP('OPX_BN-1'!$A147,Tableau106[],8,FALSE)</f>
        <v>EOLIEN</v>
      </c>
      <c r="E147" s="328">
        <f>VLOOKUP('OPX_BN-1'!$A147,Tableau106[],4,FALSE)</f>
        <v>11.5</v>
      </c>
      <c r="F147" s="327" t="str">
        <f>VLOOKUP('OPX_BN-1'!$A147,Tableau106[],5,FALSE)</f>
        <v>FRA1</v>
      </c>
      <c r="G147" s="327" t="str">
        <f>VLOOKUP('OPX_BN-1'!$A147,Tableau106[],7,FALSE)</f>
        <v>FUTUREN</v>
      </c>
      <c r="H147" s="327" t="str">
        <f>VLOOKUP('OPX_BN-1'!$A147,Tableau106[],6,FALSE)</f>
        <v>S</v>
      </c>
      <c r="I147" s="327" t="str">
        <f>VLOOKUP('OPX_BN-1'!$A147,Tableau106[],9,FALSE)</f>
        <v>OdP</v>
      </c>
      <c r="J147" s="160">
        <v>-23605.591939546593</v>
      </c>
      <c r="K147" s="489">
        <v>-5750</v>
      </c>
      <c r="L147" s="490">
        <v>0</v>
      </c>
      <c r="M147" s="229">
        <v>0</v>
      </c>
      <c r="N147" s="229">
        <v>0</v>
      </c>
      <c r="O147" s="229">
        <v>0</v>
      </c>
      <c r="P147" s="229">
        <v>-4025</v>
      </c>
      <c r="Q147" s="230">
        <v>-5750</v>
      </c>
      <c r="R147" s="274">
        <f>SUM('OPX_BN-1'!$K147:$Q147)</f>
        <v>-15525</v>
      </c>
      <c r="S147" s="338">
        <v>-354773.43822000001</v>
      </c>
      <c r="T147" s="423">
        <v>0</v>
      </c>
      <c r="U147" s="341"/>
      <c r="V147" s="423">
        <v>-12600</v>
      </c>
      <c r="W147" s="423">
        <v>-6000</v>
      </c>
      <c r="X147" s="423">
        <v>0</v>
      </c>
      <c r="Y147" s="423"/>
      <c r="Z147" s="264">
        <v>-6380</v>
      </c>
      <c r="AA147" s="423"/>
      <c r="AB147" s="273">
        <f>SUM('OPX_BN-1'!$T147:$AA147)</f>
        <v>-24980</v>
      </c>
      <c r="AC147" s="426"/>
      <c r="AD147" s="426"/>
      <c r="AE147" s="417">
        <v>0</v>
      </c>
      <c r="AF147" s="417">
        <v>0</v>
      </c>
      <c r="AG147" s="417">
        <v>-12000</v>
      </c>
      <c r="AH147" s="417">
        <v>0</v>
      </c>
      <c r="AI147" s="417">
        <v>-2000</v>
      </c>
      <c r="AJ147" s="271">
        <f>SUM('OPX_BN-1'!$AC147:$AI147)</f>
        <v>-14000</v>
      </c>
      <c r="AK147" s="429">
        <v>0</v>
      </c>
      <c r="AL147" s="276">
        <f>SUM('OPX_BN-1'!$J147,'OPX_BN-1'!$AB147,'OPX_BN-1'!$S147,'OPX_BN-1'!$AJ147,'OPX_BN-1'!$R147,'OPX_BN-1'!$AK147)</f>
        <v>-432884.03015954659</v>
      </c>
      <c r="AM147" s="427">
        <v>-12000</v>
      </c>
    </row>
    <row r="148" spans="1:39" ht="15">
      <c r="A148" s="329" t="s">
        <v>639</v>
      </c>
      <c r="B148" s="327" t="str">
        <f>VLOOKUP('OPX_BN-1'!$A148,Tableau106[],3,FALSE)</f>
        <v>A955</v>
      </c>
      <c r="C148" s="327" t="str">
        <f>VLOOKUP('OPX_BN-1'!$A148,Tableau106[],2,FALSE)</f>
        <v>FR05S03E</v>
      </c>
      <c r="D148" s="327" t="str">
        <f>VLOOKUP('OPX_BN-1'!$A148,Tableau106[],8,FALSE)</f>
        <v>SOLAIRE</v>
      </c>
      <c r="E148" s="328">
        <f>VLOOKUP('OPX_BN-1'!$A148,Tableau106[],4,FALSE)</f>
        <v>5</v>
      </c>
      <c r="F148" s="327" t="str">
        <f>VLOOKUP('OPX_BN-1'!$A148,Tableau106[],5,FALSE)</f>
        <v>ROCH</v>
      </c>
      <c r="G148" s="327" t="str">
        <f>VLOOKUP('OPX_BN-1'!$A148,Tableau106[],7,FALSE)</f>
        <v>GROUPE</v>
      </c>
      <c r="H148" s="327" t="str">
        <f>VLOOKUP('OPX_BN-1'!$A148,Tableau106[],6,FALSE)</f>
        <v>S</v>
      </c>
      <c r="I148" s="327" t="str">
        <f>VLOOKUP('OPX_BN-1'!$A148,Tableau106[],9,FALSE)</f>
        <v>BaA</v>
      </c>
      <c r="J148" s="160">
        <v>-25000</v>
      </c>
      <c r="K148" s="489">
        <v>-2500</v>
      </c>
      <c r="L148" s="490">
        <v>0</v>
      </c>
      <c r="M148" s="229">
        <v>0</v>
      </c>
      <c r="N148" s="229">
        <v>0</v>
      </c>
      <c r="O148" s="229">
        <v>0</v>
      </c>
      <c r="P148" s="229">
        <v>0</v>
      </c>
      <c r="Q148" s="230">
        <v>-2500</v>
      </c>
      <c r="R148" s="274">
        <f>SUM('OPX_BN-1'!$K148:$Q148)</f>
        <v>-5000</v>
      </c>
      <c r="S148" s="338">
        <v>0</v>
      </c>
      <c r="T148" s="423">
        <v>0</v>
      </c>
      <c r="U148" s="341"/>
      <c r="V148" s="423">
        <v>0</v>
      </c>
      <c r="W148" s="423">
        <v>0</v>
      </c>
      <c r="X148" s="423">
        <v>0</v>
      </c>
      <c r="Y148" s="423"/>
      <c r="Z148" s="264">
        <v>-2500</v>
      </c>
      <c r="AA148" s="423"/>
      <c r="AB148" s="273">
        <f>SUM('OPX_BN-1'!$T148:$AA148)</f>
        <v>-2500</v>
      </c>
      <c r="AC148" s="426"/>
      <c r="AD148" s="426"/>
      <c r="AE148" s="417">
        <v>0</v>
      </c>
      <c r="AF148" s="417">
        <v>0</v>
      </c>
      <c r="AG148" s="417">
        <v>0</v>
      </c>
      <c r="AH148" s="417">
        <v>-6000</v>
      </c>
      <c r="AI148" s="417">
        <v>0</v>
      </c>
      <c r="AJ148" s="271">
        <f>SUM('OPX_BN-1'!$AC148:$AI148)</f>
        <v>-6000</v>
      </c>
      <c r="AK148" s="429">
        <v>0</v>
      </c>
      <c r="AL148" s="276">
        <f>SUM('OPX_BN-1'!$J148,'OPX_BN-1'!$AB148,'OPX_BN-1'!$S148,'OPX_BN-1'!$AJ148,'OPX_BN-1'!$R148,'OPX_BN-1'!$AK148)</f>
        <v>-38500</v>
      </c>
      <c r="AM148" s="427">
        <v>0</v>
      </c>
    </row>
    <row r="149" spans="1:39" ht="15">
      <c r="A149" s="329" t="s">
        <v>609</v>
      </c>
      <c r="B149" s="327" t="str">
        <f>VLOOKUP('OPX_BN-1'!$A149,Tableau106[],3,FALSE)</f>
        <v>A540</v>
      </c>
      <c r="C149" s="327" t="str">
        <f>VLOOKUP('OPX_BN-1'!$A149,Tableau106[],2,FALSE)</f>
        <v>FR56E06E</v>
      </c>
      <c r="D149" s="327" t="str">
        <f>VLOOKUP('OPX_BN-1'!$A149,Tableau106[],8,FALSE)</f>
        <v>EOLIEN</v>
      </c>
      <c r="E149" s="328">
        <f>VLOOKUP('OPX_BN-1'!$A149,Tableau106[],4,FALSE)</f>
        <v>6.85</v>
      </c>
      <c r="F149" s="327" t="str">
        <f>VLOOKUP('OPX_BN-1'!$A149,Tableau106[],5,FALSE)</f>
        <v>RODU</v>
      </c>
      <c r="G149" s="327" t="str">
        <f>VLOOKUP('OPX_BN-1'!$A149,Tableau106[],7,FALSE)</f>
        <v>EGM</v>
      </c>
      <c r="H149" s="327" t="str">
        <f>VLOOKUP('OPX_BN-1'!$A149,Tableau106[],6,FALSE)</f>
        <v>N</v>
      </c>
      <c r="I149" s="327" t="str">
        <f>VLOOKUP('OPX_BN-1'!$A149,Tableau106[],9,FALSE)</f>
        <v>DeN</v>
      </c>
      <c r="J149" s="160">
        <v>-185831.76</v>
      </c>
      <c r="K149" s="489">
        <v>-3425</v>
      </c>
      <c r="L149" s="490">
        <v>-22652.116402116404</v>
      </c>
      <c r="M149" s="229">
        <v>0</v>
      </c>
      <c r="N149" s="229">
        <v>0</v>
      </c>
      <c r="O149" s="229">
        <v>0</v>
      </c>
      <c r="P149" s="229">
        <v>-2397.5</v>
      </c>
      <c r="Q149" s="230">
        <v>-3425</v>
      </c>
      <c r="R149" s="274">
        <f>SUM('OPX_BN-1'!$K149:$Q149)</f>
        <v>-31899.616402116404</v>
      </c>
      <c r="S149" s="338">
        <v>0</v>
      </c>
      <c r="T149" s="423">
        <v>0</v>
      </c>
      <c r="U149" s="341"/>
      <c r="V149" s="423">
        <v>-1000</v>
      </c>
      <c r="W149" s="423">
        <v>0</v>
      </c>
      <c r="X149" s="423">
        <v>0</v>
      </c>
      <c r="Y149" s="423"/>
      <c r="Z149" s="264">
        <v>-3425</v>
      </c>
      <c r="AA149" s="423"/>
      <c r="AB149" s="273">
        <f>SUM('OPX_BN-1'!$T149:$AA149)</f>
        <v>-4425</v>
      </c>
      <c r="AC149" s="426"/>
      <c r="AD149" s="426"/>
      <c r="AE149" s="417">
        <v>0</v>
      </c>
      <c r="AF149" s="417">
        <v>0</v>
      </c>
      <c r="AG149" s="417">
        <v>0</v>
      </c>
      <c r="AH149" s="417">
        <v>0</v>
      </c>
      <c r="AI149" s="417">
        <v>0</v>
      </c>
      <c r="AJ149" s="271">
        <f>SUM('OPX_BN-1'!$AC149:$AI149)</f>
        <v>0</v>
      </c>
      <c r="AK149" s="429">
        <v>0</v>
      </c>
      <c r="AL149" s="276">
        <f>SUM('OPX_BN-1'!$J149,'OPX_BN-1'!$AB149,'OPX_BN-1'!$S149,'OPX_BN-1'!$AJ149,'OPX_BN-1'!$R149,'OPX_BN-1'!$AK149)</f>
        <v>-222156.37640211641</v>
      </c>
      <c r="AM149" s="427">
        <v>0</v>
      </c>
    </row>
    <row r="150" spans="1:39" ht="15">
      <c r="A150" s="329" t="s">
        <v>482</v>
      </c>
      <c r="B150" s="327" t="str">
        <f>VLOOKUP('OPX_BN-1'!$A150,Tableau106[],3,FALSE)</f>
        <v>A418</v>
      </c>
      <c r="C150" s="327" t="str">
        <f>VLOOKUP('OPX_BN-1'!$A150,Tableau106[],2,FALSE)</f>
        <v>FR87E03E</v>
      </c>
      <c r="D150" s="327" t="str">
        <f>VLOOKUP('OPX_BN-1'!$A150,Tableau106[],8,FALSE)</f>
        <v>EOLIEN</v>
      </c>
      <c r="E150" s="328">
        <f>VLOOKUP('OPX_BN-1'!$A150,Tableau106[],4,FALSE)</f>
        <v>15</v>
      </c>
      <c r="F150" s="327" t="str">
        <f>VLOOKUP('OPX_BN-1'!$A150,Tableau106[],5,FALSE)</f>
        <v>ROUS</v>
      </c>
      <c r="G150" s="327" t="str">
        <f>VLOOKUP('OPX_BN-1'!$A150,Tableau106[],7,FALSE)</f>
        <v>GROUPE</v>
      </c>
      <c r="H150" s="327" t="str">
        <f>VLOOKUP('OPX_BN-1'!$A150,Tableau106[],6,FALSE)</f>
        <v>S</v>
      </c>
      <c r="I150" s="327" t="str">
        <f>VLOOKUP('OPX_BN-1'!$A150,Tableau106[],9,FALSE)</f>
        <v>KéC</v>
      </c>
      <c r="J150" s="160">
        <v>0</v>
      </c>
      <c r="K150" s="489">
        <v>-7500</v>
      </c>
      <c r="L150" s="490">
        <v>0</v>
      </c>
      <c r="M150" s="229">
        <v>0</v>
      </c>
      <c r="N150" s="229">
        <v>0</v>
      </c>
      <c r="O150" s="229">
        <v>0</v>
      </c>
      <c r="P150" s="229">
        <v>-5250</v>
      </c>
      <c r="Q150" s="230">
        <v>-7500</v>
      </c>
      <c r="R150" s="274">
        <f>SUM('OPX_BN-1'!$K150:$Q150)</f>
        <v>-20250</v>
      </c>
      <c r="S150" s="338">
        <v>-186569.8793</v>
      </c>
      <c r="T150" s="423">
        <v>0</v>
      </c>
      <c r="U150" s="341"/>
      <c r="V150" s="423">
        <v>0</v>
      </c>
      <c r="W150" s="423">
        <v>-1000</v>
      </c>
      <c r="X150" s="423">
        <v>0</v>
      </c>
      <c r="Y150" s="423"/>
      <c r="Z150" s="264">
        <v>-7500</v>
      </c>
      <c r="AA150" s="423"/>
      <c r="AB150" s="273">
        <f>SUM('OPX_BN-1'!$T150:$AA150)</f>
        <v>-8500</v>
      </c>
      <c r="AC150" s="426"/>
      <c r="AD150" s="426"/>
      <c r="AE150" s="417">
        <v>0</v>
      </c>
      <c r="AF150" s="417">
        <v>-26198</v>
      </c>
      <c r="AG150" s="417">
        <v>-20244</v>
      </c>
      <c r="AH150" s="417">
        <v>0</v>
      </c>
      <c r="AI150" s="417">
        <v>0</v>
      </c>
      <c r="AJ150" s="271">
        <f>SUM('OPX_BN-1'!$AC150:$AI150)</f>
        <v>-46442</v>
      </c>
      <c r="AK150" s="429">
        <v>0</v>
      </c>
      <c r="AL150" s="276">
        <f>SUM('OPX_BN-1'!$J150,'OPX_BN-1'!$AB150,'OPX_BN-1'!$S150,'OPX_BN-1'!$AJ150,'OPX_BN-1'!$R150,'OPX_BN-1'!$AK150)</f>
        <v>-261761.8793</v>
      </c>
      <c r="AM150" s="427">
        <v>0</v>
      </c>
    </row>
    <row r="151" spans="1:39" ht="15">
      <c r="A151" s="329" t="s">
        <v>573</v>
      </c>
      <c r="B151" s="327" t="str">
        <f>VLOOKUP('OPX_BN-1'!$A151,Tableau106[],3,FALSE)</f>
        <v>F037</v>
      </c>
      <c r="C151" s="327" t="str">
        <f>VLOOKUP('OPX_BN-1'!$A151,Tableau106[],2,FALSE)</f>
        <v>FR14E05E</v>
      </c>
      <c r="D151" s="327" t="str">
        <f>VLOOKUP('OPX_BN-1'!$A151,Tableau106[],8,FALSE)</f>
        <v>EOLIEN</v>
      </c>
      <c r="E151" s="328">
        <f>VLOOKUP('OPX_BN-1'!$A151,Tableau106[],4,FALSE)</f>
        <v>10</v>
      </c>
      <c r="F151" s="327" t="str">
        <f>VLOOKUP('OPX_BN-1'!$A151,Tableau106[],5,FALSE)</f>
        <v>SABL</v>
      </c>
      <c r="G151" s="327" t="str">
        <f>VLOOKUP('OPX_BN-1'!$A151,Tableau106[],7,FALSE)</f>
        <v>FUTUREN</v>
      </c>
      <c r="H151" s="327" t="str">
        <f>VLOOKUP('OPX_BN-1'!$A151,Tableau106[],6,FALSE)</f>
        <v>N</v>
      </c>
      <c r="I151" s="327" t="str">
        <f>VLOOKUP('OPX_BN-1'!$A151,Tableau106[],9,FALSE)</f>
        <v>AnN</v>
      </c>
      <c r="J151" s="160">
        <v>-219193.13266200002</v>
      </c>
      <c r="K151" s="489">
        <v>-5000</v>
      </c>
      <c r="L151" s="490">
        <v>0</v>
      </c>
      <c r="M151" s="229">
        <v>0</v>
      </c>
      <c r="N151" s="229">
        <v>0</v>
      </c>
      <c r="O151" s="229">
        <v>0</v>
      </c>
      <c r="P151" s="229">
        <v>0</v>
      </c>
      <c r="Q151" s="230">
        <v>-5000</v>
      </c>
      <c r="R151" s="274">
        <f>SUM('OPX_BN-1'!$K151:$Q151)</f>
        <v>-10000</v>
      </c>
      <c r="S151" s="338">
        <v>0</v>
      </c>
      <c r="T151" s="423">
        <v>0</v>
      </c>
      <c r="U151" s="341"/>
      <c r="V151" s="423">
        <v>0</v>
      </c>
      <c r="W151" s="423">
        <v>-1000</v>
      </c>
      <c r="X151" s="423">
        <v>0</v>
      </c>
      <c r="Y151" s="423"/>
      <c r="Z151" s="264">
        <v>-5000</v>
      </c>
      <c r="AA151" s="423"/>
      <c r="AB151" s="273">
        <f>SUM('OPX_BN-1'!$T151:$AA151)</f>
        <v>-6000</v>
      </c>
      <c r="AC151" s="426"/>
      <c r="AD151" s="426"/>
      <c r="AE151" s="417">
        <v>0</v>
      </c>
      <c r="AF151" s="417">
        <v>0</v>
      </c>
      <c r="AG151" s="417">
        <v>0</v>
      </c>
      <c r="AH151" s="417">
        <v>0</v>
      </c>
      <c r="AI151" s="417">
        <v>0</v>
      </c>
      <c r="AJ151" s="271">
        <f>SUM('OPX_BN-1'!$AC151:$AI151)</f>
        <v>0</v>
      </c>
      <c r="AK151" s="429">
        <v>0</v>
      </c>
      <c r="AL151" s="276">
        <f>SUM('OPX_BN-1'!$J151,'OPX_BN-1'!$AB151,'OPX_BN-1'!$S151,'OPX_BN-1'!$AJ151,'OPX_BN-1'!$R151,'OPX_BN-1'!$AK151)</f>
        <v>-235193.13266200002</v>
      </c>
      <c r="AM151" s="427">
        <v>0</v>
      </c>
    </row>
    <row r="152" spans="1:39" ht="15">
      <c r="A152" s="329" t="s">
        <v>578</v>
      </c>
      <c r="B152" s="327" t="str">
        <f>VLOOKUP('OPX_BN-1'!$A152,Tableau106[],3,FALSE)</f>
        <v>A544</v>
      </c>
      <c r="C152" s="327" t="str">
        <f>VLOOKUP('OPX_BN-1'!$A152,Tableau106[],2,FALSE)</f>
        <v>FR55E07E</v>
      </c>
      <c r="D152" s="327" t="str">
        <f>VLOOKUP('OPX_BN-1'!$A152,Tableau106[],8,FALSE)</f>
        <v>EOLIEN</v>
      </c>
      <c r="E152" s="328">
        <f>VLOOKUP('OPX_BN-1'!$A152,Tableau106[],4,FALSE)</f>
        <v>12</v>
      </c>
      <c r="F152" s="327" t="str">
        <f>VLOOKUP('OPX_BN-1'!$A152,Tableau106[],5,FALSE)</f>
        <v>STAU</v>
      </c>
      <c r="G152" s="327" t="str">
        <f>VLOOKUP('OPX_BN-1'!$A152,Tableau106[],7,FALSE)</f>
        <v>EGM</v>
      </c>
      <c r="H152" s="327" t="str">
        <f>VLOOKUP('OPX_BN-1'!$A152,Tableau106[],6,FALSE)</f>
        <v>N</v>
      </c>
      <c r="I152" s="327" t="str">
        <f>VLOOKUP('OPX_BN-1'!$A152,Tableau106[],9,FALSE)</f>
        <v>NoS</v>
      </c>
      <c r="J152" s="160">
        <v>-307815.93714434805</v>
      </c>
      <c r="K152" s="489">
        <v>-6000</v>
      </c>
      <c r="L152" s="490">
        <v>-39682.539682539682</v>
      </c>
      <c r="M152" s="229">
        <v>0</v>
      </c>
      <c r="N152" s="229">
        <v>0</v>
      </c>
      <c r="O152" s="229">
        <v>0</v>
      </c>
      <c r="P152" s="229">
        <v>-4200</v>
      </c>
      <c r="Q152" s="230">
        <v>-6000</v>
      </c>
      <c r="R152" s="274">
        <f>SUM('OPX_BN-1'!$K152:$Q152)</f>
        <v>-55882.539682539682</v>
      </c>
      <c r="S152" s="338">
        <v>0</v>
      </c>
      <c r="T152" s="423">
        <v>0</v>
      </c>
      <c r="U152" s="341"/>
      <c r="V152" s="423">
        <v>-2000</v>
      </c>
      <c r="W152" s="423">
        <v>0</v>
      </c>
      <c r="X152" s="423">
        <v>0</v>
      </c>
      <c r="Y152" s="423"/>
      <c r="Z152" s="264">
        <v>-6000</v>
      </c>
      <c r="AA152" s="423"/>
      <c r="AB152" s="273">
        <f>SUM('OPX_BN-1'!$T152:$AA152)</f>
        <v>-8000</v>
      </c>
      <c r="AC152" s="426"/>
      <c r="AD152" s="426"/>
      <c r="AE152" s="417">
        <v>0</v>
      </c>
      <c r="AF152" s="417">
        <v>0</v>
      </c>
      <c r="AG152" s="417">
        <v>0</v>
      </c>
      <c r="AH152" s="417">
        <v>0</v>
      </c>
      <c r="AI152" s="417">
        <v>0</v>
      </c>
      <c r="AJ152" s="271">
        <f>SUM('OPX_BN-1'!$AC152:$AI152)</f>
        <v>0</v>
      </c>
      <c r="AK152" s="429">
        <v>0</v>
      </c>
      <c r="AL152" s="276">
        <f>SUM('OPX_BN-1'!$J152,'OPX_BN-1'!$AB152,'OPX_BN-1'!$S152,'OPX_BN-1'!$AJ152,'OPX_BN-1'!$R152,'OPX_BN-1'!$AK152)</f>
        <v>-371698.47682688775</v>
      </c>
      <c r="AM152" s="427">
        <v>0</v>
      </c>
    </row>
    <row r="153" spans="1:39" ht="15">
      <c r="A153" s="329" t="s">
        <v>612</v>
      </c>
      <c r="B153" s="327" t="str">
        <f>VLOOKUP('OPX_BN-1'!$A153,Tableau106[],3,FALSE)</f>
        <v>A540</v>
      </c>
      <c r="C153" s="327" t="str">
        <f>VLOOKUP('OPX_BN-1'!$A153,Tableau106[],2,FALSE)</f>
        <v>FR56E07E</v>
      </c>
      <c r="D153" s="327" t="str">
        <f>VLOOKUP('OPX_BN-1'!$A153,Tableau106[],8,FALSE)</f>
        <v>EOLIEN</v>
      </c>
      <c r="E153" s="328">
        <f>VLOOKUP('OPX_BN-1'!$A153,Tableau106[],4,FALSE)</f>
        <v>8</v>
      </c>
      <c r="F153" s="327" t="str">
        <f>VLOOKUP('OPX_BN-1'!$A153,Tableau106[],5,FALSE)</f>
        <v>STME</v>
      </c>
      <c r="G153" s="327" t="str">
        <f>VLOOKUP('OPX_BN-1'!$A153,Tableau106[],7,FALSE)</f>
        <v>EGM</v>
      </c>
      <c r="H153" s="327" t="str">
        <f>VLOOKUP('OPX_BN-1'!$A153,Tableau106[],6,FALSE)</f>
        <v>N</v>
      </c>
      <c r="I153" s="327" t="str">
        <f>VLOOKUP('OPX_BN-1'!$A153,Tableau106[],9,FALSE)</f>
        <v>DeN</v>
      </c>
      <c r="J153" s="160">
        <v>-205342.87687010149</v>
      </c>
      <c r="K153" s="489">
        <v>-4000</v>
      </c>
      <c r="L153" s="490">
        <v>-26455.026455026455</v>
      </c>
      <c r="M153" s="229">
        <v>0</v>
      </c>
      <c r="N153" s="229">
        <v>0</v>
      </c>
      <c r="O153" s="229">
        <v>0</v>
      </c>
      <c r="P153" s="229">
        <v>-2800</v>
      </c>
      <c r="Q153" s="230">
        <v>-4000</v>
      </c>
      <c r="R153" s="274">
        <f>SUM('OPX_BN-1'!$K153:$Q153)</f>
        <v>-37255.026455026455</v>
      </c>
      <c r="S153" s="338">
        <v>0</v>
      </c>
      <c r="T153" s="423">
        <v>0</v>
      </c>
      <c r="U153" s="341"/>
      <c r="V153" s="423">
        <v>-1000</v>
      </c>
      <c r="W153" s="423">
        <v>0</v>
      </c>
      <c r="X153" s="423">
        <v>0</v>
      </c>
      <c r="Y153" s="423"/>
      <c r="Z153" s="264">
        <v>-4000</v>
      </c>
      <c r="AA153" s="423"/>
      <c r="AB153" s="273">
        <f>SUM('OPX_BN-1'!$T153:$AA153)</f>
        <v>-5000</v>
      </c>
      <c r="AC153" s="426"/>
      <c r="AD153" s="426"/>
      <c r="AE153" s="417">
        <v>0</v>
      </c>
      <c r="AF153" s="417">
        <v>0</v>
      </c>
      <c r="AG153" s="417">
        <v>0</v>
      </c>
      <c r="AH153" s="417">
        <v>0</v>
      </c>
      <c r="AI153" s="417">
        <v>0</v>
      </c>
      <c r="AJ153" s="271">
        <f>SUM('OPX_BN-1'!$AC153:$AI153)</f>
        <v>0</v>
      </c>
      <c r="AK153" s="429">
        <v>0</v>
      </c>
      <c r="AL153" s="276">
        <f>SUM('OPX_BN-1'!$J153,'OPX_BN-1'!$AB153,'OPX_BN-1'!$S153,'OPX_BN-1'!$AJ153,'OPX_BN-1'!$R153,'OPX_BN-1'!$AK153)</f>
        <v>-247597.90332512796</v>
      </c>
      <c r="AM153" s="427">
        <v>0</v>
      </c>
    </row>
    <row r="154" spans="1:39" ht="15">
      <c r="A154" s="329" t="s">
        <v>589</v>
      </c>
      <c r="B154" s="327" t="str">
        <f>VLOOKUP('OPX_BN-1'!$A154,Tableau106[],3,FALSE)</f>
        <v>A135</v>
      </c>
      <c r="C154" s="327" t="str">
        <f>VLOOKUP('OPX_BN-1'!$A154,Tableau106[],2,FALSE)</f>
        <v>FR04S98E</v>
      </c>
      <c r="D154" s="327" t="str">
        <f>VLOOKUP('OPX_BN-1'!$A154,Tableau106[],8,FALSE)</f>
        <v>SOLAIRE</v>
      </c>
      <c r="E154" s="328">
        <f>VLOOKUP('OPX_BN-1'!$A154,Tableau106[],4,FALSE)</f>
        <v>5.2350000000000003</v>
      </c>
      <c r="F154" s="327" t="str">
        <f>VLOOKUP('OPX_BN-1'!$A154,Tableau106[],5,FALSE)</f>
        <v>STUL</v>
      </c>
      <c r="G154" s="327" t="str">
        <f>VLOOKUP('OPX_BN-1'!$A154,Tableau106[],7,FALSE)</f>
        <v>GROUPE</v>
      </c>
      <c r="H154" s="327" t="str">
        <f>VLOOKUP('OPX_BN-1'!$A154,Tableau106[],6,FALSE)</f>
        <v>S</v>
      </c>
      <c r="I154" s="327" t="str">
        <f>VLOOKUP('OPX_BN-1'!$A154,Tableau106[],9,FALSE)</f>
        <v>ArB</v>
      </c>
      <c r="J154" s="160">
        <v>-172044.12875136238</v>
      </c>
      <c r="K154" s="489">
        <v>-2617.5</v>
      </c>
      <c r="L154" s="490">
        <v>0</v>
      </c>
      <c r="M154" s="229">
        <v>0</v>
      </c>
      <c r="N154" s="229">
        <v>0</v>
      </c>
      <c r="O154" s="229">
        <v>0</v>
      </c>
      <c r="P154" s="229">
        <v>0</v>
      </c>
      <c r="Q154" s="230">
        <v>-2617.5</v>
      </c>
      <c r="R154" s="274">
        <f>SUM('OPX_BN-1'!$K154:$Q154)</f>
        <v>-5235</v>
      </c>
      <c r="S154" s="338">
        <v>0</v>
      </c>
      <c r="T154" s="423">
        <v>0</v>
      </c>
      <c r="U154" s="341"/>
      <c r="V154" s="423">
        <v>0</v>
      </c>
      <c r="W154" s="423">
        <v>0</v>
      </c>
      <c r="X154" s="423">
        <v>0</v>
      </c>
      <c r="Y154" s="423"/>
      <c r="Z154" s="264">
        <v>-2617.5</v>
      </c>
      <c r="AA154" s="423"/>
      <c r="AB154" s="273">
        <f>SUM('OPX_BN-1'!$T154:$AA154)</f>
        <v>-2617.5</v>
      </c>
      <c r="AC154" s="426"/>
      <c r="AD154" s="426"/>
      <c r="AE154" s="417">
        <v>0</v>
      </c>
      <c r="AF154" s="417">
        <v>0</v>
      </c>
      <c r="AG154" s="417">
        <v>0</v>
      </c>
      <c r="AH154" s="417">
        <v>-5000</v>
      </c>
      <c r="AI154" s="417">
        <v>-2000</v>
      </c>
      <c r="AJ154" s="271">
        <f>SUM('OPX_BN-1'!$AC154:$AI154)</f>
        <v>-7000</v>
      </c>
      <c r="AK154" s="429">
        <v>-13000</v>
      </c>
      <c r="AL154" s="276">
        <f>SUM('OPX_BN-1'!$J154,'OPX_BN-1'!$AB154,'OPX_BN-1'!$S154,'OPX_BN-1'!$AJ154,'OPX_BN-1'!$R154,'OPX_BN-1'!$AK154)</f>
        <v>-199896.62875136238</v>
      </c>
      <c r="AM154" s="427">
        <v>0</v>
      </c>
    </row>
    <row r="155" spans="1:39" ht="15">
      <c r="A155" s="329" t="s">
        <v>317</v>
      </c>
      <c r="B155" s="327" t="str">
        <f>VLOOKUP('OPX_BN-1'!$A155,Tableau106[],3,FALSE)</f>
        <v>F040</v>
      </c>
      <c r="C155" s="327" t="str">
        <f>VLOOKUP('OPX_BN-1'!$A155,Tableau106[],2,FALSE)</f>
        <v>FR14E04E</v>
      </c>
      <c r="D155" s="327" t="str">
        <f>VLOOKUP('OPX_BN-1'!$A155,Tableau106[],8,FALSE)</f>
        <v>EOLIEN</v>
      </c>
      <c r="E155" s="328">
        <f>VLOOKUP('OPX_BN-1'!$A155,Tableau106[],4,FALSE)</f>
        <v>8</v>
      </c>
      <c r="F155" s="327" t="str">
        <f>VLOOKUP('OPX_BN-1'!$A155,Tableau106[],5,FALSE)</f>
        <v>SALL</v>
      </c>
      <c r="G155" s="327" t="str">
        <f>VLOOKUP('OPX_BN-1'!$A155,Tableau106[],7,FALSE)</f>
        <v>FUTUREN</v>
      </c>
      <c r="H155" s="327" t="str">
        <f>VLOOKUP('OPX_BN-1'!$A155,Tableau106[],6,FALSE)</f>
        <v>N</v>
      </c>
      <c r="I155" s="327" t="str">
        <f>VLOOKUP('OPX_BN-1'!$A155,Tableau106[],9,FALSE)</f>
        <v>MéS</v>
      </c>
      <c r="J155" s="160">
        <v>-9060.8125984251947</v>
      </c>
      <c r="K155" s="489">
        <v>-4000</v>
      </c>
      <c r="L155" s="490">
        <v>0</v>
      </c>
      <c r="M155" s="229">
        <v>0</v>
      </c>
      <c r="N155" s="229">
        <v>0</v>
      </c>
      <c r="O155" s="229">
        <v>0</v>
      </c>
      <c r="P155" s="229">
        <v>0</v>
      </c>
      <c r="Q155" s="230">
        <v>-4000</v>
      </c>
      <c r="R155" s="274">
        <f>SUM('OPX_BN-1'!$K155:$Q155)</f>
        <v>-8000</v>
      </c>
      <c r="S155" s="338">
        <v>-208506.88</v>
      </c>
      <c r="T155" s="423">
        <v>0</v>
      </c>
      <c r="U155" s="341"/>
      <c r="V155" s="423">
        <v>-2400</v>
      </c>
      <c r="W155" s="423">
        <v>0</v>
      </c>
      <c r="X155" s="423">
        <v>0</v>
      </c>
      <c r="Y155" s="423"/>
      <c r="Z155" s="264">
        <v>-4000</v>
      </c>
      <c r="AA155" s="423"/>
      <c r="AB155" s="273">
        <f>SUM('OPX_BN-1'!$T155:$AA155)</f>
        <v>-6400</v>
      </c>
      <c r="AC155" s="426"/>
      <c r="AD155" s="426"/>
      <c r="AE155" s="417">
        <v>0</v>
      </c>
      <c r="AF155" s="417">
        <v>0</v>
      </c>
      <c r="AG155" s="417">
        <v>0</v>
      </c>
      <c r="AH155" s="417">
        <v>0</v>
      </c>
      <c r="AI155" s="417">
        <v>0</v>
      </c>
      <c r="AJ155" s="271">
        <f>SUM('OPX_BN-1'!$AC155:$AI155)</f>
        <v>0</v>
      </c>
      <c r="AK155" s="429">
        <v>0</v>
      </c>
      <c r="AL155" s="276">
        <f>SUM('OPX_BN-1'!$J155,'OPX_BN-1'!$AB155,'OPX_BN-1'!$S155,'OPX_BN-1'!$AJ155,'OPX_BN-1'!$R155,'OPX_BN-1'!$AK155)</f>
        <v>-231967.6925984252</v>
      </c>
      <c r="AM155" s="427">
        <v>0</v>
      </c>
    </row>
    <row r="156" spans="1:39" ht="15">
      <c r="A156" s="329" t="s">
        <v>641</v>
      </c>
      <c r="B156" s="327" t="str">
        <f>VLOOKUP('OPX_BN-1'!$A156,Tableau106[],3,FALSE)</f>
        <v>A269</v>
      </c>
      <c r="C156" s="327" t="str">
        <f>VLOOKUP('OPX_BN-1'!$A156,Tableau106[],2,FALSE)</f>
        <v>FR13S17E</v>
      </c>
      <c r="D156" s="327" t="str">
        <f>VLOOKUP('OPX_BN-1'!$A156,Tableau106[],8,FALSE)</f>
        <v>SOLAIRE</v>
      </c>
      <c r="E156" s="328">
        <f>VLOOKUP('OPX_BN-1'!$A156,Tableau106[],4,FALSE)</f>
        <v>3.4</v>
      </c>
      <c r="F156" s="327" t="str">
        <f>VLOOKUP('OPX_BN-1'!$A156,Tableau106[],5,FALSE)</f>
        <v>SALP</v>
      </c>
      <c r="G156" s="327" t="str">
        <f>VLOOKUP('OPX_BN-1'!$A156,Tableau106[],7,FALSE)</f>
        <v>GROUPE</v>
      </c>
      <c r="H156" s="327" t="str">
        <f>VLOOKUP('OPX_BN-1'!$A156,Tableau106[],6,FALSE)</f>
        <v>S</v>
      </c>
      <c r="I156" s="327" t="str">
        <f>VLOOKUP('OPX_BN-1'!$A156,Tableau106[],9,FALSE)</f>
        <v>BaA</v>
      </c>
      <c r="J156" s="160">
        <v>-16500</v>
      </c>
      <c r="K156" s="489">
        <v>-1650</v>
      </c>
      <c r="L156" s="490">
        <v>0</v>
      </c>
      <c r="M156" s="229">
        <v>0</v>
      </c>
      <c r="N156" s="229">
        <v>0</v>
      </c>
      <c r="O156" s="229">
        <v>0</v>
      </c>
      <c r="P156" s="229">
        <v>0</v>
      </c>
      <c r="Q156" s="230">
        <v>-1650</v>
      </c>
      <c r="R156" s="274">
        <f>SUM('OPX_BN-1'!$K156:$Q156)</f>
        <v>-3300</v>
      </c>
      <c r="S156" s="338">
        <v>0</v>
      </c>
      <c r="T156" s="423">
        <v>0</v>
      </c>
      <c r="U156" s="341"/>
      <c r="V156" s="423">
        <v>0</v>
      </c>
      <c r="W156" s="423">
        <v>0</v>
      </c>
      <c r="X156" s="423">
        <v>0</v>
      </c>
      <c r="Y156" s="423"/>
      <c r="Z156" s="264">
        <v>-1650</v>
      </c>
      <c r="AA156" s="423"/>
      <c r="AB156" s="273">
        <f>SUM('OPX_BN-1'!$T156:$AA156)</f>
        <v>-1650</v>
      </c>
      <c r="AC156" s="426"/>
      <c r="AD156" s="426"/>
      <c r="AE156" s="417">
        <v>0</v>
      </c>
      <c r="AF156" s="417">
        <v>0</v>
      </c>
      <c r="AG156" s="417">
        <v>0</v>
      </c>
      <c r="AH156" s="417">
        <v>-3000</v>
      </c>
      <c r="AI156" s="417">
        <v>0</v>
      </c>
      <c r="AJ156" s="271">
        <f>SUM('OPX_BN-1'!$AC156:$AI156)</f>
        <v>-3000</v>
      </c>
      <c r="AK156" s="429">
        <v>0</v>
      </c>
      <c r="AL156" s="276">
        <f>SUM('OPX_BN-1'!$J156,'OPX_BN-1'!$AB156,'OPX_BN-1'!$S156,'OPX_BN-1'!$AJ156,'OPX_BN-1'!$R156,'OPX_BN-1'!$AK156)</f>
        <v>-24450</v>
      </c>
      <c r="AM156" s="427">
        <v>0</v>
      </c>
    </row>
    <row r="157" spans="1:39" ht="15">
      <c r="A157" s="329" t="s">
        <v>591</v>
      </c>
      <c r="B157" s="327" t="str">
        <f>VLOOKUP('OPX_BN-1'!$A157,Tableau106[],3,FALSE)</f>
        <v>A272</v>
      </c>
      <c r="C157" s="327" t="str">
        <f>VLOOKUP('OPX_BN-1'!$A157,Tableau106[],2,FALSE)</f>
        <v>FR43S03E</v>
      </c>
      <c r="D157" s="327" t="str">
        <f>VLOOKUP('OPX_BN-1'!$A157,Tableau106[],8,FALSE)</f>
        <v>SOLAIRE</v>
      </c>
      <c r="E157" s="328">
        <f>VLOOKUP('OPX_BN-1'!$A157,Tableau106[],4,FALSE)</f>
        <v>4.2</v>
      </c>
      <c r="F157" s="327" t="str">
        <f>VLOOKUP('OPX_BN-1'!$A157,Tableau106[],5,FALSE)</f>
        <v>SALZ</v>
      </c>
      <c r="G157" s="327" t="str">
        <f>VLOOKUP('OPX_BN-1'!$A157,Tableau106[],7,FALSE)</f>
        <v>GROUPE</v>
      </c>
      <c r="H157" s="327" t="str">
        <f>VLOOKUP('OPX_BN-1'!$A157,Tableau106[],6,FALSE)</f>
        <v>S</v>
      </c>
      <c r="I157" s="327" t="str">
        <f>VLOOKUP('OPX_BN-1'!$A157,Tableau106[],9,FALSE)</f>
        <v>ArB</v>
      </c>
      <c r="J157" s="160">
        <v>-36000</v>
      </c>
      <c r="K157" s="489">
        <v>-6400</v>
      </c>
      <c r="L157" s="490">
        <v>0</v>
      </c>
      <c r="M157" s="229">
        <v>0</v>
      </c>
      <c r="N157" s="229">
        <v>0</v>
      </c>
      <c r="O157" s="229">
        <v>0</v>
      </c>
      <c r="P157" s="229">
        <v>0</v>
      </c>
      <c r="Q157" s="230">
        <v>-2100</v>
      </c>
      <c r="R157" s="274">
        <f>SUM('OPX_BN-1'!$K157:$Q157)</f>
        <v>-8500</v>
      </c>
      <c r="S157" s="338">
        <v>0</v>
      </c>
      <c r="T157" s="423">
        <v>0</v>
      </c>
      <c r="U157" s="341"/>
      <c r="V157" s="423">
        <v>-15000</v>
      </c>
      <c r="W157" s="423">
        <v>0</v>
      </c>
      <c r="X157" s="423">
        <v>0</v>
      </c>
      <c r="Y157" s="423"/>
      <c r="Z157" s="264">
        <v>-2100</v>
      </c>
      <c r="AA157" s="423"/>
      <c r="AB157" s="273">
        <f>SUM('OPX_BN-1'!$T157:$AA157)</f>
        <v>-17100</v>
      </c>
      <c r="AC157" s="426"/>
      <c r="AD157" s="426"/>
      <c r="AE157" s="417">
        <v>0</v>
      </c>
      <c r="AF157" s="417">
        <v>0</v>
      </c>
      <c r="AG157" s="417">
        <v>0</v>
      </c>
      <c r="AH157" s="417">
        <v>0</v>
      </c>
      <c r="AI157" s="417">
        <v>0</v>
      </c>
      <c r="AJ157" s="271">
        <f>SUM('OPX_BN-1'!$AC157:$AI157)</f>
        <v>0</v>
      </c>
      <c r="AK157" s="429">
        <v>0</v>
      </c>
      <c r="AL157" s="276">
        <f>SUM('OPX_BN-1'!$J157,'OPX_BN-1'!$AB157,'OPX_BN-1'!$S157,'OPX_BN-1'!$AJ157,'OPX_BN-1'!$R157,'OPX_BN-1'!$AK157)</f>
        <v>-61600</v>
      </c>
      <c r="AM157" s="427">
        <v>0</v>
      </c>
    </row>
    <row r="158" spans="1:39" ht="15">
      <c r="A158" s="329" t="s">
        <v>592</v>
      </c>
      <c r="B158" s="327" t="str">
        <f>VLOOKUP('OPX_BN-1'!$A158,Tableau106[],3,FALSE)</f>
        <v>A257</v>
      </c>
      <c r="C158" s="327" t="str">
        <f>VLOOKUP('OPX_BN-1'!$A158,Tableau106[],2,FALSE)</f>
        <v>FR01S03E</v>
      </c>
      <c r="D158" s="327" t="str">
        <f>VLOOKUP('OPX_BN-1'!$A158,Tableau106[],8,FALSE)</f>
        <v>SOLAIRE</v>
      </c>
      <c r="E158" s="328">
        <f>VLOOKUP('OPX_BN-1'!$A158,Tableau106[],4,FALSE)</f>
        <v>3.6</v>
      </c>
      <c r="F158" s="327" t="str">
        <f>VLOOKUP('OPX_BN-1'!$A158,Tableau106[],5,FALSE)</f>
        <v>SAMO</v>
      </c>
      <c r="G158" s="327" t="str">
        <f>VLOOKUP('OPX_BN-1'!$A158,Tableau106[],7,FALSE)</f>
        <v>GROUPE</v>
      </c>
      <c r="H158" s="327" t="str">
        <f>VLOOKUP('OPX_BN-1'!$A158,Tableau106[],6,FALSE)</f>
        <v>S</v>
      </c>
      <c r="I158" s="327" t="str">
        <f>VLOOKUP('OPX_BN-1'!$A158,Tableau106[],9,FALSE)</f>
        <v>ArB</v>
      </c>
      <c r="J158" s="160">
        <v>-23500</v>
      </c>
      <c r="K158" s="489">
        <v>-14700</v>
      </c>
      <c r="L158" s="490">
        <v>-3145</v>
      </c>
      <c r="M158" s="229">
        <v>0</v>
      </c>
      <c r="N158" s="229">
        <v>0</v>
      </c>
      <c r="O158" s="229">
        <v>0</v>
      </c>
      <c r="P158" s="229">
        <v>0</v>
      </c>
      <c r="Q158" s="230">
        <v>-1800</v>
      </c>
      <c r="R158" s="274">
        <f>SUM('OPX_BN-1'!$K158:$Q158)</f>
        <v>-19645</v>
      </c>
      <c r="S158" s="338">
        <v>0</v>
      </c>
      <c r="T158" s="423">
        <v>0</v>
      </c>
      <c r="U158" s="341"/>
      <c r="V158" s="423">
        <v>0</v>
      </c>
      <c r="W158" s="423">
        <v>0</v>
      </c>
      <c r="X158" s="423">
        <v>0</v>
      </c>
      <c r="Y158" s="423"/>
      <c r="Z158" s="264">
        <v>0</v>
      </c>
      <c r="AA158" s="423"/>
      <c r="AB158" s="273">
        <f>SUM('OPX_BN-1'!$T158:$AA158)</f>
        <v>0</v>
      </c>
      <c r="AC158" s="426"/>
      <c r="AD158" s="426"/>
      <c r="AE158" s="417">
        <v>0</v>
      </c>
      <c r="AF158" s="417">
        <v>0</v>
      </c>
      <c r="AG158" s="417">
        <v>0</v>
      </c>
      <c r="AH158" s="417">
        <v>0</v>
      </c>
      <c r="AI158" s="417">
        <v>0</v>
      </c>
      <c r="AJ158" s="271">
        <f>SUM('OPX_BN-1'!$AC158:$AI158)</f>
        <v>0</v>
      </c>
      <c r="AK158" s="429">
        <v>0</v>
      </c>
      <c r="AL158" s="276">
        <f>SUM('OPX_BN-1'!$J158,'OPX_BN-1'!$AB158,'OPX_BN-1'!$S158,'OPX_BN-1'!$AJ158,'OPX_BN-1'!$R158,'OPX_BN-1'!$AK158)</f>
        <v>-43145</v>
      </c>
      <c r="AM158" s="427">
        <v>0</v>
      </c>
    </row>
    <row r="159" spans="1:39" ht="15">
      <c r="A159" s="329" t="s">
        <v>593</v>
      </c>
      <c r="B159" s="327" t="str">
        <f>VLOOKUP('OPX_BN-1'!$A159,Tableau106[],3,FALSE)</f>
        <v>A258</v>
      </c>
      <c r="C159" s="327" t="str">
        <f>VLOOKUP('OPX_BN-1'!$A159,Tableau106[],2,FALSE)</f>
        <v>FR49S01E</v>
      </c>
      <c r="D159" s="327" t="str">
        <f>VLOOKUP('OPX_BN-1'!$A159,Tableau106[],8,FALSE)</f>
        <v>SOLAIRE</v>
      </c>
      <c r="E159" s="328">
        <f>VLOOKUP('OPX_BN-1'!$A159,Tableau106[],4,FALSE)</f>
        <v>10.3</v>
      </c>
      <c r="F159" s="327" t="str">
        <f>VLOOKUP('OPX_BN-1'!$A159,Tableau106[],5,FALSE)</f>
        <v>SAUM</v>
      </c>
      <c r="G159" s="327" t="str">
        <f>VLOOKUP('OPX_BN-1'!$A159,Tableau106[],7,FALSE)</f>
        <v>GROUPE</v>
      </c>
      <c r="H159" s="327" t="str">
        <f>VLOOKUP('OPX_BN-1'!$A159,Tableau106[],6,FALSE)</f>
        <v>N</v>
      </c>
      <c r="I159" s="327" t="str">
        <f>VLOOKUP('OPX_BN-1'!$A159,Tableau106[],9,FALSE)</f>
        <v>ZaA</v>
      </c>
      <c r="J159" s="160">
        <v>-52479</v>
      </c>
      <c r="K159" s="489">
        <v>-5145</v>
      </c>
      <c r="L159" s="490">
        <v>0</v>
      </c>
      <c r="M159" s="229">
        <v>0</v>
      </c>
      <c r="N159" s="229">
        <v>0</v>
      </c>
      <c r="O159" s="229">
        <v>0</v>
      </c>
      <c r="P159" s="229">
        <v>0</v>
      </c>
      <c r="Q159" s="230">
        <v>-5145</v>
      </c>
      <c r="R159" s="274">
        <f>SUM('OPX_BN-1'!$K159:$Q159)</f>
        <v>-10290</v>
      </c>
      <c r="S159" s="338">
        <v>0</v>
      </c>
      <c r="T159" s="423">
        <v>0</v>
      </c>
      <c r="U159" s="341"/>
      <c r="V159" s="423">
        <v>0</v>
      </c>
      <c r="W159" s="423">
        <v>0</v>
      </c>
      <c r="X159" s="423">
        <v>0</v>
      </c>
      <c r="Y159" s="423"/>
      <c r="Z159" s="264">
        <v>-5145</v>
      </c>
      <c r="AA159" s="423"/>
      <c r="AB159" s="273">
        <f>SUM('OPX_BN-1'!$T159:$AA159)</f>
        <v>-5145</v>
      </c>
      <c r="AC159" s="426"/>
      <c r="AD159" s="426"/>
      <c r="AE159" s="417">
        <v>0</v>
      </c>
      <c r="AF159" s="417">
        <v>0</v>
      </c>
      <c r="AG159" s="417">
        <v>0</v>
      </c>
      <c r="AH159" s="417">
        <v>-5000</v>
      </c>
      <c r="AI159" s="417">
        <v>0</v>
      </c>
      <c r="AJ159" s="271">
        <f>SUM('OPX_BN-1'!$AC159:$AI159)</f>
        <v>-5000</v>
      </c>
      <c r="AK159" s="429">
        <v>0</v>
      </c>
      <c r="AL159" s="276">
        <f>SUM('OPX_BN-1'!$J159,'OPX_BN-1'!$AB159,'OPX_BN-1'!$S159,'OPX_BN-1'!$AJ159,'OPX_BN-1'!$R159,'OPX_BN-1'!$AK159)</f>
        <v>-72914</v>
      </c>
      <c r="AM159" s="427">
        <v>0</v>
      </c>
    </row>
    <row r="160" spans="1:39" ht="15">
      <c r="A160" s="329" t="s">
        <v>517</v>
      </c>
      <c r="B160" s="327" t="str">
        <f>VLOOKUP('OPX_BN-1'!$A160,Tableau106[],3,FALSE)</f>
        <v>A125</v>
      </c>
      <c r="C160" s="327" t="str">
        <f>VLOOKUP('OPX_BN-1'!$A160,Tableau106[],2,FALSE)</f>
        <v>FR81E99E</v>
      </c>
      <c r="D160" s="327" t="str">
        <f>VLOOKUP('OPX_BN-1'!$A160,Tableau106[],8,FALSE)</f>
        <v>EOLIEN</v>
      </c>
      <c r="E160" s="328">
        <f>VLOOKUP('OPX_BN-1'!$A160,Tableau106[],4,FALSE)</f>
        <v>12</v>
      </c>
      <c r="F160" s="327" t="str">
        <f>VLOOKUP('OPX_BN-1'!$A160,Tableau106[],5,FALSE)</f>
        <v>SAUV</v>
      </c>
      <c r="G160" s="327" t="str">
        <f>VLOOKUP('OPX_BN-1'!$A160,Tableau106[],7,FALSE)</f>
        <v>GROUPE</v>
      </c>
      <c r="H160" s="327" t="str">
        <f>VLOOKUP('OPX_BN-1'!$A160,Tableau106[],6,FALSE)</f>
        <v>S</v>
      </c>
      <c r="I160" s="327" t="str">
        <f>VLOOKUP('OPX_BN-1'!$A160,Tableau106[],9,FALSE)</f>
        <v>ThC</v>
      </c>
      <c r="J160" s="160">
        <v>-12626.246851385387</v>
      </c>
      <c r="K160" s="489">
        <v>-6000</v>
      </c>
      <c r="L160" s="490">
        <v>0</v>
      </c>
      <c r="M160" s="229">
        <v>0</v>
      </c>
      <c r="N160" s="229">
        <v>0</v>
      </c>
      <c r="O160" s="229">
        <v>-1300</v>
      </c>
      <c r="P160" s="229">
        <v>-4200</v>
      </c>
      <c r="Q160" s="230">
        <v>-6000</v>
      </c>
      <c r="R160" s="274">
        <f>SUM('OPX_BN-1'!$K160:$Q160)</f>
        <v>-17500</v>
      </c>
      <c r="S160" s="338">
        <v>-427619.55204400001</v>
      </c>
      <c r="T160" s="423">
        <v>-24000</v>
      </c>
      <c r="U160" s="341"/>
      <c r="V160" s="423">
        <v>-56500</v>
      </c>
      <c r="W160" s="423">
        <v>0</v>
      </c>
      <c r="X160" s="423">
        <v>0</v>
      </c>
      <c r="Y160" s="423"/>
      <c r="Z160" s="264">
        <v>-31000</v>
      </c>
      <c r="AA160" s="423"/>
      <c r="AB160" s="273">
        <f>SUM('OPX_BN-1'!$T160:$AA160)</f>
        <v>-111500</v>
      </c>
      <c r="AC160" s="426"/>
      <c r="AD160" s="426"/>
      <c r="AE160" s="417">
        <v>0</v>
      </c>
      <c r="AF160" s="417">
        <v>0</v>
      </c>
      <c r="AG160" s="417">
        <v>-12000</v>
      </c>
      <c r="AH160" s="417">
        <v>0</v>
      </c>
      <c r="AI160" s="417">
        <v>0</v>
      </c>
      <c r="AJ160" s="271">
        <f>SUM('OPX_BN-1'!$AC160:$AI160)</f>
        <v>-12000</v>
      </c>
      <c r="AK160" s="429">
        <v>0</v>
      </c>
      <c r="AL160" s="276">
        <f>SUM('OPX_BN-1'!$J160,'OPX_BN-1'!$AB160,'OPX_BN-1'!$S160,'OPX_BN-1'!$AJ160,'OPX_BN-1'!$R160,'OPX_BN-1'!$AK160)</f>
        <v>-581245.79889538535</v>
      </c>
      <c r="AM160" s="427">
        <v>0</v>
      </c>
    </row>
    <row r="161" spans="1:39" ht="15">
      <c r="A161" s="329" t="s">
        <v>462</v>
      </c>
      <c r="B161" s="327" t="str">
        <f>VLOOKUP('OPX_BN-1'!$A161,Tableau106[],3,FALSE)</f>
        <v>A080</v>
      </c>
      <c r="C161" s="327" t="str">
        <f>VLOOKUP('OPX_BN-1'!$A161,Tableau106[],2,FALSE)</f>
        <v>FR12E98E</v>
      </c>
      <c r="D161" s="327" t="str">
        <f>VLOOKUP('OPX_BN-1'!$A161,Tableau106[],8,FALSE)</f>
        <v>EOLIEN</v>
      </c>
      <c r="E161" s="328">
        <f>VLOOKUP('OPX_BN-1'!$A161,Tableau106[],4,FALSE)</f>
        <v>60</v>
      </c>
      <c r="F161" s="327" t="str">
        <f>VLOOKUP('OPX_BN-1'!$A161,Tableau106[],5,FALSE)</f>
        <v>SACU</v>
      </c>
      <c r="G161" s="327" t="str">
        <f>VLOOKUP('OPX_BN-1'!$A161,Tableau106[],7,FALSE)</f>
        <v>GROUPE</v>
      </c>
      <c r="H161" s="327" t="str">
        <f>VLOOKUP('OPX_BN-1'!$A161,Tableau106[],6,FALSE)</f>
        <v>N</v>
      </c>
      <c r="I161" s="327" t="str">
        <f>VLOOKUP('OPX_BN-1'!$A161,Tableau106[],9,FALSE)</f>
        <v>AuE</v>
      </c>
      <c r="J161" s="160">
        <v>-1499229.5717884128</v>
      </c>
      <c r="K161" s="489">
        <v>-36000</v>
      </c>
      <c r="L161" s="490">
        <v>0</v>
      </c>
      <c r="M161" s="229">
        <v>0</v>
      </c>
      <c r="N161" s="229">
        <v>0</v>
      </c>
      <c r="O161" s="229">
        <v>-3000</v>
      </c>
      <c r="P161" s="229">
        <v>-4200</v>
      </c>
      <c r="Q161" s="230">
        <v>-6000</v>
      </c>
      <c r="R161" s="274">
        <f>SUM('OPX_BN-1'!$K161:$Q161)</f>
        <v>-49200</v>
      </c>
      <c r="S161" s="338">
        <v>-12217.2</v>
      </c>
      <c r="T161" s="423">
        <v>0</v>
      </c>
      <c r="U161" s="341"/>
      <c r="V161" s="423">
        <v>-15000</v>
      </c>
      <c r="W161" s="423">
        <v>0</v>
      </c>
      <c r="X161" s="423">
        <v>-4000</v>
      </c>
      <c r="Y161" s="423"/>
      <c r="Z161" s="264">
        <v>-6000</v>
      </c>
      <c r="AA161" s="423"/>
      <c r="AB161" s="273">
        <f>SUM('OPX_BN-1'!$T161:$AA161)</f>
        <v>-25000</v>
      </c>
      <c r="AC161" s="426"/>
      <c r="AD161" s="426"/>
      <c r="AE161" s="417">
        <v>0</v>
      </c>
      <c r="AF161" s="417">
        <v>0</v>
      </c>
      <c r="AG161" s="417">
        <v>-20000</v>
      </c>
      <c r="AH161" s="417">
        <v>0</v>
      </c>
      <c r="AI161" s="417">
        <v>0</v>
      </c>
      <c r="AJ161" s="271">
        <f>SUM('OPX_BN-1'!$AC161:$AI161)</f>
        <v>-20000</v>
      </c>
      <c r="AK161" s="429">
        <v>0</v>
      </c>
      <c r="AL161" s="276">
        <f>SUM('OPX_BN-1'!$J161,'OPX_BN-1'!$AB161,'OPX_BN-1'!$S161,'OPX_BN-1'!$AJ161,'OPX_BN-1'!$R161,'OPX_BN-1'!$AK161)</f>
        <v>-1605646.7717884127</v>
      </c>
      <c r="AM161" s="427">
        <v>0</v>
      </c>
    </row>
    <row r="162" spans="1:39" ht="15">
      <c r="A162" s="329" t="s">
        <v>460</v>
      </c>
      <c r="B162" s="327" t="str">
        <f>VLOOKUP('OPX_BN-1'!$A162,Tableau106[],3,FALSE)</f>
        <v>A081</v>
      </c>
      <c r="C162" s="327" t="str">
        <f>VLOOKUP('OPX_BN-1'!$A162,Tableau106[],2,FALSE)</f>
        <v>FR12E97E</v>
      </c>
      <c r="D162" s="327" t="str">
        <f>VLOOKUP('OPX_BN-1'!$A162,Tableau106[],8,FALSE)</f>
        <v>EOLIEN</v>
      </c>
      <c r="E162" s="328">
        <f>VLOOKUP('OPX_BN-1'!$A162,Tableau106[],4,FALSE)</f>
        <v>9</v>
      </c>
      <c r="F162" s="327" t="str">
        <f>VLOOKUP('OPX_BN-1'!$A162,Tableau106[],5,FALSE)</f>
        <v>SAPN</v>
      </c>
      <c r="G162" s="327" t="str">
        <f>VLOOKUP('OPX_BN-1'!$A162,Tableau106[],7,FALSE)</f>
        <v>GROUPE</v>
      </c>
      <c r="H162" s="327" t="str">
        <f>VLOOKUP('OPX_BN-1'!$A162,Tableau106[],6,FALSE)</f>
        <v>N</v>
      </c>
      <c r="I162" s="327" t="str">
        <f>VLOOKUP('OPX_BN-1'!$A162,Tableau106[],9,FALSE)</f>
        <v>AuE</v>
      </c>
      <c r="J162" s="160">
        <v>-210803.42569269516</v>
      </c>
      <c r="K162" s="489">
        <v>-8500</v>
      </c>
      <c r="L162" s="490">
        <v>0</v>
      </c>
      <c r="M162" s="229">
        <v>0</v>
      </c>
      <c r="N162" s="229">
        <v>0</v>
      </c>
      <c r="O162" s="229">
        <v>0</v>
      </c>
      <c r="P162" s="229">
        <v>-3150</v>
      </c>
      <c r="Q162" s="230">
        <v>-4500</v>
      </c>
      <c r="R162" s="274">
        <f>SUM('OPX_BN-1'!$K162:$Q162)</f>
        <v>-16150</v>
      </c>
      <c r="S162" s="338">
        <v>-2036.2</v>
      </c>
      <c r="T162" s="423">
        <v>0</v>
      </c>
      <c r="U162" s="341"/>
      <c r="V162" s="423">
        <v>-3500</v>
      </c>
      <c r="W162" s="423">
        <v>0</v>
      </c>
      <c r="X162" s="423">
        <v>0</v>
      </c>
      <c r="Y162" s="423"/>
      <c r="Z162" s="264">
        <v>-4500</v>
      </c>
      <c r="AA162" s="423"/>
      <c r="AB162" s="273">
        <f>SUM('OPX_BN-1'!$T162:$AA162)</f>
        <v>-8000</v>
      </c>
      <c r="AC162" s="426"/>
      <c r="AD162" s="426"/>
      <c r="AE162" s="417">
        <v>0</v>
      </c>
      <c r="AF162" s="417">
        <v>0</v>
      </c>
      <c r="AG162" s="417">
        <v>0</v>
      </c>
      <c r="AH162" s="417">
        <v>0</v>
      </c>
      <c r="AI162" s="417">
        <v>0</v>
      </c>
      <c r="AJ162" s="271">
        <f>SUM('OPX_BN-1'!$AC162:$AI162)</f>
        <v>0</v>
      </c>
      <c r="AK162" s="429">
        <v>0</v>
      </c>
      <c r="AL162" s="276">
        <f>SUM('OPX_BN-1'!$J162,'OPX_BN-1'!$AB162,'OPX_BN-1'!$S162,'OPX_BN-1'!$AJ162,'OPX_BN-1'!$R162,'OPX_BN-1'!$AK162)</f>
        <v>-236989.62569269518</v>
      </c>
      <c r="AM162" s="427">
        <v>0</v>
      </c>
    </row>
    <row r="163" spans="1:39" ht="15">
      <c r="A163" s="329" t="s">
        <v>339</v>
      </c>
      <c r="B163" s="327" t="str">
        <f>VLOOKUP('OPX_BN-1'!$A163,Tableau106[],3,FALSE)</f>
        <v>F033</v>
      </c>
      <c r="C163" s="327" t="str">
        <f>VLOOKUP('OPX_BN-1'!$A163,Tableau106[],2,FALSE)</f>
        <v>FR56E10E</v>
      </c>
      <c r="D163" s="327" t="str">
        <f>VLOOKUP('OPX_BN-1'!$A163,Tableau106[],8,FALSE)</f>
        <v>EOLIEN</v>
      </c>
      <c r="E163" s="328">
        <f>VLOOKUP('OPX_BN-1'!$A163,Tableau106[],4,FALSE)</f>
        <v>9</v>
      </c>
      <c r="F163" s="327" t="str">
        <f>VLOOKUP('OPX_BN-1'!$A163,Tableau106[],5,FALSE)</f>
        <v>SAMI</v>
      </c>
      <c r="G163" s="327" t="str">
        <f>VLOOKUP('OPX_BN-1'!$A163,Tableau106[],7,FALSE)</f>
        <v>FUTUREN</v>
      </c>
      <c r="H163" s="327" t="str">
        <f>VLOOKUP('OPX_BN-1'!$A163,Tableau106[],6,FALSE)</f>
        <v>N</v>
      </c>
      <c r="I163" s="327" t="str">
        <f>VLOOKUP('OPX_BN-1'!$A163,Tableau106[],9,FALSE)</f>
        <v>AnN</v>
      </c>
      <c r="J163" s="160">
        <v>-150414.29999999999</v>
      </c>
      <c r="K163" s="489">
        <v>-4500</v>
      </c>
      <c r="L163" s="490">
        <v>0</v>
      </c>
      <c r="M163" s="229">
        <v>0</v>
      </c>
      <c r="N163" s="229">
        <v>0</v>
      </c>
      <c r="O163" s="229">
        <v>0</v>
      </c>
      <c r="P163" s="229">
        <v>-3150</v>
      </c>
      <c r="Q163" s="230">
        <v>-4500</v>
      </c>
      <c r="R163" s="274">
        <f>SUM('OPX_BN-1'!$K163:$Q163)</f>
        <v>-12150</v>
      </c>
      <c r="S163" s="338">
        <v>0</v>
      </c>
      <c r="T163" s="423">
        <v>0</v>
      </c>
      <c r="U163" s="341"/>
      <c r="V163" s="423">
        <v>0</v>
      </c>
      <c r="W163" s="423">
        <v>0</v>
      </c>
      <c r="X163" s="423">
        <v>0</v>
      </c>
      <c r="Y163" s="423"/>
      <c r="Z163" s="264">
        <v>-4500</v>
      </c>
      <c r="AA163" s="423"/>
      <c r="AB163" s="273">
        <f>SUM('OPX_BN-1'!$T163:$AA163)</f>
        <v>-4500</v>
      </c>
      <c r="AC163" s="426"/>
      <c r="AD163" s="426"/>
      <c r="AE163" s="417">
        <v>0</v>
      </c>
      <c r="AF163" s="417">
        <v>0</v>
      </c>
      <c r="AG163" s="417">
        <v>0</v>
      </c>
      <c r="AH163" s="417">
        <v>0</v>
      </c>
      <c r="AI163" s="417">
        <v>0</v>
      </c>
      <c r="AJ163" s="271">
        <f>SUM('OPX_BN-1'!$AC163:$AI163)</f>
        <v>0</v>
      </c>
      <c r="AK163" s="429">
        <v>0</v>
      </c>
      <c r="AL163" s="276">
        <f>SUM('OPX_BN-1'!$J163,'OPX_BN-1'!$AB163,'OPX_BN-1'!$S163,'OPX_BN-1'!$AJ163,'OPX_BN-1'!$R163,'OPX_BN-1'!$AK163)</f>
        <v>-167064.29999999999</v>
      </c>
      <c r="AM163" s="427">
        <v>0</v>
      </c>
    </row>
    <row r="164" spans="1:39" ht="15">
      <c r="A164" s="329" t="s">
        <v>342</v>
      </c>
      <c r="B164" s="327" t="str">
        <f>VLOOKUP('OPX_BN-1'!$A164,Tableau106[],3,FALSE)</f>
        <v>A540</v>
      </c>
      <c r="C164" s="327" t="str">
        <f>VLOOKUP('OPX_BN-1'!$A164,Tableau106[],2,FALSE)</f>
        <v>FR02E05E</v>
      </c>
      <c r="D164" s="327" t="str">
        <f>VLOOKUP('OPX_BN-1'!$A164,Tableau106[],8,FALSE)</f>
        <v>EOLIEN</v>
      </c>
      <c r="E164" s="328">
        <f>VLOOKUP('OPX_BN-1'!$A164,Tableau106[],4,FALSE)</f>
        <v>8</v>
      </c>
      <c r="F164" s="327" t="str">
        <f>VLOOKUP('OPX_BN-1'!$A164,Tableau106[],5,FALSE)</f>
        <v>SERY</v>
      </c>
      <c r="G164" s="327" t="str">
        <f>VLOOKUP('OPX_BN-1'!$A164,Tableau106[],7,FALSE)</f>
        <v>EGM</v>
      </c>
      <c r="H164" s="327" t="str">
        <f>VLOOKUP('OPX_BN-1'!$A164,Tableau106[],6,FALSE)</f>
        <v>N</v>
      </c>
      <c r="I164" s="327" t="str">
        <f>VLOOKUP('OPX_BN-1'!$A164,Tableau106[],9,FALSE)</f>
        <v>NoS</v>
      </c>
      <c r="J164" s="160">
        <v>-205342.87687010149</v>
      </c>
      <c r="K164" s="489">
        <v>-4000</v>
      </c>
      <c r="L164" s="490">
        <v>-26455.026455026455</v>
      </c>
      <c r="M164" s="229">
        <v>0</v>
      </c>
      <c r="N164" s="229">
        <v>0</v>
      </c>
      <c r="O164" s="229">
        <v>-3000</v>
      </c>
      <c r="P164" s="229">
        <v>-2800</v>
      </c>
      <c r="Q164" s="230">
        <v>-4000</v>
      </c>
      <c r="R164" s="274">
        <f>SUM('OPX_BN-1'!$K164:$Q164)</f>
        <v>-40255.026455026455</v>
      </c>
      <c r="S164" s="338">
        <v>0</v>
      </c>
      <c r="T164" s="423">
        <v>0</v>
      </c>
      <c r="U164" s="341"/>
      <c r="V164" s="423">
        <v>-1000</v>
      </c>
      <c r="W164" s="423">
        <v>0</v>
      </c>
      <c r="X164" s="423">
        <v>-4000</v>
      </c>
      <c r="Y164" s="423"/>
      <c r="Z164" s="264">
        <v>-4000</v>
      </c>
      <c r="AA164" s="423"/>
      <c r="AB164" s="273">
        <f>SUM('OPX_BN-1'!$T164:$AA164)</f>
        <v>-9000</v>
      </c>
      <c r="AC164" s="426"/>
      <c r="AD164" s="426"/>
      <c r="AE164" s="417">
        <v>0</v>
      </c>
      <c r="AF164" s="417">
        <v>0</v>
      </c>
      <c r="AG164" s="417">
        <v>0</v>
      </c>
      <c r="AH164" s="417">
        <v>0</v>
      </c>
      <c r="AI164" s="417">
        <v>0</v>
      </c>
      <c r="AJ164" s="271">
        <f>SUM('OPX_BN-1'!$AC164:$AI164)</f>
        <v>0</v>
      </c>
      <c r="AK164" s="429">
        <v>0</v>
      </c>
      <c r="AL164" s="276">
        <f>SUM('OPX_BN-1'!$J164,'OPX_BN-1'!$AB164,'OPX_BN-1'!$S164,'OPX_BN-1'!$AJ164,'OPX_BN-1'!$R164,'OPX_BN-1'!$AK164)</f>
        <v>-254597.90332512796</v>
      </c>
      <c r="AM164" s="427">
        <v>0</v>
      </c>
    </row>
    <row r="165" spans="1:39" ht="15">
      <c r="A165" s="329" t="s">
        <v>600</v>
      </c>
      <c r="B165" s="327" t="str">
        <f>VLOOKUP('OPX_BN-1'!$A165,Tableau106[],3,FALSE)</f>
        <v>A065</v>
      </c>
      <c r="C165" s="327" t="str">
        <f>VLOOKUP('OPX_BN-1'!$A165,Tableau106[],2,FALSE)</f>
        <v>FR97S90E</v>
      </c>
      <c r="D165" s="327" t="str">
        <f>VLOOKUP('OPX_BN-1'!$A165,Tableau106[],8,FALSE)</f>
        <v>SOLAIRE DOM</v>
      </c>
      <c r="E165" s="328">
        <f>VLOOKUP('OPX_BN-1'!$A165,Tableau106[],4,FALSE)</f>
        <v>1.2569999999999999</v>
      </c>
      <c r="F165" s="327" t="str">
        <f>VLOOKUP('OPX_BN-1'!$A165,Tableau106[],5,FALSE)</f>
        <v>SIOU</v>
      </c>
      <c r="G165" s="327" t="str">
        <f>VLOOKUP('OPX_BN-1'!$A165,Tableau106[],7,FALSE)</f>
        <v>GROUPE</v>
      </c>
      <c r="H165" s="327" t="str">
        <f>VLOOKUP('OPX_BN-1'!$A165,Tableau106[],6,FALSE)</f>
        <v>DOM</v>
      </c>
      <c r="I165" s="327" t="str">
        <f>VLOOKUP('OPX_BN-1'!$A165,Tableau106[],9,FALSE)</f>
        <v>DoJ</v>
      </c>
      <c r="J165" s="160">
        <v>0</v>
      </c>
      <c r="K165" s="489">
        <v>-628.5</v>
      </c>
      <c r="L165" s="490">
        <v>0</v>
      </c>
      <c r="M165" s="229">
        <v>0</v>
      </c>
      <c r="N165" s="229">
        <v>0</v>
      </c>
      <c r="O165" s="229">
        <v>0</v>
      </c>
      <c r="P165" s="229">
        <v>0</v>
      </c>
      <c r="Q165" s="230">
        <v>-628.5</v>
      </c>
      <c r="R165" s="274">
        <f>SUM('OPX_BN-1'!$K165:$Q165)</f>
        <v>-1257</v>
      </c>
      <c r="S165" s="338">
        <v>-70008.75057199999</v>
      </c>
      <c r="T165" s="423">
        <v>-6000</v>
      </c>
      <c r="U165" s="341"/>
      <c r="V165" s="423">
        <v>0</v>
      </c>
      <c r="W165" s="423">
        <v>-1220</v>
      </c>
      <c r="X165" s="423">
        <v>0</v>
      </c>
      <c r="Y165" s="423"/>
      <c r="Z165" s="264">
        <v>-3628.5</v>
      </c>
      <c r="AA165" s="423"/>
      <c r="AB165" s="273">
        <f>SUM('OPX_BN-1'!$T165:$AA165)</f>
        <v>-10848.5</v>
      </c>
      <c r="AC165" s="426"/>
      <c r="AD165" s="426"/>
      <c r="AE165" s="417">
        <v>0</v>
      </c>
      <c r="AF165" s="417">
        <v>0</v>
      </c>
      <c r="AG165" s="417">
        <v>0</v>
      </c>
      <c r="AH165" s="417">
        <v>0</v>
      </c>
      <c r="AI165" s="417">
        <v>0</v>
      </c>
      <c r="AJ165" s="271">
        <f>SUM('OPX_BN-1'!$AC165:$AI165)</f>
        <v>0</v>
      </c>
      <c r="AK165" s="429">
        <v>0</v>
      </c>
      <c r="AL165" s="276">
        <f>SUM('OPX_BN-1'!$J165,'OPX_BN-1'!$AB165,'OPX_BN-1'!$S165,'OPX_BN-1'!$AJ165,'OPX_BN-1'!$R165,'OPX_BN-1'!$AK165)</f>
        <v>-82114.25057199999</v>
      </c>
      <c r="AM165" s="427">
        <v>0</v>
      </c>
    </row>
    <row r="166" spans="1:39" ht="15">
      <c r="A166" s="329" t="s">
        <v>349</v>
      </c>
      <c r="B166" s="327" t="str">
        <f>VLOOKUP('OPX_BN-1'!$A166,Tableau106[],3,FALSE)</f>
        <v>F099</v>
      </c>
      <c r="C166" s="327" t="str">
        <f>VLOOKUP('OPX_BN-1'!$A166,Tableau106[],2,FALSE)</f>
        <v>FR12E93E</v>
      </c>
      <c r="D166" s="327" t="str">
        <f>VLOOKUP('OPX_BN-1'!$A166,Tableau106[],8,FALSE)</f>
        <v>EOLIEN</v>
      </c>
      <c r="E166" s="328">
        <f>VLOOKUP('OPX_BN-1'!$A166,Tableau106[],4,FALSE)</f>
        <v>13.8</v>
      </c>
      <c r="F166" s="327" t="str">
        <f>VLOOKUP('OPX_BN-1'!$A166,Tableau106[],5,FALSE)</f>
        <v>FAYD</v>
      </c>
      <c r="G166" s="327" t="str">
        <f>VLOOKUP('OPX_BN-1'!$A166,Tableau106[],7,FALSE)</f>
        <v>FUTUREN</v>
      </c>
      <c r="H166" s="327" t="str">
        <f>VLOOKUP('OPX_BN-1'!$A166,Tableau106[],6,FALSE)</f>
        <v>S</v>
      </c>
      <c r="I166" s="327" t="str">
        <f>VLOOKUP('OPX_BN-1'!$A166,Tableau106[],9,FALSE)</f>
        <v>OdP</v>
      </c>
      <c r="J166" s="160">
        <v>-9472.6677165354322</v>
      </c>
      <c r="K166" s="489">
        <v>-6900</v>
      </c>
      <c r="L166" s="490">
        <v>0</v>
      </c>
      <c r="M166" s="229">
        <v>0</v>
      </c>
      <c r="N166" s="229">
        <v>0</v>
      </c>
      <c r="O166" s="229">
        <v>0</v>
      </c>
      <c r="P166" s="229">
        <v>0</v>
      </c>
      <c r="Q166" s="230">
        <v>-6900</v>
      </c>
      <c r="R166" s="274">
        <f>SUM('OPX_BN-1'!$K166:$Q166)</f>
        <v>-13800</v>
      </c>
      <c r="S166" s="338">
        <v>-245367.1905</v>
      </c>
      <c r="T166" s="423">
        <v>-2000</v>
      </c>
      <c r="U166" s="341"/>
      <c r="V166" s="423">
        <v>-3500</v>
      </c>
      <c r="W166" s="423">
        <v>0</v>
      </c>
      <c r="X166" s="423">
        <v>0</v>
      </c>
      <c r="Y166" s="423"/>
      <c r="Z166" s="264">
        <v>-11900</v>
      </c>
      <c r="AA166" s="423"/>
      <c r="AB166" s="273">
        <f>SUM('OPX_BN-1'!$T166:$AA166)</f>
        <v>-17400</v>
      </c>
      <c r="AC166" s="426"/>
      <c r="AD166" s="426"/>
      <c r="AE166" s="417">
        <v>-10000</v>
      </c>
      <c r="AF166" s="417">
        <v>0</v>
      </c>
      <c r="AG166" s="417">
        <v>0</v>
      </c>
      <c r="AH166" s="417">
        <v>0</v>
      </c>
      <c r="AI166" s="417">
        <v>0</v>
      </c>
      <c r="AJ166" s="271">
        <f>SUM('OPX_BN-1'!$AC166:$AI166)</f>
        <v>-10000</v>
      </c>
      <c r="AK166" s="429">
        <v>0</v>
      </c>
      <c r="AL166" s="276">
        <f>SUM('OPX_BN-1'!$J166,'OPX_BN-1'!$AB166,'OPX_BN-1'!$S166,'OPX_BN-1'!$AJ166,'OPX_BN-1'!$R166,'OPX_BN-1'!$AK166)</f>
        <v>-296039.85821653542</v>
      </c>
      <c r="AM166" s="427">
        <v>0</v>
      </c>
    </row>
    <row r="167" spans="1:39" ht="15">
      <c r="A167" s="329" t="s">
        <v>603</v>
      </c>
      <c r="B167" s="327" t="str">
        <f>VLOOKUP('OPX_BN-1'!$A167,Tableau106[],3,FALSE)</f>
        <v>A295</v>
      </c>
      <c r="C167" s="327" t="str">
        <f>VLOOKUP('OPX_BN-1'!$A167,Tableau106[],2,FALSE)</f>
        <v>FR18S01E</v>
      </c>
      <c r="D167" s="327" t="str">
        <f>VLOOKUP('OPX_BN-1'!$A167,Tableau106[],8,FALSE)</f>
        <v>SOLAIRE</v>
      </c>
      <c r="E167" s="328">
        <f>VLOOKUP('OPX_BN-1'!$A167,Tableau106[],4,FALSE)</f>
        <v>5</v>
      </c>
      <c r="F167" s="327" t="str">
        <f>VLOOKUP('OPX_BN-1'!$A167,Tableau106[],5,FALSE)</f>
        <v>SAMM</v>
      </c>
      <c r="G167" s="327" t="str">
        <f>VLOOKUP('OPX_BN-1'!$A167,Tableau106[],7,FALSE)</f>
        <v>GROUPE</v>
      </c>
      <c r="H167" s="327" t="str">
        <f>VLOOKUP('OPX_BN-1'!$A167,Tableau106[],6,FALSE)</f>
        <v>N</v>
      </c>
      <c r="I167" s="327" t="str">
        <f>VLOOKUP('OPX_BN-1'!$A167,Tableau106[],9,FALSE)</f>
        <v>ArB</v>
      </c>
      <c r="J167" s="160">
        <v>-25500</v>
      </c>
      <c r="K167" s="489">
        <v>-2500</v>
      </c>
      <c r="L167" s="490">
        <v>0</v>
      </c>
      <c r="M167" s="229">
        <v>0</v>
      </c>
      <c r="N167" s="229">
        <v>0</v>
      </c>
      <c r="O167" s="229">
        <v>0</v>
      </c>
      <c r="P167" s="229">
        <v>0</v>
      </c>
      <c r="Q167" s="230">
        <v>-2500</v>
      </c>
      <c r="R167" s="274">
        <f>SUM('OPX_BN-1'!$K167:$Q167)</f>
        <v>-5000</v>
      </c>
      <c r="S167" s="338">
        <v>0</v>
      </c>
      <c r="T167" s="423">
        <v>0</v>
      </c>
      <c r="U167" s="341"/>
      <c r="V167" s="423">
        <v>0</v>
      </c>
      <c r="W167" s="423">
        <v>0</v>
      </c>
      <c r="X167" s="423">
        <v>0</v>
      </c>
      <c r="Y167" s="423"/>
      <c r="Z167" s="264">
        <v>-2500</v>
      </c>
      <c r="AA167" s="423"/>
      <c r="AB167" s="273">
        <f>SUM('OPX_BN-1'!$T167:$AA167)</f>
        <v>-2500</v>
      </c>
      <c r="AC167" s="426"/>
      <c r="AD167" s="426"/>
      <c r="AE167" s="417">
        <v>0</v>
      </c>
      <c r="AF167" s="417">
        <v>0</v>
      </c>
      <c r="AG167" s="417">
        <v>0</v>
      </c>
      <c r="AH167" s="417">
        <v>0</v>
      </c>
      <c r="AI167" s="417">
        <v>0</v>
      </c>
      <c r="AJ167" s="271">
        <f>SUM('OPX_BN-1'!$AC167:$AI167)</f>
        <v>0</v>
      </c>
      <c r="AK167" s="429">
        <v>0</v>
      </c>
      <c r="AL167" s="276">
        <f>SUM('OPX_BN-1'!$J167,'OPX_BN-1'!$AB167,'OPX_BN-1'!$S167,'OPX_BN-1'!$AJ167,'OPX_BN-1'!$R167,'OPX_BN-1'!$AK167)</f>
        <v>-33000</v>
      </c>
      <c r="AM167" s="427">
        <v>0</v>
      </c>
    </row>
    <row r="168" spans="1:39" ht="15">
      <c r="A168" s="329" t="s">
        <v>604</v>
      </c>
      <c r="B168" s="327" t="str">
        <f>VLOOKUP('OPX_BN-1'!$A168,Tableau106[],3,FALSE)</f>
        <v>A066</v>
      </c>
      <c r="C168" s="327" t="str">
        <f>VLOOKUP('OPX_BN-1'!$A168,Tableau106[],2,FALSE)</f>
        <v>FR97S99E</v>
      </c>
      <c r="D168" s="327" t="str">
        <f>VLOOKUP('OPX_BN-1'!$A168,Tableau106[],8,FALSE)</f>
        <v>SOLAIRE DOM</v>
      </c>
      <c r="E168" s="328">
        <f>VLOOKUP('OPX_BN-1'!$A168,Tableau106[],4,FALSE)</f>
        <v>3.6</v>
      </c>
      <c r="F168" s="327" t="str">
        <f>VLOOKUP('OPX_BN-1'!$A168,Tableau106[],5,FALSE)</f>
        <v>SFR1</v>
      </c>
      <c r="G168" s="327" t="str">
        <f>VLOOKUP('OPX_BN-1'!$A168,Tableau106[],7,FALSE)</f>
        <v>GROUPE</v>
      </c>
      <c r="H168" s="327" t="str">
        <f>VLOOKUP('OPX_BN-1'!$A168,Tableau106[],6,FALSE)</f>
        <v>DOM</v>
      </c>
      <c r="I168" s="327" t="str">
        <f>VLOOKUP('OPX_BN-1'!$A168,Tableau106[],9,FALSE)</f>
        <v>DoJ</v>
      </c>
      <c r="J168" s="160">
        <v>0</v>
      </c>
      <c r="K168" s="489">
        <v>-1800</v>
      </c>
      <c r="L168" s="490">
        <v>0</v>
      </c>
      <c r="M168" s="229">
        <v>0</v>
      </c>
      <c r="N168" s="229">
        <v>0</v>
      </c>
      <c r="O168" s="229">
        <v>0</v>
      </c>
      <c r="P168" s="229">
        <v>0</v>
      </c>
      <c r="Q168" s="230">
        <v>-1800</v>
      </c>
      <c r="R168" s="274">
        <f>SUM('OPX_BN-1'!$K168:$Q168)</f>
        <v>-3600</v>
      </c>
      <c r="S168" s="338">
        <v>-120984</v>
      </c>
      <c r="T168" s="423">
        <v>-51000</v>
      </c>
      <c r="U168" s="341"/>
      <c r="V168" s="423">
        <v>0</v>
      </c>
      <c r="W168" s="423">
        <v>-1220</v>
      </c>
      <c r="X168" s="423">
        <v>0</v>
      </c>
      <c r="Y168" s="423"/>
      <c r="Z168" s="264">
        <v>-4800</v>
      </c>
      <c r="AA168" s="423"/>
      <c r="AB168" s="273">
        <f>SUM('OPX_BN-1'!$T168:$AA168)</f>
        <v>-57020</v>
      </c>
      <c r="AC168" s="426"/>
      <c r="AD168" s="426"/>
      <c r="AE168" s="417">
        <v>0</v>
      </c>
      <c r="AF168" s="417">
        <v>0</v>
      </c>
      <c r="AG168" s="417">
        <v>0</v>
      </c>
      <c r="AH168" s="417">
        <v>0</v>
      </c>
      <c r="AI168" s="417">
        <v>0</v>
      </c>
      <c r="AJ168" s="271">
        <f>SUM('OPX_BN-1'!$AC168:$AI168)</f>
        <v>0</v>
      </c>
      <c r="AK168" s="429">
        <v>0</v>
      </c>
      <c r="AL168" s="276">
        <f>SUM('OPX_BN-1'!$J168,'OPX_BN-1'!$AB168,'OPX_BN-1'!$S168,'OPX_BN-1'!$AJ168,'OPX_BN-1'!$R168,'OPX_BN-1'!$AK168)</f>
        <v>-181604</v>
      </c>
      <c r="AM168" s="427">
        <v>-10000</v>
      </c>
    </row>
    <row r="169" spans="1:39" ht="15">
      <c r="A169" s="329" t="s">
        <v>605</v>
      </c>
      <c r="B169" s="327" t="str">
        <f>VLOOKUP('OPX_BN-1'!$A169,Tableau106[],3,FALSE)</f>
        <v>A257</v>
      </c>
      <c r="C169" s="327" t="str">
        <f>VLOOKUP('OPX_BN-1'!$A169,Tableau106[],2,FALSE)</f>
        <v>FR01S07E</v>
      </c>
      <c r="D169" s="327" t="str">
        <f>VLOOKUP('OPX_BN-1'!$A169,Tableau106[],8,FALSE)</f>
        <v>SOLAIRE</v>
      </c>
      <c r="E169" s="328">
        <f>VLOOKUP('OPX_BN-1'!$A169,Tableau106[],4,FALSE)</f>
        <v>2.7</v>
      </c>
      <c r="F169" s="327" t="str">
        <f>VLOOKUP('OPX_BN-1'!$A169,Tableau106[],5,FALSE)</f>
        <v>SJLV</v>
      </c>
      <c r="G169" s="327" t="str">
        <f>VLOOKUP('OPX_BN-1'!$A169,Tableau106[],7,FALSE)</f>
        <v>GROUPE</v>
      </c>
      <c r="H169" s="327" t="str">
        <f>VLOOKUP('OPX_BN-1'!$A169,Tableau106[],6,FALSE)</f>
        <v>S</v>
      </c>
      <c r="I169" s="327" t="str">
        <f>VLOOKUP('OPX_BN-1'!$A169,Tableau106[],9,FALSE)</f>
        <v>ArB</v>
      </c>
      <c r="J169" s="160">
        <v>-13770</v>
      </c>
      <c r="K169" s="489">
        <v>-1350</v>
      </c>
      <c r="L169" s="490">
        <v>0</v>
      </c>
      <c r="M169" s="229">
        <v>0</v>
      </c>
      <c r="N169" s="229">
        <v>0</v>
      </c>
      <c r="O169" s="229">
        <v>0</v>
      </c>
      <c r="P169" s="229">
        <v>0</v>
      </c>
      <c r="Q169" s="230">
        <v>-1350</v>
      </c>
      <c r="R169" s="274">
        <f>SUM('OPX_BN-1'!$K169:$Q169)</f>
        <v>-2700</v>
      </c>
      <c r="S169" s="338">
        <v>0</v>
      </c>
      <c r="T169" s="423">
        <v>0</v>
      </c>
      <c r="U169" s="341"/>
      <c r="V169" s="423">
        <v>0</v>
      </c>
      <c r="W169" s="423">
        <v>0</v>
      </c>
      <c r="X169" s="423">
        <v>0</v>
      </c>
      <c r="Y169" s="423"/>
      <c r="Z169" s="264">
        <v>-1350</v>
      </c>
      <c r="AA169" s="423"/>
      <c r="AB169" s="273">
        <f>SUM('OPX_BN-1'!$T169:$AA169)</f>
        <v>-1350</v>
      </c>
      <c r="AC169" s="426"/>
      <c r="AD169" s="426"/>
      <c r="AE169" s="417">
        <v>0</v>
      </c>
      <c r="AF169" s="417">
        <v>0</v>
      </c>
      <c r="AG169" s="417">
        <v>0</v>
      </c>
      <c r="AH169" s="417">
        <v>0</v>
      </c>
      <c r="AI169" s="417">
        <v>0</v>
      </c>
      <c r="AJ169" s="271">
        <f>SUM('OPX_BN-1'!$AC169:$AI169)</f>
        <v>0</v>
      </c>
      <c r="AK169" s="429">
        <v>0</v>
      </c>
      <c r="AL169" s="276">
        <f>SUM('OPX_BN-1'!$J169,'OPX_BN-1'!$AB169,'OPX_BN-1'!$S169,'OPX_BN-1'!$AJ169,'OPX_BN-1'!$R169,'OPX_BN-1'!$AK169)</f>
        <v>-17820</v>
      </c>
      <c r="AM169" s="427">
        <v>0</v>
      </c>
    </row>
    <row r="170" spans="1:39" ht="15">
      <c r="A170" s="329" t="s">
        <v>528</v>
      </c>
      <c r="B170" s="327" t="str">
        <f>VLOOKUP('OPX_BN-1'!$A170,Tableau106[],3,FALSE)</f>
        <v>A894</v>
      </c>
      <c r="C170" s="327" t="str">
        <f>VLOOKUP('OPX_BN-1'!$A170,Tableau106[],2,FALSE)</f>
        <v>FR14E99E</v>
      </c>
      <c r="D170" s="327" t="str">
        <f>VLOOKUP('OPX_BN-1'!$A170,Tableau106[],8,FALSE)</f>
        <v>EOLIEN</v>
      </c>
      <c r="E170" s="328">
        <f>VLOOKUP('OPX_BN-1'!$A170,Tableau106[],4,FALSE)</f>
        <v>6</v>
      </c>
      <c r="F170" s="327" t="str">
        <f>VLOOKUP('OPX_BN-1'!$A170,Tableau106[],5,FALSE)</f>
        <v>STMB</v>
      </c>
      <c r="G170" s="327" t="str">
        <f>VLOOKUP('OPX_BN-1'!$A170,Tableau106[],7,FALSE)</f>
        <v>GROUPE</v>
      </c>
      <c r="H170" s="327" t="str">
        <f>VLOOKUP('OPX_BN-1'!$A170,Tableau106[],6,FALSE)</f>
        <v>N</v>
      </c>
      <c r="I170" s="327" t="str">
        <f>VLOOKUP('OPX_BN-1'!$A170,Tableau106[],9,FALSE)</f>
        <v>AnN</v>
      </c>
      <c r="J170" s="160">
        <v>-67626</v>
      </c>
      <c r="K170" s="489">
        <v>-176400</v>
      </c>
      <c r="L170" s="490">
        <v>0</v>
      </c>
      <c r="M170" s="229">
        <v>0</v>
      </c>
      <c r="N170" s="229">
        <v>0</v>
      </c>
      <c r="O170" s="229">
        <v>0</v>
      </c>
      <c r="P170" s="229">
        <v>-2100</v>
      </c>
      <c r="Q170" s="230">
        <v>-3000</v>
      </c>
      <c r="R170" s="274">
        <f>SUM('OPX_BN-1'!$K170:$Q170)</f>
        <v>-181500</v>
      </c>
      <c r="S170" s="338">
        <v>0</v>
      </c>
      <c r="T170" s="423">
        <v>0</v>
      </c>
      <c r="U170" s="341"/>
      <c r="V170" s="423">
        <v>-1000</v>
      </c>
      <c r="W170" s="423">
        <v>0</v>
      </c>
      <c r="X170" s="423">
        <v>0</v>
      </c>
      <c r="Y170" s="423"/>
      <c r="Z170" s="264">
        <v>-3000</v>
      </c>
      <c r="AA170" s="423"/>
      <c r="AB170" s="273">
        <f>SUM('OPX_BN-1'!$T170:$AA170)</f>
        <v>-4000</v>
      </c>
      <c r="AC170" s="426"/>
      <c r="AD170" s="426"/>
      <c r="AE170" s="417">
        <v>0</v>
      </c>
      <c r="AF170" s="417">
        <v>0</v>
      </c>
      <c r="AG170" s="417">
        <v>0</v>
      </c>
      <c r="AH170" s="417">
        <v>0</v>
      </c>
      <c r="AI170" s="417">
        <v>0</v>
      </c>
      <c r="AJ170" s="271">
        <f>SUM('OPX_BN-1'!$AC170:$AI170)</f>
        <v>0</v>
      </c>
      <c r="AK170" s="429">
        <v>0</v>
      </c>
      <c r="AL170" s="276">
        <f>SUM('OPX_BN-1'!$J170,'OPX_BN-1'!$AB170,'OPX_BN-1'!$S170,'OPX_BN-1'!$AJ170,'OPX_BN-1'!$R170,'OPX_BN-1'!$AK170)</f>
        <v>-253126</v>
      </c>
      <c r="AM170" s="427">
        <v>0</v>
      </c>
    </row>
    <row r="171" spans="1:39" ht="15">
      <c r="A171" s="329" t="s">
        <v>353</v>
      </c>
      <c r="B171" s="327" t="str">
        <f>VLOOKUP('OPX_BN-1'!$A171,Tableau106[],3,FALSE)</f>
        <v>A257</v>
      </c>
      <c r="C171" s="327" t="str">
        <f>VLOOKUP('OPX_BN-1'!$A171,Tableau106[],2,FALSE)</f>
        <v>FR11S06E</v>
      </c>
      <c r="D171" s="327" t="str">
        <f>VLOOKUP('OPX_BN-1'!$A171,Tableau106[],8,FALSE)</f>
        <v>SOLAIRE</v>
      </c>
      <c r="E171" s="328">
        <f>VLOOKUP('OPX_BN-1'!$A171,Tableau106[],4,FALSE)</f>
        <v>4.5999999999999996</v>
      </c>
      <c r="F171" s="327" t="str">
        <f>VLOOKUP('OPX_BN-1'!$A171,Tableau106[],5,FALSE)</f>
        <v>STPA</v>
      </c>
      <c r="G171" s="327" t="str">
        <f>VLOOKUP('OPX_BN-1'!$A171,Tableau106[],7,FALSE)</f>
        <v>GROUPE</v>
      </c>
      <c r="H171" s="327" t="str">
        <f>VLOOKUP('OPX_BN-1'!$A171,Tableau106[],6,FALSE)</f>
        <v>S</v>
      </c>
      <c r="I171" s="327" t="str">
        <f>VLOOKUP('OPX_BN-1'!$A171,Tableau106[],9,FALSE)</f>
        <v>BaA</v>
      </c>
      <c r="J171" s="160">
        <v>-25261.32</v>
      </c>
      <c r="K171" s="489">
        <v>-7400</v>
      </c>
      <c r="L171" s="490">
        <v>0</v>
      </c>
      <c r="M171" s="229">
        <v>0</v>
      </c>
      <c r="N171" s="229">
        <v>0</v>
      </c>
      <c r="O171" s="229">
        <v>0</v>
      </c>
      <c r="P171" s="229">
        <v>0</v>
      </c>
      <c r="Q171" s="230">
        <v>-2500</v>
      </c>
      <c r="R171" s="274">
        <f>SUM('OPX_BN-1'!$K171:$Q171)</f>
        <v>-9900</v>
      </c>
      <c r="S171" s="338">
        <v>0</v>
      </c>
      <c r="T171" s="423">
        <v>0</v>
      </c>
      <c r="U171" s="341"/>
      <c r="V171" s="423">
        <v>0</v>
      </c>
      <c r="W171" s="423">
        <v>0</v>
      </c>
      <c r="X171" s="423">
        <v>0</v>
      </c>
      <c r="Y171" s="423"/>
      <c r="Z171" s="264">
        <v>-2500</v>
      </c>
      <c r="AA171" s="423"/>
      <c r="AB171" s="273">
        <f>SUM('OPX_BN-1'!$T171:$AA171)</f>
        <v>-2500</v>
      </c>
      <c r="AC171" s="426"/>
      <c r="AD171" s="426"/>
      <c r="AE171" s="417">
        <v>0</v>
      </c>
      <c r="AF171" s="417">
        <v>0</v>
      </c>
      <c r="AG171" s="417">
        <v>0</v>
      </c>
      <c r="AH171" s="417">
        <v>-2160</v>
      </c>
      <c r="AI171" s="417">
        <v>0</v>
      </c>
      <c r="AJ171" s="271">
        <f>SUM('OPX_BN-1'!$AC171:$AI171)</f>
        <v>-2160</v>
      </c>
      <c r="AK171" s="429">
        <v>0</v>
      </c>
      <c r="AL171" s="276">
        <f>SUM('OPX_BN-1'!$J171,'OPX_BN-1'!$AB171,'OPX_BN-1'!$S171,'OPX_BN-1'!$AJ171,'OPX_BN-1'!$R171,'OPX_BN-1'!$AK171)</f>
        <v>-39821.32</v>
      </c>
      <c r="AM171" s="427">
        <v>0</v>
      </c>
    </row>
    <row r="172" spans="1:39" ht="15">
      <c r="A172" s="329" t="s">
        <v>607</v>
      </c>
      <c r="B172" s="327" t="str">
        <f>VLOOKUP('OPX_BN-1'!$A172,Tableau106[],3,FALSE)</f>
        <v>A353</v>
      </c>
      <c r="C172" s="327" t="str">
        <f>VLOOKUP('OPX_BN-1'!$A172,Tableau106[],2,FALSE)</f>
        <v>FR34S01E</v>
      </c>
      <c r="D172" s="327" t="str">
        <f>VLOOKUP('OPX_BN-1'!$A172,Tableau106[],8,FALSE)</f>
        <v>SOLAIRE</v>
      </c>
      <c r="E172" s="328">
        <f>VLOOKUP('OPX_BN-1'!$A172,Tableau106[],4,FALSE)</f>
        <v>10.664</v>
      </c>
      <c r="F172" s="327" t="str">
        <f>VLOOKUP('OPX_BN-1'!$A172,Tableau106[],5,FALSE)</f>
        <v>SPAR</v>
      </c>
      <c r="G172" s="327" t="str">
        <f>VLOOKUP('OPX_BN-1'!$A172,Tableau106[],7,FALSE)</f>
        <v>GROUPE</v>
      </c>
      <c r="H172" s="327" t="str">
        <f>VLOOKUP('OPX_BN-1'!$A172,Tableau106[],6,FALSE)</f>
        <v>S</v>
      </c>
      <c r="I172" s="327" t="str">
        <f>VLOOKUP('OPX_BN-1'!$A172,Tableau106[],9,FALSE)</f>
        <v>BaA</v>
      </c>
      <c r="J172" s="160">
        <v>-121855.86756275407</v>
      </c>
      <c r="K172" s="489">
        <v>-5332</v>
      </c>
      <c r="L172" s="490">
        <v>0</v>
      </c>
      <c r="M172" s="229">
        <v>0</v>
      </c>
      <c r="N172" s="229">
        <v>0</v>
      </c>
      <c r="O172" s="229">
        <v>0</v>
      </c>
      <c r="P172" s="229">
        <v>0</v>
      </c>
      <c r="Q172" s="230">
        <v>-5332</v>
      </c>
      <c r="R172" s="274">
        <f>SUM('OPX_BN-1'!$K172:$Q172)</f>
        <v>-10664</v>
      </c>
      <c r="S172" s="338">
        <v>0</v>
      </c>
      <c r="T172" s="423">
        <v>0</v>
      </c>
      <c r="U172" s="341"/>
      <c r="V172" s="423">
        <v>0</v>
      </c>
      <c r="W172" s="423">
        <v>0</v>
      </c>
      <c r="X172" s="423">
        <v>0</v>
      </c>
      <c r="Y172" s="423"/>
      <c r="Z172" s="264">
        <v>-5332</v>
      </c>
      <c r="AA172" s="423"/>
      <c r="AB172" s="273">
        <f>SUM('OPX_BN-1'!$T172:$AA172)</f>
        <v>-5332</v>
      </c>
      <c r="AC172" s="426"/>
      <c r="AD172" s="426"/>
      <c r="AE172" s="417">
        <v>0</v>
      </c>
      <c r="AF172" s="417">
        <v>0</v>
      </c>
      <c r="AG172" s="417">
        <v>0</v>
      </c>
      <c r="AH172" s="417">
        <v>0</v>
      </c>
      <c r="AI172" s="417">
        <v>0</v>
      </c>
      <c r="AJ172" s="271">
        <f>SUM('OPX_BN-1'!$AC172:$AI172)</f>
        <v>0</v>
      </c>
      <c r="AK172" s="429">
        <v>-5327</v>
      </c>
      <c r="AL172" s="276">
        <f>SUM('OPX_BN-1'!$J172,'OPX_BN-1'!$AB172,'OPX_BN-1'!$S172,'OPX_BN-1'!$AJ172,'OPX_BN-1'!$R172,'OPX_BN-1'!$AK172)</f>
        <v>-143178.86756275408</v>
      </c>
      <c r="AM172" s="427">
        <v>0</v>
      </c>
    </row>
    <row r="173" spans="1:39" ht="15">
      <c r="A173" s="329" t="s">
        <v>608</v>
      </c>
      <c r="B173" s="327" t="str">
        <f>VLOOKUP('OPX_BN-1'!$A173,Tableau106[],3,FALSE)</f>
        <v>A257</v>
      </c>
      <c r="C173" s="327" t="str">
        <f>VLOOKUP('OPX_BN-1'!$A173,Tableau106[],2,FALSE)</f>
        <v>FR69S05E</v>
      </c>
      <c r="D173" s="327" t="str">
        <f>VLOOKUP('OPX_BN-1'!$A173,Tableau106[],8,FALSE)</f>
        <v>SOLAIRE</v>
      </c>
      <c r="E173" s="328">
        <f>VLOOKUP('OPX_BN-1'!$A173,Tableau106[],4,FALSE)</f>
        <v>5</v>
      </c>
      <c r="F173" s="327" t="str">
        <f>VLOOKUP('OPX_BN-1'!$A173,Tableau106[],5,FALSE)</f>
        <v>SREG</v>
      </c>
      <c r="G173" s="327" t="str">
        <f>VLOOKUP('OPX_BN-1'!$A173,Tableau106[],7,FALSE)</f>
        <v>GROUPE</v>
      </c>
      <c r="H173" s="327" t="str">
        <f>VLOOKUP('OPX_BN-1'!$A173,Tableau106[],6,FALSE)</f>
        <v>S</v>
      </c>
      <c r="I173" s="327" t="str">
        <f>VLOOKUP('OPX_BN-1'!$A173,Tableau106[],9,FALSE)</f>
        <v>ArB</v>
      </c>
      <c r="J173" s="160">
        <v>-25500</v>
      </c>
      <c r="K173" s="489">
        <v>-2500</v>
      </c>
      <c r="L173" s="490">
        <v>0</v>
      </c>
      <c r="M173" s="229">
        <v>0</v>
      </c>
      <c r="N173" s="229">
        <v>0</v>
      </c>
      <c r="O173" s="229">
        <v>0</v>
      </c>
      <c r="P173" s="229">
        <v>0</v>
      </c>
      <c r="Q173" s="230">
        <v>-2500</v>
      </c>
      <c r="R173" s="274">
        <f>SUM('OPX_BN-1'!$K173:$Q173)</f>
        <v>-5000</v>
      </c>
      <c r="S173" s="338">
        <v>0</v>
      </c>
      <c r="T173" s="423">
        <v>0</v>
      </c>
      <c r="U173" s="341"/>
      <c r="V173" s="423">
        <v>0</v>
      </c>
      <c r="W173" s="423">
        <v>0</v>
      </c>
      <c r="X173" s="423">
        <v>0</v>
      </c>
      <c r="Y173" s="423"/>
      <c r="Z173" s="264">
        <v>-2500</v>
      </c>
      <c r="AA173" s="423"/>
      <c r="AB173" s="273">
        <f>SUM('OPX_BN-1'!$T173:$AA173)</f>
        <v>-2500</v>
      </c>
      <c r="AC173" s="426"/>
      <c r="AD173" s="426"/>
      <c r="AE173" s="417">
        <v>0</v>
      </c>
      <c r="AF173" s="417">
        <v>0</v>
      </c>
      <c r="AG173" s="417">
        <v>0</v>
      </c>
      <c r="AH173" s="417">
        <v>0</v>
      </c>
      <c r="AI173" s="417">
        <v>0</v>
      </c>
      <c r="AJ173" s="271">
        <f>SUM('OPX_BN-1'!$AC173:$AI173)</f>
        <v>0</v>
      </c>
      <c r="AK173" s="429">
        <v>0</v>
      </c>
      <c r="AL173" s="276">
        <f>SUM('OPX_BN-1'!$J173,'OPX_BN-1'!$AB173,'OPX_BN-1'!$S173,'OPX_BN-1'!$AJ173,'OPX_BN-1'!$R173,'OPX_BN-1'!$AK173)</f>
        <v>-33000</v>
      </c>
      <c r="AM173" s="427">
        <v>0</v>
      </c>
    </row>
    <row r="174" spans="1:39" ht="15">
      <c r="A174" s="329" t="s">
        <v>625</v>
      </c>
      <c r="B174" s="327" t="str">
        <f>VLOOKUP('OPX_BN-1'!$A194,Tableau106[],3,FALSE)</f>
        <v>A056</v>
      </c>
      <c r="C174" s="327" t="str">
        <f>VLOOKUP('OPX_BN-1'!$A194,Tableau106[],2,FALSE)</f>
        <v>FR11E91E</v>
      </c>
      <c r="D174" s="327" t="str">
        <f>VLOOKUP('OPX_BN-1'!$A174,Tableau106[],8,FALSE)</f>
        <v>EOLIEN</v>
      </c>
      <c r="E174" s="328">
        <f>VLOOKUP('OPX_BN-1'!$A174,Tableau106[],4,FALSE)</f>
        <v>10.119999999999999</v>
      </c>
      <c r="F174" s="327" t="str">
        <f>VLOOKUP('OPX_BN-1'!$A174,Tableau106[],5,FALSE)</f>
        <v>STSI</v>
      </c>
      <c r="G174" s="327" t="str">
        <f>VLOOKUP('OPX_BN-1'!$A174,Tableau106[],7,FALSE)</f>
        <v>GROUPE</v>
      </c>
      <c r="H174" s="327" t="str">
        <f>VLOOKUP('OPX_BN-1'!$A174,Tableau106[],6,FALSE)</f>
        <v>N</v>
      </c>
      <c r="I174" s="327" t="str">
        <f>VLOOKUP('OPX_BN-1'!$A174,Tableau106[],9,FALSE)</f>
        <v>AyB</v>
      </c>
      <c r="J174" s="160">
        <v>-139853.22</v>
      </c>
      <c r="K174" s="489">
        <v>-25100</v>
      </c>
      <c r="L174" s="490">
        <v>0</v>
      </c>
      <c r="M174" s="229">
        <v>0</v>
      </c>
      <c r="N174" s="229">
        <v>0</v>
      </c>
      <c r="O174" s="229">
        <v>0</v>
      </c>
      <c r="P174" s="229">
        <v>-17570</v>
      </c>
      <c r="Q174" s="230">
        <v>-25100</v>
      </c>
      <c r="R174" s="274">
        <f>SUM('OPX_BN-1'!$K174:$Q174)</f>
        <v>-67770</v>
      </c>
      <c r="S174" s="338">
        <v>-1460362.64</v>
      </c>
      <c r="T174" s="423">
        <v>0</v>
      </c>
      <c r="U174" s="341"/>
      <c r="V174" s="423">
        <v>-10000</v>
      </c>
      <c r="W174" s="423">
        <v>-25000</v>
      </c>
      <c r="X174" s="423">
        <v>0</v>
      </c>
      <c r="Y174" s="423"/>
      <c r="Z174" s="264">
        <v>-30100</v>
      </c>
      <c r="AA174" s="423"/>
      <c r="AB174" s="273">
        <f>SUM('OPX_BN-1'!$T174:$AA174)</f>
        <v>-65100</v>
      </c>
      <c r="AC174" s="426"/>
      <c r="AD174" s="426"/>
      <c r="AE174" s="417">
        <v>-31144</v>
      </c>
      <c r="AF174" s="417">
        <v>0</v>
      </c>
      <c r="AG174" s="417">
        <v>0</v>
      </c>
      <c r="AH174" s="417">
        <v>0</v>
      </c>
      <c r="AI174" s="417">
        <v>0</v>
      </c>
      <c r="AJ174" s="271">
        <f>SUM('OPX_BN-1'!$AC174:$AI174)</f>
        <v>-31144</v>
      </c>
      <c r="AK174" s="429">
        <v>0</v>
      </c>
      <c r="AL174" s="276">
        <f>SUM('OPX_BN-1'!$J174,'OPX_BN-1'!$AB174,'OPX_BN-1'!$S174,'OPX_BN-1'!$AJ174,'OPX_BN-1'!$R174,'OPX_BN-1'!$AK174)</f>
        <v>-1764229.8599999999</v>
      </c>
      <c r="AM174" s="427">
        <v>0</v>
      </c>
    </row>
    <row r="175" spans="1:39" ht="15">
      <c r="A175" s="329" t="s">
        <v>642</v>
      </c>
      <c r="B175" s="327" t="str">
        <f>VLOOKUP('OPX_BN-1'!$A174,Tableau106[],3,FALSE)</f>
        <v>A892</v>
      </c>
      <c r="C175" s="327" t="str">
        <f>VLOOKUP('OPX_BN-1'!$A174,Tableau106[],2,FALSE)</f>
        <v>FR02E99E</v>
      </c>
      <c r="D175" s="327" t="str">
        <f>VLOOKUP('OPX_BN-1'!$A175,Tableau106[],8,FALSE)</f>
        <v>SOLAIRE</v>
      </c>
      <c r="E175" s="328">
        <f>VLOOKUP('OPX_BN-1'!$A175,Tableau106[],4,FALSE)</f>
        <v>3.6</v>
      </c>
      <c r="F175" s="327" t="str">
        <f>VLOOKUP('OPX_BN-1'!$A175,Tableau106[],5,FALSE)</f>
        <v>SOLE</v>
      </c>
      <c r="G175" s="327" t="str">
        <f>VLOOKUP('OPX_BN-1'!$A175,Tableau106[],7,FALSE)</f>
        <v>GROUPE</v>
      </c>
      <c r="H175" s="327" t="str">
        <f>VLOOKUP('OPX_BN-1'!$A175,Tableau106[],6,FALSE)</f>
        <v>N</v>
      </c>
      <c r="I175" s="327" t="str">
        <f>VLOOKUP('OPX_BN-1'!$A175,Tableau106[],9,FALSE)</f>
        <v>ArB</v>
      </c>
      <c r="J175" s="160">
        <v>0</v>
      </c>
      <c r="K175" s="489">
        <v>-115060</v>
      </c>
      <c r="L175" s="490">
        <v>0</v>
      </c>
      <c r="M175" s="229">
        <v>0</v>
      </c>
      <c r="N175" s="229">
        <v>-7800</v>
      </c>
      <c r="O175" s="229">
        <v>0</v>
      </c>
      <c r="P175" s="229">
        <v>0</v>
      </c>
      <c r="Q175" s="230">
        <v>-2530</v>
      </c>
      <c r="R175" s="274">
        <f>SUM('OPX_BN-1'!$K175:$Q175)</f>
        <v>-125390</v>
      </c>
      <c r="S175" s="338">
        <v>0</v>
      </c>
      <c r="T175" s="423">
        <v>0</v>
      </c>
      <c r="U175" s="341"/>
      <c r="V175" s="423">
        <v>0</v>
      </c>
      <c r="W175" s="423">
        <v>0</v>
      </c>
      <c r="X175" s="423">
        <v>0</v>
      </c>
      <c r="Y175" s="423"/>
      <c r="Z175" s="264">
        <v>-5060</v>
      </c>
      <c r="AA175" s="423"/>
      <c r="AB175" s="273">
        <f>SUM('OPX_BN-1'!$T175:$AA175)</f>
        <v>-5060</v>
      </c>
      <c r="AC175" s="426"/>
      <c r="AD175" s="426"/>
      <c r="AE175" s="417">
        <v>0</v>
      </c>
      <c r="AF175" s="417">
        <v>-10000</v>
      </c>
      <c r="AG175" s="417">
        <v>-35000</v>
      </c>
      <c r="AH175" s="417">
        <v>0</v>
      </c>
      <c r="AI175" s="417">
        <v>0</v>
      </c>
      <c r="AJ175" s="271">
        <f>SUM('OPX_BN-1'!$AC175:$AI175)</f>
        <v>-45000</v>
      </c>
      <c r="AK175" s="429">
        <v>0</v>
      </c>
      <c r="AL175" s="276">
        <f>SUM('OPX_BN-1'!$J175,'OPX_BN-1'!$AB175,'OPX_BN-1'!$S175,'OPX_BN-1'!$AJ175,'OPX_BN-1'!$R175,'OPX_BN-1'!$AK175)</f>
        <v>-175450</v>
      </c>
      <c r="AM175" s="427">
        <v>0</v>
      </c>
    </row>
    <row r="176" spans="1:39" ht="15">
      <c r="A176" s="329" t="s">
        <v>610</v>
      </c>
      <c r="B176" s="327" t="str">
        <f>VLOOKUP('OPX_BN-1'!$A175,Tableau106[],3,FALSE)</f>
        <v>A235</v>
      </c>
      <c r="C176" s="327" t="str">
        <f>VLOOKUP('OPX_BN-1'!$A175,Tableau106[],2,FALSE)</f>
        <v>FR87S02E</v>
      </c>
      <c r="D176" s="327" t="str">
        <f>VLOOKUP('OPX_BN-1'!$A176,Tableau106[],8,FALSE)</f>
        <v>SOLAIRE</v>
      </c>
      <c r="E176" s="328">
        <f>VLOOKUP('OPX_BN-1'!$A176,Tableau106[],4,FALSE)</f>
        <v>2.7</v>
      </c>
      <c r="F176" s="327" t="str">
        <f>VLOOKUP('OPX_BN-1'!$A176,Tableau106[],5,FALSE)</f>
        <v>STJU</v>
      </c>
      <c r="G176" s="327" t="str">
        <f>VLOOKUP('OPX_BN-1'!$A176,Tableau106[],7,FALSE)</f>
        <v>GROUPE</v>
      </c>
      <c r="H176" s="327" t="str">
        <f>VLOOKUP('OPX_BN-1'!$A176,Tableau106[],6,FALSE)</f>
        <v>S</v>
      </c>
      <c r="I176" s="327" t="str">
        <f>VLOOKUP('OPX_BN-1'!$A176,Tableau106[],9,FALSE)</f>
        <v>ArB</v>
      </c>
      <c r="J176" s="160">
        <v>-14280</v>
      </c>
      <c r="K176" s="489">
        <v>-1800</v>
      </c>
      <c r="L176" s="490">
        <v>0</v>
      </c>
      <c r="M176" s="229">
        <v>0</v>
      </c>
      <c r="N176" s="229">
        <v>0</v>
      </c>
      <c r="O176" s="229">
        <v>0</v>
      </c>
      <c r="P176" s="229">
        <v>0</v>
      </c>
      <c r="Q176" s="230">
        <v>-1800</v>
      </c>
      <c r="R176" s="274">
        <f>SUM('OPX_BN-1'!$K176:$Q176)</f>
        <v>-3600</v>
      </c>
      <c r="S176" s="338">
        <v>-28800</v>
      </c>
      <c r="T176" s="423">
        <v>0</v>
      </c>
      <c r="U176" s="341"/>
      <c r="V176" s="423">
        <v>0</v>
      </c>
      <c r="W176" s="423">
        <v>0</v>
      </c>
      <c r="X176" s="423">
        <v>0</v>
      </c>
      <c r="Y176" s="423"/>
      <c r="Z176" s="264">
        <v>-1800</v>
      </c>
      <c r="AA176" s="423"/>
      <c r="AB176" s="273">
        <f>SUM('OPX_BN-1'!$T176:$AA176)</f>
        <v>-1800</v>
      </c>
      <c r="AC176" s="426"/>
      <c r="AD176" s="426"/>
      <c r="AE176" s="417">
        <v>0</v>
      </c>
      <c r="AF176" s="417">
        <v>0</v>
      </c>
      <c r="AG176" s="417">
        <v>0</v>
      </c>
      <c r="AH176" s="417">
        <v>0</v>
      </c>
      <c r="AI176" s="417">
        <v>0</v>
      </c>
      <c r="AJ176" s="271">
        <f>SUM('OPX_BN-1'!$AC176:$AI176)</f>
        <v>0</v>
      </c>
      <c r="AK176" s="429">
        <v>0</v>
      </c>
      <c r="AL176" s="276">
        <f>SUM('OPX_BN-1'!$J176,'OPX_BN-1'!$AB176,'OPX_BN-1'!$S176,'OPX_BN-1'!$AJ176,'OPX_BN-1'!$R176,'OPX_BN-1'!$AK176)</f>
        <v>-48480</v>
      </c>
      <c r="AM176" s="427">
        <v>0</v>
      </c>
    </row>
    <row r="177" spans="1:39" ht="15">
      <c r="A177" s="329" t="s">
        <v>611</v>
      </c>
      <c r="B177" s="327" t="str">
        <f>VLOOKUP('OPX_BN-1'!$A176,Tableau106[],3,FALSE)</f>
        <v>A295</v>
      </c>
      <c r="C177" s="327" t="str">
        <f>VLOOKUP('OPX_BN-1'!$A176,Tableau106[],2,FALSE)</f>
        <v>FR01S05E</v>
      </c>
      <c r="D177" s="327" t="str">
        <f>VLOOKUP('OPX_BN-1'!$A177,Tableau106[],8,FALSE)</f>
        <v>SOLAIRE</v>
      </c>
      <c r="E177" s="328">
        <f>VLOOKUP('OPX_BN-1'!$A177,Tableau106[],4,FALSE)</f>
        <v>2.8</v>
      </c>
      <c r="F177" s="327" t="str">
        <f>VLOOKUP('OPX_BN-1'!$A177,Tableau106[],5,FALSE)</f>
        <v>STLM</v>
      </c>
      <c r="G177" s="327" t="str">
        <f>VLOOKUP('OPX_BN-1'!$A177,Tableau106[],7,FALSE)</f>
        <v>GROUPE</v>
      </c>
      <c r="H177" s="327" t="str">
        <f>VLOOKUP('OPX_BN-1'!$A177,Tableau106[],6,FALSE)</f>
        <v>S</v>
      </c>
      <c r="I177" s="327" t="str">
        <f>VLOOKUP('OPX_BN-1'!$A177,Tableau106[],9,FALSE)</f>
        <v>BaA</v>
      </c>
      <c r="J177" s="160">
        <v>-14000</v>
      </c>
      <c r="K177" s="489">
        <v>-1400</v>
      </c>
      <c r="L177" s="490">
        <v>0</v>
      </c>
      <c r="M177" s="229">
        <v>0</v>
      </c>
      <c r="N177" s="229">
        <v>0</v>
      </c>
      <c r="O177" s="229">
        <v>0</v>
      </c>
      <c r="P177" s="229">
        <v>0</v>
      </c>
      <c r="Q177" s="230">
        <v>-1400</v>
      </c>
      <c r="R177" s="274">
        <f>SUM('OPX_BN-1'!$K177:$Q177)</f>
        <v>-2800</v>
      </c>
      <c r="S177" s="338">
        <v>0</v>
      </c>
      <c r="T177" s="423">
        <v>0</v>
      </c>
      <c r="U177" s="341"/>
      <c r="V177" s="423">
        <v>0</v>
      </c>
      <c r="W177" s="423">
        <v>0</v>
      </c>
      <c r="X177" s="423">
        <v>0</v>
      </c>
      <c r="Y177" s="423"/>
      <c r="Z177" s="264">
        <v>-1400</v>
      </c>
      <c r="AA177" s="423"/>
      <c r="AB177" s="273">
        <f>SUM('OPX_BN-1'!$T177:$AA177)</f>
        <v>-1400</v>
      </c>
      <c r="AC177" s="426"/>
      <c r="AD177" s="426"/>
      <c r="AE177" s="417">
        <v>0</v>
      </c>
      <c r="AF177" s="417">
        <v>0</v>
      </c>
      <c r="AG177" s="417">
        <v>0</v>
      </c>
      <c r="AH177" s="417">
        <v>0</v>
      </c>
      <c r="AI177" s="417">
        <v>0</v>
      </c>
      <c r="AJ177" s="271">
        <f>SUM('OPX_BN-1'!$AC177:$AI177)</f>
        <v>0</v>
      </c>
      <c r="AK177" s="429">
        <v>0</v>
      </c>
      <c r="AL177" s="276">
        <f>SUM('OPX_BN-1'!$J177,'OPX_BN-1'!$AB177,'OPX_BN-1'!$S177,'OPX_BN-1'!$AJ177,'OPX_BN-1'!$R177,'OPX_BN-1'!$AK177)</f>
        <v>-18200</v>
      </c>
      <c r="AM177" s="427">
        <v>0</v>
      </c>
    </row>
    <row r="178" spans="1:39" ht="15">
      <c r="A178" s="329" t="s">
        <v>557</v>
      </c>
      <c r="B178" s="327" t="str">
        <f>VLOOKUP('OPX_BN-1'!$A177,Tableau106[],3,FALSE)</f>
        <v>A307</v>
      </c>
      <c r="C178" s="327" t="str">
        <f>VLOOKUP('OPX_BN-1'!$A177,Tableau106[],2,FALSE)</f>
        <v>FR04S07E</v>
      </c>
      <c r="D178" s="327" t="str">
        <f>VLOOKUP('OPX_BN-1'!$A178,Tableau106[],8,FALSE)</f>
        <v>EOLIEN</v>
      </c>
      <c r="E178" s="328">
        <f>VLOOKUP('OPX_BN-1'!$A178,Tableau106[],4,FALSE)</f>
        <v>11.5</v>
      </c>
      <c r="F178" s="327" t="str">
        <f>VLOOKUP('OPX_BN-1'!$A178,Tableau106[],5,FALSE)</f>
        <v>STEN</v>
      </c>
      <c r="G178" s="327" t="str">
        <f>VLOOKUP('OPX_BN-1'!$A178,Tableau106[],7,FALSE)</f>
        <v>EGM</v>
      </c>
      <c r="H178" s="327" t="str">
        <f>VLOOKUP('OPX_BN-1'!$A178,Tableau106[],6,FALSE)</f>
        <v>N</v>
      </c>
      <c r="I178" s="327" t="str">
        <f>VLOOKUP('OPX_BN-1'!$A178,Tableau106[],9,FALSE)</f>
        <v>MaA</v>
      </c>
      <c r="J178" s="160">
        <v>-256678.59608762685</v>
      </c>
      <c r="K178" s="489">
        <v>-1400</v>
      </c>
      <c r="L178" s="490">
        <v>0</v>
      </c>
      <c r="M178" s="229">
        <v>0</v>
      </c>
      <c r="N178" s="229">
        <v>0</v>
      </c>
      <c r="O178" s="229">
        <v>0</v>
      </c>
      <c r="P178" s="229">
        <v>0</v>
      </c>
      <c r="Q178" s="230">
        <v>-1400</v>
      </c>
      <c r="R178" s="274">
        <f>SUM('OPX_BN-1'!$K178:$Q178)</f>
        <v>-2800</v>
      </c>
      <c r="S178" s="338">
        <v>0</v>
      </c>
      <c r="T178" s="423">
        <v>0</v>
      </c>
      <c r="U178" s="341"/>
      <c r="V178" s="423">
        <v>0</v>
      </c>
      <c r="W178" s="423">
        <v>0</v>
      </c>
      <c r="X178" s="423">
        <v>0</v>
      </c>
      <c r="Y178" s="423"/>
      <c r="Z178" s="264">
        <v>-1400</v>
      </c>
      <c r="AA178" s="423"/>
      <c r="AB178" s="273">
        <f>SUM('OPX_BN-1'!$T178:$AA178)</f>
        <v>-1400</v>
      </c>
      <c r="AC178" s="426"/>
      <c r="AD178" s="426"/>
      <c r="AE178" s="417">
        <v>0</v>
      </c>
      <c r="AF178" s="417">
        <v>0</v>
      </c>
      <c r="AG178" s="417">
        <v>0</v>
      </c>
      <c r="AH178" s="417">
        <v>-5000</v>
      </c>
      <c r="AI178" s="417">
        <v>0</v>
      </c>
      <c r="AJ178" s="271">
        <f>SUM('OPX_BN-1'!$AC178:$AI178)</f>
        <v>-5000</v>
      </c>
      <c r="AK178" s="429">
        <v>0</v>
      </c>
      <c r="AL178" s="276">
        <f>SUM('OPX_BN-1'!$J178,'OPX_BN-1'!$AB178,'OPX_BN-1'!$S178,'OPX_BN-1'!$AJ178,'OPX_BN-1'!$R178,'OPX_BN-1'!$AK178)</f>
        <v>-265878.59608762688</v>
      </c>
      <c r="AM178" s="427">
        <v>0</v>
      </c>
    </row>
    <row r="179" spans="1:39" ht="15">
      <c r="A179" s="329" t="s">
        <v>613</v>
      </c>
      <c r="B179" s="327" t="str">
        <f>VLOOKUP('OPX_BN-1'!$A178,Tableau106[],3,FALSE)</f>
        <v>A541</v>
      </c>
      <c r="C179" s="327" t="str">
        <f>VLOOKUP('OPX_BN-1'!$A178,Tableau106[],2,FALSE)</f>
        <v>FR55E08E</v>
      </c>
      <c r="D179" s="327" t="str">
        <f>VLOOKUP('OPX_BN-1'!$A179,Tableau106[],8,FALSE)</f>
        <v>SOLAIRE</v>
      </c>
      <c r="E179" s="328">
        <f>VLOOKUP('OPX_BN-1'!$A179,Tableau106[],4,FALSE)</f>
        <v>10.1</v>
      </c>
      <c r="F179" s="327" t="str">
        <f>VLOOKUP('OPX_BN-1'!$A179,Tableau106[],5,FALSE)</f>
        <v>SUBL</v>
      </c>
      <c r="G179" s="327" t="str">
        <f>VLOOKUP('OPX_BN-1'!$A179,Tableau106[],7,FALSE)</f>
        <v>GROUPE</v>
      </c>
      <c r="H179" s="327" t="str">
        <f>VLOOKUP('OPX_BN-1'!$A179,Tableau106[],6,FALSE)</f>
        <v>N</v>
      </c>
      <c r="I179" s="327" t="str">
        <f>VLOOKUP('OPX_BN-1'!$A179,Tableau106[],9,FALSE)</f>
        <v>LoG</v>
      </c>
      <c r="J179" s="160">
        <v>-51510</v>
      </c>
      <c r="K179" s="489">
        <v>-5750</v>
      </c>
      <c r="L179" s="490">
        <v>-38029.100529100528</v>
      </c>
      <c r="M179" s="229">
        <v>0</v>
      </c>
      <c r="N179" s="229">
        <v>0</v>
      </c>
      <c r="O179" s="229">
        <v>-3000</v>
      </c>
      <c r="P179" s="229">
        <v>-4025</v>
      </c>
      <c r="Q179" s="230">
        <v>-5750</v>
      </c>
      <c r="R179" s="274">
        <f>SUM('OPX_BN-1'!$K179:$Q179)</f>
        <v>-56554.100529100528</v>
      </c>
      <c r="S179" s="338">
        <v>0</v>
      </c>
      <c r="T179" s="423">
        <v>0</v>
      </c>
      <c r="U179" s="341"/>
      <c r="V179" s="423">
        <v>-2000</v>
      </c>
      <c r="W179" s="423">
        <v>0</v>
      </c>
      <c r="X179" s="423">
        <v>-4000</v>
      </c>
      <c r="Y179" s="423"/>
      <c r="Z179" s="264">
        <v>-5750</v>
      </c>
      <c r="AA179" s="423"/>
      <c r="AB179" s="273">
        <f>SUM('OPX_BN-1'!$T179:$AA179)</f>
        <v>-11750</v>
      </c>
      <c r="AC179" s="426"/>
      <c r="AD179" s="426"/>
      <c r="AE179" s="417">
        <v>0</v>
      </c>
      <c r="AF179" s="417">
        <v>0</v>
      </c>
      <c r="AG179" s="417">
        <v>0</v>
      </c>
      <c r="AH179" s="417">
        <v>0</v>
      </c>
      <c r="AI179" s="417">
        <v>0</v>
      </c>
      <c r="AJ179" s="271">
        <f>SUM('OPX_BN-1'!$AC179:$AI179)</f>
        <v>0</v>
      </c>
      <c r="AK179" s="429">
        <v>0</v>
      </c>
      <c r="AL179" s="276">
        <f>SUM('OPX_BN-1'!$J179,'OPX_BN-1'!$AB179,'OPX_BN-1'!$S179,'OPX_BN-1'!$AJ179,'OPX_BN-1'!$R179,'OPX_BN-1'!$AK179)</f>
        <v>-119814.10052910053</v>
      </c>
      <c r="AM179" s="427">
        <v>0</v>
      </c>
    </row>
    <row r="180" spans="1:39" ht="15">
      <c r="A180" s="329" t="s">
        <v>663</v>
      </c>
      <c r="B180" s="327" t="str">
        <f>VLOOKUP('OPX_BN-1'!$A179,Tableau106[],3,FALSE)</f>
        <v>A313</v>
      </c>
      <c r="C180" s="327" t="str">
        <f>VLOOKUP('OPX_BN-1'!$A179,Tableau106[],2,FALSE)</f>
        <v>FR89S03E</v>
      </c>
      <c r="D180" s="327" t="str">
        <f>VLOOKUP('OPX_BN-1'!$A180,Tableau106[],8,FALSE)</f>
        <v>EOLIEN</v>
      </c>
      <c r="E180" s="328">
        <f>VLOOKUP('OPX_BN-1'!$A180,Tableau106[],4,FALSE)</f>
        <v>21.6</v>
      </c>
      <c r="F180" s="327" t="str">
        <f>VLOOKUP('OPX_BN-1'!$A180,Tableau106[],5,FALSE)</f>
        <v>SARA</v>
      </c>
      <c r="G180" s="327" t="str">
        <f>VLOOKUP('OPX_BN-1'!$A180,Tableau106[],7,FALSE)</f>
        <v>GROUPE</v>
      </c>
      <c r="H180" s="327" t="str">
        <f>VLOOKUP('OPX_BN-1'!$A180,Tableau106[],6,FALSE)</f>
        <v>N</v>
      </c>
      <c r="I180" s="327" t="str">
        <f>VLOOKUP('OPX_BN-1'!$A180,Tableau106[],9,FALSE)</f>
        <v>NiL</v>
      </c>
      <c r="J180" s="160">
        <v>0</v>
      </c>
      <c r="K180" s="489">
        <v>-5050</v>
      </c>
      <c r="L180" s="490">
        <v>0</v>
      </c>
      <c r="M180" s="229">
        <v>0</v>
      </c>
      <c r="N180" s="229">
        <v>0</v>
      </c>
      <c r="O180" s="229">
        <v>0</v>
      </c>
      <c r="P180" s="229">
        <v>0</v>
      </c>
      <c r="Q180" s="230">
        <v>-5050</v>
      </c>
      <c r="R180" s="274">
        <f>SUM('OPX_BN-1'!$K180:$Q180)</f>
        <v>-10100</v>
      </c>
      <c r="S180" s="338">
        <v>0</v>
      </c>
      <c r="T180" s="423">
        <v>0</v>
      </c>
      <c r="U180" s="341"/>
      <c r="V180" s="423">
        <v>0</v>
      </c>
      <c r="W180" s="423">
        <v>0</v>
      </c>
      <c r="X180" s="423">
        <v>0</v>
      </c>
      <c r="Y180" s="423"/>
      <c r="Z180" s="264">
        <v>-5050</v>
      </c>
      <c r="AA180" s="423"/>
      <c r="AB180" s="273">
        <f>SUM('OPX_BN-1'!$T180:$AA180)</f>
        <v>-5050</v>
      </c>
      <c r="AC180" s="426"/>
      <c r="AD180" s="426"/>
      <c r="AE180" s="417">
        <v>0</v>
      </c>
      <c r="AF180" s="417">
        <v>0</v>
      </c>
      <c r="AG180" s="417">
        <v>0</v>
      </c>
      <c r="AH180" s="417">
        <v>0</v>
      </c>
      <c r="AI180" s="417">
        <v>0</v>
      </c>
      <c r="AJ180" s="271">
        <f>SUM('OPX_BN-1'!$AC180:$AI180)</f>
        <v>0</v>
      </c>
      <c r="AK180" s="429">
        <v>0</v>
      </c>
      <c r="AL180" s="276">
        <f>SUM('OPX_BN-1'!$J180,'OPX_BN-1'!$AB180,'OPX_BN-1'!$S180,'OPX_BN-1'!$AJ180,'OPX_BN-1'!$R180,'OPX_BN-1'!$AK180)</f>
        <v>-15150</v>
      </c>
      <c r="AM180" s="427">
        <v>0</v>
      </c>
    </row>
    <row r="181" spans="1:39" ht="15">
      <c r="A181" s="329" t="s">
        <v>436</v>
      </c>
      <c r="B181" s="327" t="str">
        <f>VLOOKUP('OPX_BN-1'!$A180,Tableau106[],3,FALSE)</f>
        <v>A536</v>
      </c>
      <c r="C181" s="327" t="str">
        <f>VLOOKUP('OPX_BN-1'!$A180,Tableau106[],2,FALSE)</f>
        <v>FR62E04E</v>
      </c>
      <c r="D181" s="327" t="str">
        <f>VLOOKUP('OPX_BN-1'!$A181,Tableau106[],8,FALSE)</f>
        <v>EOLIEN</v>
      </c>
      <c r="E181" s="328">
        <f>VLOOKUP('OPX_BN-1'!$A181,Tableau106[],4,FALSE)</f>
        <v>14.4</v>
      </c>
      <c r="F181" s="327" t="str">
        <f>VLOOKUP('OPX_BN-1'!$A181,Tableau106[],5,FALSE)</f>
        <v>TLGR</v>
      </c>
      <c r="G181" s="327" t="str">
        <f>VLOOKUP('OPX_BN-1'!$A181,Tableau106[],7,FALSE)</f>
        <v>GROUPE</v>
      </c>
      <c r="H181" s="327" t="str">
        <f>VLOOKUP('OPX_BN-1'!$A181,Tableau106[],6,FALSE)</f>
        <v>N</v>
      </c>
      <c r="I181" s="327" t="str">
        <f>VLOOKUP('OPX_BN-1'!$A181,Tableau106[],9,FALSE)</f>
        <v>LoH</v>
      </c>
      <c r="J181" s="160">
        <v>-9178.1913070866121</v>
      </c>
      <c r="K181" s="489">
        <v>-10000</v>
      </c>
      <c r="L181" s="490">
        <v>0</v>
      </c>
      <c r="M181" s="229">
        <v>0</v>
      </c>
      <c r="N181" s="229">
        <v>0</v>
      </c>
      <c r="O181" s="229">
        <v>0</v>
      </c>
      <c r="P181" s="229">
        <v>0</v>
      </c>
      <c r="Q181" s="230">
        <v>-10000</v>
      </c>
      <c r="R181" s="274">
        <f>SUM('OPX_BN-1'!$K181:$Q181)</f>
        <v>-20000</v>
      </c>
      <c r="S181" s="338">
        <v>0</v>
      </c>
      <c r="T181" s="423">
        <v>0</v>
      </c>
      <c r="U181" s="341"/>
      <c r="V181" s="423">
        <v>0</v>
      </c>
      <c r="W181" s="423">
        <v>0</v>
      </c>
      <c r="X181" s="423">
        <v>0</v>
      </c>
      <c r="Y181" s="423"/>
      <c r="Z181" s="264">
        <v>-10000</v>
      </c>
      <c r="AA181" s="423"/>
      <c r="AB181" s="273">
        <f>SUM('OPX_BN-1'!$T181:$AA181)</f>
        <v>-10000</v>
      </c>
      <c r="AC181" s="426"/>
      <c r="AD181" s="426"/>
      <c r="AE181" s="417">
        <v>0</v>
      </c>
      <c r="AF181" s="417">
        <v>-12000</v>
      </c>
      <c r="AG181" s="417">
        <v>-30000</v>
      </c>
      <c r="AH181" s="417">
        <v>0</v>
      </c>
      <c r="AI181" s="417">
        <v>0</v>
      </c>
      <c r="AJ181" s="271">
        <f>SUM('OPX_BN-1'!$AC181:$AI181)</f>
        <v>-42000</v>
      </c>
      <c r="AK181" s="429">
        <v>0</v>
      </c>
      <c r="AL181" s="276">
        <f>SUM('OPX_BN-1'!$J181,'OPX_BN-1'!$AB181,'OPX_BN-1'!$S181,'OPX_BN-1'!$AJ181,'OPX_BN-1'!$R181,'OPX_BN-1'!$AK181)</f>
        <v>-81178.191307086614</v>
      </c>
      <c r="AM181" s="427">
        <v>0</v>
      </c>
    </row>
    <row r="182" spans="1:39" ht="15">
      <c r="A182" s="329" t="s">
        <v>614</v>
      </c>
      <c r="B182" s="327" t="str">
        <f>VLOOKUP('OPX_BN-1'!$A181,Tableau106[],3,FALSE)</f>
        <v>A280</v>
      </c>
      <c r="C182" s="327" t="str">
        <f>VLOOKUP('OPX_BN-1'!$A181,Tableau106[],2,FALSE)</f>
        <v>FR89E08E</v>
      </c>
      <c r="D182" s="327" t="str">
        <f>VLOOKUP('OPX_BN-1'!$A182,Tableau106[],8,FALSE)</f>
        <v>SOLAIRE DOM</v>
      </c>
      <c r="E182" s="328">
        <f>VLOOKUP('OPX_BN-1'!$A182,Tableau106[],4,FALSE)</f>
        <v>4.9980000000000002</v>
      </c>
      <c r="F182" s="327" t="str">
        <f>VLOOKUP('OPX_BN-1'!$A182,Tableau106[],5,FALSE)</f>
        <v>TOUC</v>
      </c>
      <c r="G182" s="327" t="str">
        <f>VLOOKUP('OPX_BN-1'!$A182,Tableau106[],7,FALSE)</f>
        <v>GROUPE</v>
      </c>
      <c r="H182" s="327" t="str">
        <f>VLOOKUP('OPX_BN-1'!$A182,Tableau106[],6,FALSE)</f>
        <v>DOM</v>
      </c>
      <c r="I182" s="327" t="str">
        <f>VLOOKUP('OPX_BN-1'!$A182,Tableau106[],9,FALSE)</f>
        <v>DoJ</v>
      </c>
      <c r="J182" s="160">
        <v>0</v>
      </c>
      <c r="K182" s="489">
        <v>-7200</v>
      </c>
      <c r="L182" s="490">
        <v>0</v>
      </c>
      <c r="M182" s="229">
        <v>0</v>
      </c>
      <c r="N182" s="229">
        <v>0</v>
      </c>
      <c r="O182" s="229">
        <v>0</v>
      </c>
      <c r="P182" s="229">
        <v>-5040</v>
      </c>
      <c r="Q182" s="230">
        <v>-7200</v>
      </c>
      <c r="R182" s="274">
        <f>SUM('OPX_BN-1'!$K182:$Q182)</f>
        <v>-19440</v>
      </c>
      <c r="S182" s="338">
        <v>-191402.8</v>
      </c>
      <c r="T182" s="423">
        <v>0</v>
      </c>
      <c r="U182" s="341"/>
      <c r="V182" s="423">
        <v>0</v>
      </c>
      <c r="W182" s="423">
        <v>-2100</v>
      </c>
      <c r="X182" s="423">
        <v>0</v>
      </c>
      <c r="Y182" s="423"/>
      <c r="Z182" s="264">
        <v>-7200</v>
      </c>
      <c r="AA182" s="423"/>
      <c r="AB182" s="273">
        <f>SUM('OPX_BN-1'!$T182:$AA182)</f>
        <v>-9300</v>
      </c>
      <c r="AC182" s="426"/>
      <c r="AD182" s="426"/>
      <c r="AE182" s="417">
        <v>-13920</v>
      </c>
      <c r="AF182" s="417">
        <v>0</v>
      </c>
      <c r="AG182" s="417">
        <v>-10000</v>
      </c>
      <c r="AH182" s="417">
        <v>0</v>
      </c>
      <c r="AI182" s="417">
        <v>0</v>
      </c>
      <c r="AJ182" s="271">
        <f>SUM('OPX_BN-1'!$AC182:$AI182)</f>
        <v>-23920</v>
      </c>
      <c r="AK182" s="429">
        <v>0</v>
      </c>
      <c r="AL182" s="276">
        <f>SUM('OPX_BN-1'!$J182,'OPX_BN-1'!$AB182,'OPX_BN-1'!$S182,'OPX_BN-1'!$AJ182,'OPX_BN-1'!$R182,'OPX_BN-1'!$AK182)</f>
        <v>-244062.8</v>
      </c>
      <c r="AM182" s="427">
        <v>0</v>
      </c>
    </row>
    <row r="183" spans="1:39" ht="15">
      <c r="A183" s="329" t="s">
        <v>367</v>
      </c>
      <c r="B183" s="327" t="str">
        <f>VLOOKUP('OPX_BN-1'!$A182,Tableau106[],3,FALSE)</f>
        <v>A168</v>
      </c>
      <c r="C183" s="327" t="str">
        <f>VLOOKUP('OPX_BN-1'!$A182,Tableau106[],2,FALSE)</f>
        <v>FR97S89E</v>
      </c>
      <c r="D183" s="327" t="str">
        <f>VLOOKUP('OPX_BN-1'!$A183,Tableau106[],8,FALSE)</f>
        <v>SOLAIRE DOM</v>
      </c>
      <c r="E183" s="328">
        <f>VLOOKUP('OPX_BN-1'!$A183,Tableau106[],4,FALSE)</f>
        <v>5</v>
      </c>
      <c r="F183" s="327" t="str">
        <f>VLOOKUP('OPX_BN-1'!$A183,Tableau106[],5,FALSE)</f>
        <v>TOC2</v>
      </c>
      <c r="G183" s="327" t="str">
        <f>VLOOKUP('OPX_BN-1'!$A183,Tableau106[],7,FALSE)</f>
        <v>GROUPE</v>
      </c>
      <c r="H183" s="327" t="str">
        <f>VLOOKUP('OPX_BN-1'!$A183,Tableau106[],6,FALSE)</f>
        <v>DOM</v>
      </c>
      <c r="I183" s="327" t="str">
        <f>VLOOKUP('OPX_BN-1'!$A183,Tableau106[],9,FALSE)</f>
        <v>DoJ</v>
      </c>
      <c r="J183" s="160">
        <v>0</v>
      </c>
      <c r="K183" s="489">
        <v>-2499</v>
      </c>
      <c r="L183" s="490">
        <v>0</v>
      </c>
      <c r="M183" s="229">
        <v>0</v>
      </c>
      <c r="N183" s="229">
        <v>0</v>
      </c>
      <c r="O183" s="229">
        <v>0</v>
      </c>
      <c r="P183" s="229">
        <v>0</v>
      </c>
      <c r="Q183" s="230">
        <v>-2499</v>
      </c>
      <c r="R183" s="274">
        <f>SUM('OPX_BN-1'!$K183:$Q183)</f>
        <v>-4998</v>
      </c>
      <c r="S183" s="338">
        <v>-524321.5</v>
      </c>
      <c r="T183" s="423">
        <v>-15000</v>
      </c>
      <c r="U183" s="341"/>
      <c r="V183" s="423">
        <v>-1000</v>
      </c>
      <c r="W183" s="423">
        <v>-5000</v>
      </c>
      <c r="X183" s="423">
        <v>0</v>
      </c>
      <c r="Y183" s="423"/>
      <c r="Z183" s="264">
        <v>-20999</v>
      </c>
      <c r="AA183" s="423"/>
      <c r="AB183" s="273">
        <f>SUM('OPX_BN-1'!$T183:$AA183)</f>
        <v>-41999</v>
      </c>
      <c r="AC183" s="426"/>
      <c r="AD183" s="426"/>
      <c r="AE183" s="417">
        <v>0</v>
      </c>
      <c r="AF183" s="417">
        <v>0</v>
      </c>
      <c r="AG183" s="417">
        <v>0</v>
      </c>
      <c r="AH183" s="417">
        <v>0</v>
      </c>
      <c r="AI183" s="417">
        <v>0</v>
      </c>
      <c r="AJ183" s="271">
        <f>SUM('OPX_BN-1'!$AC183:$AI183)</f>
        <v>0</v>
      </c>
      <c r="AK183" s="429">
        <v>0</v>
      </c>
      <c r="AL183" s="276">
        <f>SUM('OPX_BN-1'!$J183,'OPX_BN-1'!$AB183,'OPX_BN-1'!$S183,'OPX_BN-1'!$AJ183,'OPX_BN-1'!$R183,'OPX_BN-1'!$AK183)</f>
        <v>-571318.5</v>
      </c>
      <c r="AM183" s="427">
        <v>0</v>
      </c>
    </row>
    <row r="184" spans="1:39" ht="15">
      <c r="A184" s="329" t="s">
        <v>615</v>
      </c>
      <c r="B184" s="327" t="str">
        <f>VLOOKUP('OPX_BN-1'!$A183,Tableau106[],3,FALSE)</f>
        <v>A167</v>
      </c>
      <c r="C184" s="327" t="str">
        <f>VLOOKUP('OPX_BN-1'!$A183,Tableau106[],2,FALSE)</f>
        <v>FR973S01E</v>
      </c>
      <c r="D184" s="327" t="str">
        <f>VLOOKUP('OPX_BN-1'!$A184,Tableau106[],8,FALSE)</f>
        <v>SOLAIRE</v>
      </c>
      <c r="E184" s="328">
        <f>VLOOKUP('OPX_BN-1'!$A184,Tableau106[],4,FALSE)</f>
        <v>54.93</v>
      </c>
      <c r="F184" s="327" t="str">
        <f>VLOOKUP('OPX_BN-1'!$A184,Tableau106[],5,FALSE)</f>
        <v>TOUL</v>
      </c>
      <c r="G184" s="327" t="str">
        <f>VLOOKUP('OPX_BN-1'!$A184,Tableau106[],7,FALSE)</f>
        <v>GROUPE</v>
      </c>
      <c r="H184" s="327" t="str">
        <f>VLOOKUP('OPX_BN-1'!$A184,Tableau106[],6,FALSE)</f>
        <v>S</v>
      </c>
      <c r="I184" s="327" t="str">
        <f>VLOOKUP('OPX_BN-1'!$A184,Tableau106[],9,FALSE)</f>
        <v>LoG</v>
      </c>
      <c r="J184" s="160">
        <v>-1101533.7</v>
      </c>
      <c r="K184" s="489">
        <v>-2500</v>
      </c>
      <c r="L184" s="490">
        <v>0</v>
      </c>
      <c r="M184" s="229">
        <v>0</v>
      </c>
      <c r="N184" s="229">
        <v>0</v>
      </c>
      <c r="O184" s="229">
        <v>0</v>
      </c>
      <c r="P184" s="229">
        <v>0</v>
      </c>
      <c r="Q184" s="230">
        <v>-2500</v>
      </c>
      <c r="R184" s="274">
        <f>SUM('OPX_BN-1'!$K184:$Q184)</f>
        <v>-5000</v>
      </c>
      <c r="S184" s="338">
        <v>-132353</v>
      </c>
      <c r="T184" s="423">
        <v>-19800</v>
      </c>
      <c r="U184" s="341"/>
      <c r="V184" s="423">
        <v>-10000</v>
      </c>
      <c r="W184" s="423">
        <v>-5000</v>
      </c>
      <c r="X184" s="423">
        <v>0</v>
      </c>
      <c r="Y184" s="423"/>
      <c r="Z184" s="264">
        <v>-28000</v>
      </c>
      <c r="AA184" s="423"/>
      <c r="AB184" s="273">
        <f>SUM('OPX_BN-1'!$T184:$AA184)</f>
        <v>-62800</v>
      </c>
      <c r="AC184" s="426"/>
      <c r="AD184" s="426"/>
      <c r="AE184" s="417">
        <v>-8000</v>
      </c>
      <c r="AF184" s="417">
        <v>0</v>
      </c>
      <c r="AG184" s="417">
        <v>0</v>
      </c>
      <c r="AH184" s="417">
        <v>0</v>
      </c>
      <c r="AI184" s="417">
        <v>0</v>
      </c>
      <c r="AJ184" s="271">
        <f>SUM('OPX_BN-1'!$AC184:$AI184)</f>
        <v>-8000</v>
      </c>
      <c r="AK184" s="429">
        <v>0</v>
      </c>
      <c r="AL184" s="276">
        <f>SUM('OPX_BN-1'!$J184,'OPX_BN-1'!$AB184,'OPX_BN-1'!$S184,'OPX_BN-1'!$AJ184,'OPX_BN-1'!$R184,'OPX_BN-1'!$AK184)</f>
        <v>-1309686.7</v>
      </c>
      <c r="AM184" s="427">
        <v>0</v>
      </c>
    </row>
    <row r="185" spans="1:39" ht="15">
      <c r="A185" s="329" t="s">
        <v>451</v>
      </c>
      <c r="B185" s="327" t="str">
        <f>VLOOKUP('OPX_BN-1'!$A184,Tableau106[],3,FALSE)</f>
        <v>A391</v>
      </c>
      <c r="C185" s="327" t="str">
        <f>VLOOKUP('OPX_BN-1'!$A184,Tableau106[],2,FALSE)</f>
        <v>FR54S01E</v>
      </c>
      <c r="D185" s="327" t="str">
        <f>VLOOKUP('OPX_BN-1'!$A185,Tableau106[],8,FALSE)</f>
        <v>EOLIEN</v>
      </c>
      <c r="E185" s="328">
        <f>VLOOKUP('OPX_BN-1'!$A185,Tableau106[],4,FALSE)</f>
        <v>10</v>
      </c>
      <c r="F185" s="327" t="str">
        <f>VLOOKUP('OPX_BN-1'!$A185,Tableau106[],5,FALSE)</f>
        <v>TRAY</v>
      </c>
      <c r="G185" s="327" t="str">
        <f>VLOOKUP('OPX_BN-1'!$A185,Tableau106[],7,FALSE)</f>
        <v>EGM</v>
      </c>
      <c r="H185" s="327" t="str">
        <f>VLOOKUP('OPX_BN-1'!$A185,Tableau106[],6,FALSE)</f>
        <v>N</v>
      </c>
      <c r="I185" s="327" t="str">
        <f>VLOOKUP('OPX_BN-1'!$A185,Tableau106[],9,FALSE)</f>
        <v>BoK</v>
      </c>
      <c r="J185" s="160">
        <v>-256678.59608762685</v>
      </c>
      <c r="K185" s="489">
        <v>-62465</v>
      </c>
      <c r="L185" s="490">
        <v>0</v>
      </c>
      <c r="M185" s="229">
        <v>-40000</v>
      </c>
      <c r="N185" s="229">
        <v>0</v>
      </c>
      <c r="O185" s="229">
        <v>0</v>
      </c>
      <c r="P185" s="229">
        <v>0</v>
      </c>
      <c r="Q185" s="230">
        <v>-27465</v>
      </c>
      <c r="R185" s="274">
        <f>SUM('OPX_BN-1'!$K185:$Q185)</f>
        <v>-129930</v>
      </c>
      <c r="S185" s="338">
        <v>0</v>
      </c>
      <c r="T185" s="423">
        <v>0</v>
      </c>
      <c r="U185" s="341"/>
      <c r="V185" s="423">
        <v>-40000</v>
      </c>
      <c r="W185" s="423">
        <v>0</v>
      </c>
      <c r="X185" s="423">
        <v>0</v>
      </c>
      <c r="Y185" s="423"/>
      <c r="Z185" s="264">
        <v>-87465</v>
      </c>
      <c r="AA185" s="423"/>
      <c r="AB185" s="273">
        <f>SUM('OPX_BN-1'!$T185:$AA185)</f>
        <v>-127465</v>
      </c>
      <c r="AC185" s="426"/>
      <c r="AD185" s="426"/>
      <c r="AE185" s="417">
        <v>0</v>
      </c>
      <c r="AF185" s="417">
        <v>0</v>
      </c>
      <c r="AG185" s="417">
        <v>0</v>
      </c>
      <c r="AH185" s="417">
        <v>0</v>
      </c>
      <c r="AI185" s="417">
        <v>0</v>
      </c>
      <c r="AJ185" s="271">
        <f>SUM('OPX_BN-1'!$AC185:$AI185)</f>
        <v>0</v>
      </c>
      <c r="AK185" s="429">
        <v>-85000</v>
      </c>
      <c r="AL185" s="276">
        <f>SUM('OPX_BN-1'!$J185,'OPX_BN-1'!$AB185,'OPX_BN-1'!$S185,'OPX_BN-1'!$AJ185,'OPX_BN-1'!$R185,'OPX_BN-1'!$AK185)</f>
        <v>-599073.59608762688</v>
      </c>
      <c r="AM185" s="427">
        <v>0</v>
      </c>
    </row>
    <row r="186" spans="1:39" ht="15">
      <c r="A186" s="329" t="s">
        <v>594</v>
      </c>
      <c r="B186" s="327" t="str">
        <f>VLOOKUP('OPX_BN-1'!$A185,Tableau106[],3,FALSE)</f>
        <v>A541</v>
      </c>
      <c r="C186" s="327" t="str">
        <f>VLOOKUP('OPX_BN-1'!$A185,Tableau106[],2,FALSE)</f>
        <v>FR79E02E</v>
      </c>
      <c r="D186" s="327" t="str">
        <f>VLOOKUP('OPX_BN-1'!$A186,Tableau106[],8,FALSE)</f>
        <v>EOLIEN</v>
      </c>
      <c r="E186" s="328">
        <f>VLOOKUP('OPX_BN-1'!$A186,Tableau106[],4,FALSE)</f>
        <v>6</v>
      </c>
      <c r="F186" s="327" t="str">
        <f>VLOOKUP('OPX_BN-1'!$A186,Tableau106[],5,FALSE)</f>
        <v>TRFR</v>
      </c>
      <c r="G186" s="327" t="str">
        <f>VLOOKUP('OPX_BN-1'!$A186,Tableau106[],7,FALSE)</f>
        <v>FUTUREN</v>
      </c>
      <c r="H186" s="327" t="str">
        <f>VLOOKUP('OPX_BN-1'!$A186,Tableau106[],6,FALSE)</f>
        <v>S</v>
      </c>
      <c r="I186" s="327" t="str">
        <f>VLOOKUP('OPX_BN-1'!$A186,Tableau106[],9,FALSE)</f>
        <v>KéD</v>
      </c>
      <c r="J186" s="160">
        <v>-191460.12</v>
      </c>
      <c r="K186" s="489">
        <v>-5000</v>
      </c>
      <c r="L186" s="490">
        <v>-33068.783068783072</v>
      </c>
      <c r="M186" s="229">
        <v>0</v>
      </c>
      <c r="N186" s="229">
        <v>0</v>
      </c>
      <c r="O186" s="229">
        <v>0</v>
      </c>
      <c r="P186" s="229">
        <v>-3500</v>
      </c>
      <c r="Q186" s="230">
        <v>-5000</v>
      </c>
      <c r="R186" s="274">
        <f>SUM('OPX_BN-1'!$K186:$Q186)</f>
        <v>-46568.783068783072</v>
      </c>
      <c r="S186" s="338">
        <v>0</v>
      </c>
      <c r="T186" s="423">
        <v>0</v>
      </c>
      <c r="U186" s="341"/>
      <c r="V186" s="423">
        <v>-2000</v>
      </c>
      <c r="W186" s="423">
        <v>0</v>
      </c>
      <c r="X186" s="423">
        <v>0</v>
      </c>
      <c r="Y186" s="423"/>
      <c r="Z186" s="264">
        <v>-5000</v>
      </c>
      <c r="AA186" s="423"/>
      <c r="AB186" s="273">
        <f>SUM('OPX_BN-1'!$T186:$AA186)</f>
        <v>-7000</v>
      </c>
      <c r="AC186" s="426"/>
      <c r="AD186" s="426"/>
      <c r="AE186" s="417">
        <v>0</v>
      </c>
      <c r="AF186" s="417">
        <v>-10000</v>
      </c>
      <c r="AG186" s="417">
        <v>-25000</v>
      </c>
      <c r="AH186" s="417">
        <v>0</v>
      </c>
      <c r="AI186" s="417">
        <v>0</v>
      </c>
      <c r="AJ186" s="271">
        <f>SUM('OPX_BN-1'!$AC186:$AI186)</f>
        <v>-35000</v>
      </c>
      <c r="AK186" s="429">
        <v>0</v>
      </c>
      <c r="AL186" s="276">
        <f>SUM('OPX_BN-1'!$J186,'OPX_BN-1'!$AB186,'OPX_BN-1'!$S186,'OPX_BN-1'!$AJ186,'OPX_BN-1'!$R186,'OPX_BN-1'!$AK186)</f>
        <v>-280028.90306878305</v>
      </c>
      <c r="AM186" s="427">
        <v>0</v>
      </c>
    </row>
    <row r="187" spans="1:39" ht="15">
      <c r="A187" s="329" t="s">
        <v>619</v>
      </c>
      <c r="B187" s="327" t="str">
        <f>VLOOKUP('OPX_BN-1'!$A186,Tableau106[],3,FALSE)</f>
        <v>A938</v>
      </c>
      <c r="C187" s="327" t="str">
        <f>VLOOKUP('OPX_BN-1'!$A186,Tableau106[],2,FALSE)</f>
        <v>FR34E81E</v>
      </c>
      <c r="D187" s="327" t="str">
        <f>VLOOKUP('OPX_BN-1'!$A187,Tableau106[],8,FALSE)</f>
        <v>SOLAIRE DOM</v>
      </c>
      <c r="E187" s="328">
        <f>VLOOKUP('OPX_BN-1'!$A187,Tableau106[],4,FALSE)</f>
        <v>0.68200000000000005</v>
      </c>
      <c r="F187" s="327" t="str">
        <f>VLOOKUP('OPX_BN-1'!$A187,Tableau106[],5,FALSE)</f>
        <v>TROI</v>
      </c>
      <c r="G187" s="327" t="str">
        <f>VLOOKUP('OPX_BN-1'!$A187,Tableau106[],7,FALSE)</f>
        <v>GROUPE</v>
      </c>
      <c r="H187" s="327" t="str">
        <f>VLOOKUP('OPX_BN-1'!$A187,Tableau106[],6,FALSE)</f>
        <v>DOM</v>
      </c>
      <c r="I187" s="327" t="str">
        <f>VLOOKUP('OPX_BN-1'!$A187,Tableau106[],9,FALSE)</f>
        <v>DoJ</v>
      </c>
      <c r="J187" s="160">
        <v>0</v>
      </c>
      <c r="K187" s="489">
        <v>-11000</v>
      </c>
      <c r="L187" s="490">
        <v>0</v>
      </c>
      <c r="M187" s="229">
        <v>0</v>
      </c>
      <c r="N187" s="229">
        <v>0</v>
      </c>
      <c r="O187" s="229">
        <v>0</v>
      </c>
      <c r="P187" s="229">
        <v>-2100</v>
      </c>
      <c r="Q187" s="230">
        <v>-3000</v>
      </c>
      <c r="R187" s="274">
        <f>SUM('OPX_BN-1'!$K187:$Q187)</f>
        <v>-16100</v>
      </c>
      <c r="S187" s="338">
        <v>0</v>
      </c>
      <c r="T187" s="423">
        <v>0</v>
      </c>
      <c r="U187" s="341"/>
      <c r="V187" s="423">
        <v>-7500</v>
      </c>
      <c r="W187" s="423">
        <v>0</v>
      </c>
      <c r="X187" s="423">
        <v>0</v>
      </c>
      <c r="Y187" s="423"/>
      <c r="Z187" s="264">
        <v>-8000</v>
      </c>
      <c r="AA187" s="423"/>
      <c r="AB187" s="273">
        <f>SUM('OPX_BN-1'!$T187:$AA187)</f>
        <v>-15500</v>
      </c>
      <c r="AC187" s="426"/>
      <c r="AD187" s="426"/>
      <c r="AE187" s="417">
        <v>0</v>
      </c>
      <c r="AF187" s="417">
        <v>0</v>
      </c>
      <c r="AG187" s="417">
        <v>-10726</v>
      </c>
      <c r="AH187" s="417">
        <v>-18551.97</v>
      </c>
      <c r="AI187" s="417">
        <v>0</v>
      </c>
      <c r="AJ187" s="271">
        <f>SUM('OPX_BN-1'!$AC187:$AI187)</f>
        <v>-29277.97</v>
      </c>
      <c r="AK187" s="429">
        <v>0</v>
      </c>
      <c r="AL187" s="276">
        <f>SUM('OPX_BN-1'!$J187,'OPX_BN-1'!$AB187,'OPX_BN-1'!$S187,'OPX_BN-1'!$AJ187,'OPX_BN-1'!$R187,'OPX_BN-1'!$AK187)</f>
        <v>-60877.97</v>
      </c>
      <c r="AM187" s="427">
        <v>0</v>
      </c>
    </row>
    <row r="188" spans="1:39" ht="15">
      <c r="A188" s="329" t="s">
        <v>447</v>
      </c>
      <c r="B188" s="327" t="str">
        <f>VLOOKUP('OPX_BN-1'!$A187,Tableau106[],3,FALSE)</f>
        <v>A046</v>
      </c>
      <c r="C188" s="327" t="str">
        <f>VLOOKUP('OPX_BN-1'!$A187,Tableau106[],2,FALSE)</f>
        <v>FR97S75E</v>
      </c>
      <c r="D188" s="327" t="str">
        <f>VLOOKUP('OPX_BN-1'!$A188,Tableau106[],8,FALSE)</f>
        <v>EOLIEN</v>
      </c>
      <c r="E188" s="328">
        <f>VLOOKUP('OPX_BN-1'!$A188,Tableau106[],4,FALSE)</f>
        <v>24</v>
      </c>
      <c r="F188" s="327" t="str">
        <f>VLOOKUP('OPX_BN-1'!$A188,Tableau106[],5,FALSE)</f>
        <v>SOUR</v>
      </c>
      <c r="G188" s="327" t="str">
        <f>VLOOKUP('OPX_BN-1'!$A188,Tableau106[],7,FALSE)</f>
        <v>GROUPE</v>
      </c>
      <c r="H188" s="327" t="str">
        <f>VLOOKUP('OPX_BN-1'!$A188,Tableau106[],6,FALSE)</f>
        <v>N</v>
      </c>
      <c r="I188" s="327" t="str">
        <f>VLOOKUP('OPX_BN-1'!$A188,Tableau106[],9,FALSE)</f>
        <v>LoH</v>
      </c>
      <c r="J188" s="160">
        <v>-25252.493702770775</v>
      </c>
      <c r="K188" s="489">
        <v>-341</v>
      </c>
      <c r="L188" s="490">
        <v>0</v>
      </c>
      <c r="M188" s="229">
        <v>0</v>
      </c>
      <c r="N188" s="229">
        <v>0</v>
      </c>
      <c r="O188" s="229">
        <v>0</v>
      </c>
      <c r="P188" s="229">
        <v>0</v>
      </c>
      <c r="Q188" s="230">
        <v>-500</v>
      </c>
      <c r="R188" s="274">
        <f>SUM('OPX_BN-1'!$K188:$Q188)</f>
        <v>-841</v>
      </c>
      <c r="S188" s="338">
        <v>-31561.1</v>
      </c>
      <c r="T188" s="423">
        <v>-6000</v>
      </c>
      <c r="U188" s="341"/>
      <c r="V188" s="423">
        <v>0</v>
      </c>
      <c r="W188" s="423">
        <v>-1220</v>
      </c>
      <c r="X188" s="423">
        <v>0</v>
      </c>
      <c r="Y188" s="423"/>
      <c r="Z188" s="264">
        <v>-3500</v>
      </c>
      <c r="AA188" s="423"/>
      <c r="AB188" s="273">
        <f>SUM('OPX_BN-1'!$T188:$AA188)</f>
        <v>-10720</v>
      </c>
      <c r="AC188" s="426"/>
      <c r="AD188" s="426"/>
      <c r="AE188" s="417">
        <v>0</v>
      </c>
      <c r="AF188" s="417">
        <v>0</v>
      </c>
      <c r="AG188" s="417">
        <v>0</v>
      </c>
      <c r="AH188" s="417">
        <v>0</v>
      </c>
      <c r="AI188" s="417">
        <v>0</v>
      </c>
      <c r="AJ188" s="271">
        <f>SUM('OPX_BN-1'!$AC188:$AI188)</f>
        <v>0</v>
      </c>
      <c r="AK188" s="429">
        <v>0</v>
      </c>
      <c r="AL188" s="276">
        <f>SUM('OPX_BN-1'!$J188,'OPX_BN-1'!$AB188,'OPX_BN-1'!$S188,'OPX_BN-1'!$AJ188,'OPX_BN-1'!$R188,'OPX_BN-1'!$AK188)</f>
        <v>-68374.59370277077</v>
      </c>
      <c r="AM188" s="427">
        <v>0</v>
      </c>
    </row>
    <row r="189" spans="1:39" ht="15">
      <c r="A189" s="329" t="s">
        <v>474</v>
      </c>
      <c r="B189" s="327" t="str">
        <f>VLOOKUP('OPX_BN-1'!$A188,Tableau106[],3,FALSE)</f>
        <v>A898</v>
      </c>
      <c r="C189" s="327" t="str">
        <f>VLOOKUP('OPX_BN-1'!$A188,Tableau106[],2,FALSE)</f>
        <v>FR55E12E</v>
      </c>
      <c r="D189" s="327" t="str">
        <f>VLOOKUP('OPX_BN-1'!$A189,Tableau106[],8,FALSE)</f>
        <v>EOLIEN</v>
      </c>
      <c r="E189" s="328">
        <f>VLOOKUP('OPX_BN-1'!$A189,Tableau106[],4,FALSE)</f>
        <v>8.5</v>
      </c>
      <c r="F189" s="327" t="str">
        <f>VLOOKUP('OPX_BN-1'!$A189,Tableau106[],5,FALSE)</f>
        <v>VANA</v>
      </c>
      <c r="G189" s="327" t="str">
        <f>VLOOKUP('OPX_BN-1'!$A189,Tableau106[],7,FALSE)</f>
        <v>GROUPE</v>
      </c>
      <c r="H189" s="327" t="str">
        <f>VLOOKUP('OPX_BN-1'!$A189,Tableau106[],6,FALSE)</f>
        <v>N</v>
      </c>
      <c r="I189" s="327" t="str">
        <f>VLOOKUP('OPX_BN-1'!$A189,Tableau106[],9,FALSE)</f>
        <v>BaB</v>
      </c>
      <c r="J189" s="160">
        <v>-12626.246851385387</v>
      </c>
      <c r="K189" s="489">
        <v>-12000</v>
      </c>
      <c r="L189" s="490">
        <v>0</v>
      </c>
      <c r="M189" s="229">
        <v>0</v>
      </c>
      <c r="N189" s="229">
        <v>-5000</v>
      </c>
      <c r="O189" s="229">
        <v>0</v>
      </c>
      <c r="P189" s="229">
        <v>0</v>
      </c>
      <c r="Q189" s="230">
        <v>-12000</v>
      </c>
      <c r="R189" s="274">
        <f>SUM('OPX_BN-1'!$K189:$Q189)</f>
        <v>-29000</v>
      </c>
      <c r="S189" s="338">
        <v>-520957.16818799998</v>
      </c>
      <c r="T189" s="423">
        <v>-5000</v>
      </c>
      <c r="U189" s="341"/>
      <c r="V189" s="423">
        <v>-6000</v>
      </c>
      <c r="W189" s="423">
        <v>-5400</v>
      </c>
      <c r="X189" s="423">
        <v>0</v>
      </c>
      <c r="Y189" s="423"/>
      <c r="Z189" s="264">
        <v>-12000</v>
      </c>
      <c r="AA189" s="423"/>
      <c r="AB189" s="273">
        <f>SUM('OPX_BN-1'!$T189:$AA189)</f>
        <v>-28400</v>
      </c>
      <c r="AC189" s="426"/>
      <c r="AD189" s="426"/>
      <c r="AE189" s="417">
        <v>0</v>
      </c>
      <c r="AF189" s="417">
        <v>0</v>
      </c>
      <c r="AG189" s="417">
        <v>0</v>
      </c>
      <c r="AH189" s="417">
        <v>0</v>
      </c>
      <c r="AI189" s="417">
        <v>0</v>
      </c>
      <c r="AJ189" s="271">
        <f>SUM('OPX_BN-1'!$AC189:$AI189)</f>
        <v>0</v>
      </c>
      <c r="AK189" s="429">
        <v>0</v>
      </c>
      <c r="AL189" s="276">
        <f>SUM('OPX_BN-1'!$J189,'OPX_BN-1'!$AB189,'OPX_BN-1'!$S189,'OPX_BN-1'!$AJ189,'OPX_BN-1'!$R189,'OPX_BN-1'!$AK189)</f>
        <v>-590983.41503938532</v>
      </c>
      <c r="AM189" s="427">
        <v>0</v>
      </c>
    </row>
    <row r="190" spans="1:39" ht="15">
      <c r="A190" s="329" t="s">
        <v>441</v>
      </c>
      <c r="B190" s="327" t="str">
        <f>VLOOKUP('OPX_BN-1'!$A189,Tableau106[],3,FALSE)</f>
        <v>A530</v>
      </c>
      <c r="C190" s="327" t="str">
        <f>VLOOKUP('OPX_BN-1'!$A189,Tableau106[],2,FALSE)</f>
        <v>FR51E02E</v>
      </c>
      <c r="D190" s="327" t="str">
        <f>VLOOKUP('OPX_BN-1'!$A190,Tableau106[],8,FALSE)</f>
        <v>EOLIEN</v>
      </c>
      <c r="E190" s="328">
        <f>VLOOKUP('OPX_BN-1'!$A190,Tableau106[],4,FALSE)</f>
        <v>8.8000000000000007</v>
      </c>
      <c r="F190" s="327" t="str">
        <f>VLOOKUP('OPX_BN-1'!$A190,Tableau106[],5,FALSE)</f>
        <v>VARA</v>
      </c>
      <c r="G190" s="327" t="str">
        <f>VLOOKUP('OPX_BN-1'!$A190,Tableau106[],7,FALSE)</f>
        <v>FUTUREN</v>
      </c>
      <c r="H190" s="327" t="str">
        <f>VLOOKUP('OPX_BN-1'!$A190,Tableau106[],6,FALSE)</f>
        <v>N</v>
      </c>
      <c r="I190" s="327" t="str">
        <f>VLOOKUP('OPX_BN-1'!$A190,Tableau106[],9,FALSE)</f>
        <v>PiM</v>
      </c>
      <c r="J190" s="160">
        <v>0</v>
      </c>
      <c r="K190" s="489">
        <v>-7650</v>
      </c>
      <c r="L190" s="490">
        <v>0</v>
      </c>
      <c r="M190" s="229">
        <v>0</v>
      </c>
      <c r="N190" s="229">
        <v>0</v>
      </c>
      <c r="O190" s="229">
        <v>0</v>
      </c>
      <c r="P190" s="229">
        <v>0</v>
      </c>
      <c r="Q190" s="230">
        <v>-4250</v>
      </c>
      <c r="R190" s="274">
        <f>SUM('OPX_BN-1'!$K190:$Q190)</f>
        <v>-11900</v>
      </c>
      <c r="S190" s="398">
        <v>-147000</v>
      </c>
      <c r="T190" s="423">
        <v>-2600</v>
      </c>
      <c r="U190" s="341"/>
      <c r="V190" s="423">
        <v>-2700</v>
      </c>
      <c r="W190" s="423">
        <v>0</v>
      </c>
      <c r="X190" s="423">
        <v>0</v>
      </c>
      <c r="Y190" s="423"/>
      <c r="Z190" s="264">
        <v>-4250</v>
      </c>
      <c r="AA190" s="423"/>
      <c r="AB190" s="273">
        <f>SUM('OPX_BN-1'!$T190:$AA190)</f>
        <v>-9550</v>
      </c>
      <c r="AC190" s="426"/>
      <c r="AD190" s="426"/>
      <c r="AE190" s="417">
        <v>0</v>
      </c>
      <c r="AF190" s="417">
        <v>0</v>
      </c>
      <c r="AG190" s="417">
        <v>0</v>
      </c>
      <c r="AH190" s="417">
        <v>0</v>
      </c>
      <c r="AI190" s="417">
        <v>0</v>
      </c>
      <c r="AJ190" s="271">
        <f>SUM('OPX_BN-1'!$AC190:$AI190)</f>
        <v>0</v>
      </c>
      <c r="AK190" s="429">
        <v>0</v>
      </c>
      <c r="AL190" s="276">
        <f>SUM('OPX_BN-1'!$J190,'OPX_BN-1'!$AB190,'OPX_BN-1'!$S190,'OPX_BN-1'!$AJ190,'OPX_BN-1'!$R190,'OPX_BN-1'!$AK190)</f>
        <v>-168450</v>
      </c>
      <c r="AM190" s="427">
        <v>0</v>
      </c>
    </row>
    <row r="191" spans="1:39" ht="15">
      <c r="A191" s="329" t="s">
        <v>643</v>
      </c>
      <c r="B191" s="327" t="str">
        <f>VLOOKUP('OPX_BN-1'!$A190,Tableau106[],3,FALSE)</f>
        <v>F244</v>
      </c>
      <c r="C191" s="327" t="str">
        <f>VLOOKUP('OPX_BN-1'!$A190,Tableau106[],2,FALSE)</f>
        <v>FR17E08E</v>
      </c>
      <c r="D191" s="327" t="str">
        <f>VLOOKUP('OPX_BN-1'!$A191,Tableau106[],8,FALSE)</f>
        <v>SOLAIRE</v>
      </c>
      <c r="E191" s="328">
        <f>VLOOKUP('OPX_BN-1'!$A191,Tableau106[],4,FALSE)</f>
        <v>5</v>
      </c>
      <c r="F191" s="327" t="str">
        <f>VLOOKUP('OPX_BN-1'!$A191,Tableau106[],5,FALSE)</f>
        <v>VACH</v>
      </c>
      <c r="G191" s="327" t="str">
        <f>VLOOKUP('OPX_BN-1'!$A191,Tableau106[],7,FALSE)</f>
        <v>GROUPE</v>
      </c>
      <c r="H191" s="327" t="str">
        <f>VLOOKUP('OPX_BN-1'!$A191,Tableau106[],6,FALSE)</f>
        <v>N</v>
      </c>
      <c r="I191" s="327" t="str">
        <f>VLOOKUP('OPX_BN-1'!$A191,Tableau106[],9,FALSE)</f>
        <v>LoG</v>
      </c>
      <c r="J191" s="160">
        <v>-25000</v>
      </c>
      <c r="K191" s="489">
        <v>-4400</v>
      </c>
      <c r="L191" s="490">
        <v>0</v>
      </c>
      <c r="M191" s="229">
        <v>0</v>
      </c>
      <c r="N191" s="229">
        <v>0</v>
      </c>
      <c r="O191" s="229">
        <v>0</v>
      </c>
      <c r="P191" s="229">
        <v>0</v>
      </c>
      <c r="Q191" s="230">
        <v>-4400</v>
      </c>
      <c r="R191" s="274">
        <f>SUM('OPX_BN-1'!$K191:$Q191)</f>
        <v>-8800</v>
      </c>
      <c r="S191" s="338">
        <v>-130578.45170000001</v>
      </c>
      <c r="T191" s="423">
        <v>-2000</v>
      </c>
      <c r="U191" s="341"/>
      <c r="V191" s="423">
        <v>-3000</v>
      </c>
      <c r="W191" s="423">
        <v>-1800</v>
      </c>
      <c r="X191" s="423">
        <v>0</v>
      </c>
      <c r="Y191" s="423"/>
      <c r="Z191" s="264">
        <v>-4400</v>
      </c>
      <c r="AA191" s="423"/>
      <c r="AB191" s="273">
        <f>SUM('OPX_BN-1'!$T191:$AA191)</f>
        <v>-11200</v>
      </c>
      <c r="AC191" s="426"/>
      <c r="AD191" s="426"/>
      <c r="AE191" s="417">
        <v>-5000</v>
      </c>
      <c r="AF191" s="417">
        <v>-15000</v>
      </c>
      <c r="AG191" s="417">
        <v>-20000</v>
      </c>
      <c r="AH191" s="417">
        <v>0</v>
      </c>
      <c r="AI191" s="417">
        <v>-10000</v>
      </c>
      <c r="AJ191" s="271">
        <f>SUM('OPX_BN-1'!$AC191:$AI191)</f>
        <v>-50000</v>
      </c>
      <c r="AK191" s="429">
        <v>0</v>
      </c>
      <c r="AL191" s="276">
        <f>SUM('OPX_BN-1'!$J191,'OPX_BN-1'!$AB191,'OPX_BN-1'!$S191,'OPX_BN-1'!$AJ191,'OPX_BN-1'!$R191,'OPX_BN-1'!$AK191)</f>
        <v>-225578.45170000001</v>
      </c>
      <c r="AM191" s="427">
        <v>0</v>
      </c>
    </row>
    <row r="192" spans="1:39" ht="15">
      <c r="A192" s="329" t="s">
        <v>585</v>
      </c>
      <c r="B192" s="327" t="str">
        <f>VLOOKUP('OPX_BN-1'!$A191,Tableau106[],3,FALSE)</f>
        <v>A310</v>
      </c>
      <c r="C192" s="327" t="str">
        <f>VLOOKUP('OPX_BN-1'!$A191,Tableau106[],2,FALSE)</f>
        <v>FR45S04E</v>
      </c>
      <c r="D192" s="327" t="str">
        <f>VLOOKUP('OPX_BN-1'!$A192,Tableau106[],8,FALSE)</f>
        <v>EOLIEN</v>
      </c>
      <c r="E192" s="328">
        <f>VLOOKUP('OPX_BN-1'!$A192,Tableau106[],4,FALSE)</f>
        <v>8</v>
      </c>
      <c r="F192" s="327" t="str">
        <f>VLOOKUP('OPX_BN-1'!$A192,Tableau106[],5,FALSE)</f>
        <v>VEUL</v>
      </c>
      <c r="G192" s="327" t="str">
        <f>VLOOKUP('OPX_BN-1'!$A192,Tableau106[],7,FALSE)</f>
        <v>GROUPE</v>
      </c>
      <c r="H192" s="327" t="str">
        <f>VLOOKUP('OPX_BN-1'!$A192,Tableau106[],6,FALSE)</f>
        <v>N</v>
      </c>
      <c r="I192" s="327" t="str">
        <f>VLOOKUP('OPX_BN-1'!$A192,Tableau106[],9,FALSE)</f>
        <v>AnN</v>
      </c>
      <c r="J192" s="160">
        <v>-12626.246851385387</v>
      </c>
      <c r="K192" s="489">
        <v>-2500</v>
      </c>
      <c r="L192" s="490">
        <v>0</v>
      </c>
      <c r="M192" s="229">
        <v>0</v>
      </c>
      <c r="N192" s="229">
        <v>0</v>
      </c>
      <c r="O192" s="229">
        <v>0</v>
      </c>
      <c r="P192" s="229">
        <v>0</v>
      </c>
      <c r="Q192" s="230">
        <v>-2500</v>
      </c>
      <c r="R192" s="274">
        <f>SUM('OPX_BN-1'!$K192:$Q192)</f>
        <v>-5000</v>
      </c>
      <c r="S192" s="338">
        <v>0</v>
      </c>
      <c r="T192" s="423">
        <v>0</v>
      </c>
      <c r="U192" s="341"/>
      <c r="V192" s="423">
        <v>0</v>
      </c>
      <c r="W192" s="423">
        <v>0</v>
      </c>
      <c r="X192" s="423">
        <v>0</v>
      </c>
      <c r="Y192" s="423"/>
      <c r="Z192" s="264">
        <v>-2500</v>
      </c>
      <c r="AA192" s="423"/>
      <c r="AB192" s="273">
        <f>SUM('OPX_BN-1'!$T192:$AA192)</f>
        <v>-2500</v>
      </c>
      <c r="AC192" s="426"/>
      <c r="AD192" s="426"/>
      <c r="AE192" s="417">
        <v>0</v>
      </c>
      <c r="AF192" s="417">
        <v>0</v>
      </c>
      <c r="AG192" s="417">
        <v>0</v>
      </c>
      <c r="AH192" s="417">
        <v>0</v>
      </c>
      <c r="AI192" s="417">
        <v>0</v>
      </c>
      <c r="AJ192" s="271">
        <f>SUM('OPX_BN-1'!$AC192:$AI192)</f>
        <v>0</v>
      </c>
      <c r="AK192" s="429">
        <v>0</v>
      </c>
      <c r="AL192" s="276">
        <f>SUM('OPX_BN-1'!$J192,'OPX_BN-1'!$AB192,'OPX_BN-1'!$S192,'OPX_BN-1'!$AJ192,'OPX_BN-1'!$R192,'OPX_BN-1'!$AK192)</f>
        <v>-20126.246851385389</v>
      </c>
      <c r="AM192" s="427">
        <v>0</v>
      </c>
    </row>
    <row r="193" spans="1:40" ht="15">
      <c r="A193" s="329" t="s">
        <v>488</v>
      </c>
      <c r="B193" s="327" t="str">
        <f>VLOOKUP('OPX_BN-1'!$A192,Tableau106[],3,FALSE)</f>
        <v>A104</v>
      </c>
      <c r="C193" s="327" t="str">
        <f>VLOOKUP('OPX_BN-1'!$A192,Tableau106[],2,FALSE)</f>
        <v>FR76E98E</v>
      </c>
      <c r="D193" s="327" t="str">
        <f>VLOOKUP('OPX_BN-1'!$A193,Tableau106[],8,FALSE)</f>
        <v>EOLIEN</v>
      </c>
      <c r="E193" s="328">
        <f>VLOOKUP('OPX_BN-1'!$A193,Tableau106[],4,FALSE)</f>
        <v>6</v>
      </c>
      <c r="F193" s="327" t="str">
        <f>VLOOKUP('OPX_BN-1'!$A193,Tableau106[],5,FALSE)</f>
        <v>VISE</v>
      </c>
      <c r="G193" s="327" t="str">
        <f>VLOOKUP('OPX_BN-1'!$A193,Tableau106[],7,FALSE)</f>
        <v>EGM</v>
      </c>
      <c r="H193" s="327" t="str">
        <f>VLOOKUP('OPX_BN-1'!$A193,Tableau106[],6,FALSE)</f>
        <v>N</v>
      </c>
      <c r="I193" s="327" t="str">
        <f>VLOOKUP('OPX_BN-1'!$A193,Tableau106[],9,FALSE)</f>
        <v>NoS</v>
      </c>
      <c r="J193" s="160">
        <v>-154007.1576525761</v>
      </c>
      <c r="K193" s="489">
        <v>-7000</v>
      </c>
      <c r="L193" s="490">
        <v>0</v>
      </c>
      <c r="M193" s="229">
        <v>0</v>
      </c>
      <c r="N193" s="229">
        <v>0</v>
      </c>
      <c r="O193" s="229">
        <v>0</v>
      </c>
      <c r="P193" s="229">
        <v>-2800</v>
      </c>
      <c r="Q193" s="230">
        <v>-4000</v>
      </c>
      <c r="R193" s="274">
        <f>SUM('OPX_BN-1'!$K193:$Q193)</f>
        <v>-13800</v>
      </c>
      <c r="S193" s="338">
        <v>-243084.18441023771</v>
      </c>
      <c r="T193" s="423">
        <v>-5000</v>
      </c>
      <c r="U193" s="341"/>
      <c r="V193" s="423">
        <v>-2600</v>
      </c>
      <c r="W193" s="423">
        <v>0</v>
      </c>
      <c r="X193" s="423">
        <v>0</v>
      </c>
      <c r="Y193" s="423"/>
      <c r="Z193" s="264">
        <v>-2572.5</v>
      </c>
      <c r="AA193" s="423"/>
      <c r="AB193" s="273">
        <f>SUM('OPX_BN-1'!$T193:$AA193)</f>
        <v>-10172.5</v>
      </c>
      <c r="AC193" s="426"/>
      <c r="AD193" s="426"/>
      <c r="AE193" s="417">
        <v>0</v>
      </c>
      <c r="AF193" s="417">
        <v>0</v>
      </c>
      <c r="AG193" s="417">
        <v>0</v>
      </c>
      <c r="AH193" s="417">
        <v>0</v>
      </c>
      <c r="AI193" s="417">
        <v>0</v>
      </c>
      <c r="AJ193" s="271">
        <f>SUM('OPX_BN-1'!$AC193:$AI193)</f>
        <v>0</v>
      </c>
      <c r="AK193" s="429">
        <v>0</v>
      </c>
      <c r="AL193" s="276">
        <f>SUM('OPX_BN-1'!$J193,'OPX_BN-1'!$AB193,'OPX_BN-1'!$S193,'OPX_BN-1'!$AJ193,'OPX_BN-1'!$R193,'OPX_BN-1'!$AK193)</f>
        <v>-421063.84206281381</v>
      </c>
      <c r="AM193" s="427">
        <v>0</v>
      </c>
    </row>
    <row r="194" spans="1:40" ht="15">
      <c r="A194" s="329" t="s">
        <v>596</v>
      </c>
      <c r="B194" s="327" t="str">
        <f>VLOOKUP('OPX_BN-1'!$A193,Tableau106[],3,FALSE)</f>
        <v>A540</v>
      </c>
      <c r="C194" s="327" t="str">
        <f>VLOOKUP('OPX_BN-1'!$A193,Tableau106[],2,FALSE)</f>
        <v>FR02E06E</v>
      </c>
      <c r="D194" s="327" t="str">
        <f>VLOOKUP('OPX_BN-1'!$A194,Tableau106[],8,FALSE)</f>
        <v>EOLIEN</v>
      </c>
      <c r="E194" s="328">
        <f>VLOOKUP('OPX_BN-1'!$A194,Tableau106[],4,FALSE)</f>
        <v>50.6</v>
      </c>
      <c r="F194" s="327" t="str">
        <f>VLOOKUP('OPX_BN-1'!$A194,Tableau106[],5,FALSE)</f>
        <v>VLSQ</v>
      </c>
      <c r="G194" s="327" t="str">
        <f>VLOOKUP('OPX_BN-1'!$A194,Tableau106[],7,FALSE)</f>
        <v>GROUPE</v>
      </c>
      <c r="H194" s="327" t="str">
        <f>VLOOKUP('OPX_BN-1'!$A194,Tableau106[],6,FALSE)</f>
        <v>S</v>
      </c>
      <c r="I194" s="327" t="str">
        <f>VLOOKUP('OPX_BN-1'!$A194,Tableau106[],9,FALSE)</f>
        <v>ThC</v>
      </c>
      <c r="J194" s="160">
        <v>-97066.763050032809</v>
      </c>
      <c r="K194" s="490">
        <v>-3000</v>
      </c>
      <c r="L194" s="490">
        <v>-19841.269841269841</v>
      </c>
      <c r="M194" s="229">
        <v>0</v>
      </c>
      <c r="N194" s="229">
        <v>0</v>
      </c>
      <c r="O194" s="229">
        <v>0</v>
      </c>
      <c r="P194" s="229">
        <v>-2100</v>
      </c>
      <c r="Q194" s="230">
        <v>-3000</v>
      </c>
      <c r="R194" s="274">
        <f>SUM('OPX_BN-1'!$K194:$Q194)</f>
        <v>-27941.269841269841</v>
      </c>
      <c r="S194" s="459">
        <v>-1727740</v>
      </c>
      <c r="T194" s="423">
        <v>0</v>
      </c>
      <c r="U194" s="341"/>
      <c r="V194" s="423">
        <v>-1000</v>
      </c>
      <c r="W194" s="423">
        <v>0</v>
      </c>
      <c r="X194" s="423">
        <v>0</v>
      </c>
      <c r="Y194" s="423"/>
      <c r="Z194" s="264">
        <v>-3000</v>
      </c>
      <c r="AA194" s="423"/>
      <c r="AB194" s="273">
        <f>SUM('OPX_BN-1'!$T194:$AA194)</f>
        <v>-4000</v>
      </c>
      <c r="AC194" s="426"/>
      <c r="AD194" s="426"/>
      <c r="AE194" s="417">
        <v>0</v>
      </c>
      <c r="AF194" s="417">
        <v>0</v>
      </c>
      <c r="AG194" s="417">
        <v>0</v>
      </c>
      <c r="AH194" s="417">
        <v>0</v>
      </c>
      <c r="AI194" s="417">
        <v>0</v>
      </c>
      <c r="AJ194" s="271">
        <f>SUM('OPX_BN-1'!$AC194:$AI194)</f>
        <v>0</v>
      </c>
      <c r="AK194" s="429">
        <v>0</v>
      </c>
      <c r="AL194" s="276">
        <f>SUM('OPX_BN-1'!$J194,'OPX_BN-1'!$AB194,'OPX_BN-1'!$S194,'OPX_BN-1'!$AJ194,'OPX_BN-1'!$R194,'OPX_BN-1'!$AK194)</f>
        <v>-1856748.0328913026</v>
      </c>
      <c r="AM194" s="427">
        <v>0</v>
      </c>
    </row>
    <row r="195" spans="1:40" ht="32.25" customHeight="1">
      <c r="A195" s="245">
        <f>SUBTOTAL(103,Tableau15[OPEX VARIABLES en €
BN 2023])</f>
        <v>189</v>
      </c>
      <c r="B195" s="246"/>
      <c r="C195" s="247"/>
      <c r="D195" s="247"/>
      <c r="E195" s="246"/>
      <c r="F195" s="247"/>
      <c r="G195" s="247"/>
      <c r="H195" s="246"/>
      <c r="I195" s="246"/>
      <c r="J195" s="248">
        <f>SUBTOTAL(109,Tableau15[Contrat Groupe EDF Re : (WTG + PDL)])</f>
        <v>-26634716.417015031</v>
      </c>
      <c r="K195" s="493">
        <f>SUBTOTAL(109,Tableau15[Tâches réalisées par EDF RS en sus du contrat  + DI])</f>
        <v>-2231914</v>
      </c>
      <c r="L195" s="493">
        <f>SUBTOTAL(109,Tableau15[Préstations effectuées dans le cadre de MCR (GBX, génératrice, composant HTA…) par EDF RS
PV : Sinistre])</f>
        <v>-1003145</v>
      </c>
      <c r="M195" s="261">
        <f>SUBTOTAL(109,Tableau15[Entretien du BoP (pistes, végétation, plateformes, nettoyage panneaux…) ou travaux sur le BOP])</f>
        <v>-150000</v>
      </c>
      <c r="N195" s="261">
        <f>SUBTOTAL(109,Tableau15[Préstations pour des inspections sur les pales, fin de vie, fin de garantie.. en sus du contrat réalisé en interne])</f>
        <v>-14300</v>
      </c>
      <c r="O195" s="261">
        <f>SUBTOTAL(109,Tableau15[Préstations sur les MdM et équipements météo (entretien, maintenance corrective…)])</f>
        <v>-47800</v>
      </c>
      <c r="P195" s="261">
        <f>SUBTOTAL(109,Tableau15[Préstations sur les outils Télésurveillance / SCADA / Telecom, les abonnements RDL / Internet / Genesys / Wonder…])</f>
        <v>-533358</v>
      </c>
      <c r="Q195" s="261">
        <f>SUBTOTAL(109,Tableau15[Prestations diverses  &amp; accompagnements interne (1,6 k€ par jour d''acc)])</f>
        <v>-1165076</v>
      </c>
      <c r="R195" s="262">
        <f>SUBTOTAL(109,Tableau15[TOTAL CORRECTIF 0&amp;M GROUPE])</f>
        <v>-5145593</v>
      </c>
      <c r="S195" s="248">
        <f>SUBTOTAL(109,Tableau15[Contrats (WTG + PDL) hors EDF RS])</f>
        <v>-26828061.638068233</v>
      </c>
      <c r="T195" s="265">
        <f>SUBTOTAL(109,Tableau15[Tâches réalisées en sus du contrat])</f>
        <v>-423550</v>
      </c>
      <c r="U195" s="265">
        <f>SUBTOTAL(109,Tableau15[Préstations effectuées dans le cadre de MCR (GBX, génératrice, composant HTA…) par EDF RS
PV : Sinistre2])</f>
        <v>0</v>
      </c>
      <c r="V195" s="265">
        <f>SUBTOTAL(109,Tableau15[Entretien du BoP (pistes, végétation, plateformes, nettoyage panneaux…) ou travaux sur le BOP3])</f>
        <v>-776359</v>
      </c>
      <c r="W195" s="265">
        <f>SUBTOTAL(109,Tableau15[Prestations pour des inpsections sur les pales, Fin de vie, Fin de garantie.. En sus du contrat ])</f>
        <v>-287996</v>
      </c>
      <c r="X195" s="265">
        <f>SUBTOTAL(109,Tableau15[Préstations sur les MdM et équipements météo (entretien, maintenance corrective…)4])</f>
        <v>-119200</v>
      </c>
      <c r="Y195" s="265">
        <f>SUBTOTAL(109,Tableau15[Préstations sur les outils Télésurveillance / SCADA / Telecom, les abonnements RDL / Internet / Genesys / Wonder…5])</f>
        <v>0</v>
      </c>
      <c r="Z195" s="265">
        <f>SUBTOTAL(109,Tableau15[Prestations diverses  &amp; accompagnements (1,6 k€ par jour d''acc)])</f>
        <v>-2069696</v>
      </c>
      <c r="AA195" s="265">
        <f>SUBTOTAL(109,Tableau15[[Prestations locale pour ancrage territorial ]])</f>
        <v>0</v>
      </c>
      <c r="AB195" s="265">
        <f>SUBTOTAL(109,Tableau15[TOTAL CORRECTIF O&amp;M HORS GROUPE])</f>
        <v>-3676801</v>
      </c>
      <c r="AC195" s="269">
        <f>SUBTOTAL(109,Tableau15[SDA (loc nacelle, contrat O&amp;M, dépannage)])</f>
        <v>0</v>
      </c>
      <c r="AD195" s="269">
        <f>SUBTOTAL(109,Tableau15[Location des containers, prestations de mise en place…])</f>
        <v>0</v>
      </c>
      <c r="AE195" s="269">
        <f>SUBTOTAL(109,Tableau15[Prestations pour les suivis avifaune (hors morta)])</f>
        <v>-371009</v>
      </c>
      <c r="AF195" s="269">
        <f>SUBTOTAL(109,Tableau15[Prestations pour les suivis Chiroptères])</f>
        <v>-209881.97</v>
      </c>
      <c r="AG195" s="269">
        <f>SUBTOTAL(109,Tableau15[Prestations pour les suivis mortalités])</f>
        <v>-933202.83000000007</v>
      </c>
      <c r="AH195" s="269">
        <f>SUBTOTAL(109,Tableau15[Autres suivis /Etudes (+ dédiée PV)])</f>
        <v>-475992.68999999994</v>
      </c>
      <c r="AI195" s="269">
        <f>SUBTOTAL(109,Tableau15[(mesures compensatoires du PC ou autres)])</f>
        <v>-521293</v>
      </c>
      <c r="AJ195" s="270">
        <f>SUBTOTAL(109,Tableau15[TOTAL ENVIRO])</f>
        <v>-2511379.4900000002</v>
      </c>
      <c r="AK195" s="278">
        <f>SUBTOTAL(109,Tableau15[Bonus, dédommagement sinistre])</f>
        <v>-361042</v>
      </c>
      <c r="AL195" s="279">
        <f>SUBTOTAL(109,Tableau15[GRAND TOTAL])</f>
        <v>-65157593.545083284</v>
      </c>
      <c r="AM195" s="358">
        <f>SUBTOTAL(109,Tableau15[CAPEX])</f>
        <v>-3875000</v>
      </c>
      <c r="AN195"/>
    </row>
    <row r="196" spans="1:40" ht="30" customHeight="1"/>
    <row r="200" spans="1:40">
      <c r="J200" s="252"/>
    </row>
    <row r="201" spans="1:40" ht="9.75" customHeight="1"/>
  </sheetData>
  <mergeCells count="4">
    <mergeCell ref="J1:R1"/>
    <mergeCell ref="S1:AB1"/>
    <mergeCell ref="AC1:AD1"/>
    <mergeCell ref="AE1:AJ1"/>
  </mergeCells>
  <conditionalFormatting sqref="J6:AM6 K7:O187 S7:U187 W7:AI187 AK7:AM187 J7:J194 P7:R194 V7:V194 AJ7:AJ194">
    <cfRule type="cellIs" dxfId="394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'Pour listes'!$C$2:$C$17</xm:f>
          </x14:formula1>
          <xm:sqref>L13</xm:sqref>
        </x14:dataValidation>
        <x14:dataValidation type="list" allowBlank="1" showInputMessage="1" showErrorMessage="1" error="Utiliser la liste déroulante._x000a_Merci." xr:uid="{00000000-0002-0000-0700-000001000000}">
          <x14:formula1>
            <xm:f>DATA!$A$3:$A$192</xm:f>
          </x14:formula1>
          <xm:sqref>A6:A194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1">
    <tabColor rgb="FF92D050"/>
  </sheetPr>
  <dimension ref="A1:AO314"/>
  <sheetViews>
    <sheetView showGridLines="0" zoomScale="90" zoomScaleNormal="90" workbookViewId="0">
      <pane xSplit="9" ySplit="5" topLeftCell="J174" activePane="bottomRight" state="frozen"/>
      <selection pane="topRight" activeCell="J1" sqref="J1"/>
      <selection pane="bottomLeft" activeCell="A6" sqref="A6"/>
      <selection pane="bottomRight" activeCell="Q200" sqref="Q200"/>
    </sheetView>
  </sheetViews>
  <sheetFormatPr baseColWidth="10" defaultColWidth="12" defaultRowHeight="12"/>
  <cols>
    <col min="1" max="1" width="30.6640625" style="6" customWidth="1"/>
    <col min="2" max="2" width="11.33203125" style="6" customWidth="1"/>
    <col min="3" max="3" width="14.6640625" style="6" customWidth="1"/>
    <col min="4" max="4" width="13.1640625" style="6" customWidth="1"/>
    <col min="5" max="5" width="7" style="6" customWidth="1"/>
    <col min="6" max="6" width="10.33203125" style="6" customWidth="1"/>
    <col min="7" max="7" width="13.1640625" style="6" customWidth="1"/>
    <col min="8" max="8" width="6.6640625" style="6" bestFit="1" customWidth="1"/>
    <col min="9" max="9" width="6.6640625" style="6" customWidth="1"/>
    <col min="10" max="10" width="17.6640625" style="6" customWidth="1"/>
    <col min="11" max="11" width="17.1640625" style="6" customWidth="1"/>
    <col min="12" max="14" width="17.6640625" style="6" customWidth="1"/>
    <col min="15" max="16" width="17.5" style="6" customWidth="1"/>
    <col min="17" max="17" width="17.5" style="122" customWidth="1"/>
    <col min="18" max="18" width="20.5" style="122" customWidth="1"/>
    <col min="19" max="19" width="21.1640625" style="6" customWidth="1"/>
    <col min="20" max="20" width="14" style="6" customWidth="1"/>
    <col min="21" max="21" width="17.1640625" style="6" customWidth="1"/>
    <col min="22" max="22" width="16.6640625" style="6" customWidth="1"/>
    <col min="23" max="23" width="17.6640625" style="6" customWidth="1"/>
    <col min="24" max="24" width="15.33203125" style="6" customWidth="1"/>
    <col min="25" max="25" width="15.6640625" style="6" customWidth="1"/>
    <col min="26" max="26" width="19.33203125" style="6" customWidth="1"/>
    <col min="27" max="27" width="19.6640625" style="20" customWidth="1"/>
    <col min="28" max="28" width="17.6640625" style="6" customWidth="1"/>
    <col min="29" max="30" width="15.33203125" style="6" customWidth="1"/>
    <col min="31" max="37" width="16.5" style="6" customWidth="1"/>
    <col min="38" max="38" width="16.6640625" style="20" customWidth="1"/>
    <col min="39" max="40" width="15.5" style="20" customWidth="1"/>
    <col min="41" max="41" width="56.6640625" style="6" customWidth="1"/>
    <col min="42" max="16384" width="12" style="6"/>
  </cols>
  <sheetData>
    <row r="1" spans="1:41" ht="22.5" customHeight="1" thickBot="1">
      <c r="J1" s="519" t="s">
        <v>777</v>
      </c>
      <c r="K1" s="520"/>
      <c r="L1" s="520"/>
      <c r="M1" s="520"/>
      <c r="N1" s="520"/>
      <c r="O1" s="520"/>
      <c r="P1" s="520"/>
      <c r="Q1" s="520"/>
      <c r="R1" s="521"/>
      <c r="S1" s="522" t="s">
        <v>778</v>
      </c>
      <c r="T1" s="523"/>
      <c r="U1" s="523"/>
      <c r="V1" s="523"/>
      <c r="W1" s="523"/>
      <c r="X1" s="523"/>
      <c r="Y1" s="523"/>
      <c r="Z1" s="523"/>
      <c r="AA1" s="523"/>
      <c r="AB1" s="524"/>
      <c r="AC1" s="525" t="s">
        <v>779</v>
      </c>
      <c r="AD1" s="526"/>
      <c r="AE1" s="527" t="s">
        <v>780</v>
      </c>
      <c r="AF1" s="527"/>
      <c r="AG1" s="527"/>
      <c r="AH1" s="527"/>
      <c r="AI1" s="527"/>
      <c r="AJ1" s="527"/>
      <c r="AK1" s="20"/>
      <c r="AM1" s="6"/>
      <c r="AN1" s="6"/>
    </row>
    <row r="2" spans="1:41" ht="12.75" thickBot="1">
      <c r="A2" s="161" t="s">
        <v>781</v>
      </c>
      <c r="B2" s="162" t="s">
        <v>782</v>
      </c>
      <c r="C2" s="164" t="s">
        <v>783</v>
      </c>
      <c r="D2" s="164" t="s">
        <v>784</v>
      </c>
      <c r="E2" s="164" t="s">
        <v>785</v>
      </c>
      <c r="F2" s="164" t="s">
        <v>786</v>
      </c>
      <c r="G2" s="164" t="s">
        <v>787</v>
      </c>
      <c r="H2" s="164" t="s">
        <v>788</v>
      </c>
      <c r="I2" s="303"/>
      <c r="J2" s="165" t="s">
        <v>789</v>
      </c>
      <c r="K2" s="166" t="s">
        <v>790</v>
      </c>
      <c r="L2" s="167" t="s">
        <v>791</v>
      </c>
      <c r="M2" s="168" t="s">
        <v>792</v>
      </c>
      <c r="N2" s="168" t="s">
        <v>793</v>
      </c>
      <c r="O2" s="168" t="s">
        <v>794</v>
      </c>
      <c r="P2" s="168" t="s">
        <v>795</v>
      </c>
      <c r="Q2" s="168" t="s">
        <v>796</v>
      </c>
      <c r="R2" s="169" t="s">
        <v>797</v>
      </c>
      <c r="S2" s="165" t="s">
        <v>798</v>
      </c>
      <c r="T2" s="170" t="s">
        <v>799</v>
      </c>
      <c r="U2" s="171" t="s">
        <v>800</v>
      </c>
      <c r="V2" s="172" t="s">
        <v>801</v>
      </c>
      <c r="W2" s="173" t="s">
        <v>802</v>
      </c>
      <c r="X2" s="173" t="s">
        <v>803</v>
      </c>
      <c r="Y2" s="173" t="s">
        <v>804</v>
      </c>
      <c r="Z2" s="172" t="s">
        <v>805</v>
      </c>
      <c r="AA2" s="173" t="s">
        <v>806</v>
      </c>
      <c r="AB2" s="174" t="s">
        <v>807</v>
      </c>
      <c r="AC2" s="175" t="s">
        <v>808</v>
      </c>
      <c r="AD2" s="176" t="s">
        <v>809</v>
      </c>
      <c r="AE2" s="177" t="s">
        <v>810</v>
      </c>
      <c r="AF2" s="177" t="s">
        <v>811</v>
      </c>
      <c r="AG2" s="177" t="s">
        <v>812</v>
      </c>
      <c r="AH2" s="177" t="s">
        <v>813</v>
      </c>
      <c r="AI2" s="177" t="s">
        <v>814</v>
      </c>
      <c r="AJ2" s="178" t="s">
        <v>815</v>
      </c>
      <c r="AK2" s="179" t="s">
        <v>816</v>
      </c>
      <c r="AL2" s="180" t="s">
        <v>817</v>
      </c>
      <c r="AM2" s="181" t="s">
        <v>818</v>
      </c>
      <c r="AN2" s="181">
        <v>39</v>
      </c>
    </row>
    <row r="3" spans="1:41" ht="45.95" customHeight="1" thickTop="1" thickBot="1">
      <c r="A3" s="182" t="s">
        <v>819</v>
      </c>
      <c r="B3" s="183" t="s">
        <v>628</v>
      </c>
      <c r="C3" s="184" t="s">
        <v>629</v>
      </c>
      <c r="D3" s="184" t="s">
        <v>414</v>
      </c>
      <c r="E3" s="184" t="s">
        <v>630</v>
      </c>
      <c r="F3" s="184" t="s">
        <v>631</v>
      </c>
      <c r="G3" s="184" t="s">
        <v>417</v>
      </c>
      <c r="H3" s="184" t="s">
        <v>632</v>
      </c>
      <c r="I3" s="304" t="s">
        <v>418</v>
      </c>
      <c r="J3" s="185" t="s">
        <v>820</v>
      </c>
      <c r="K3" s="186" t="s">
        <v>821</v>
      </c>
      <c r="L3" s="187" t="s">
        <v>822</v>
      </c>
      <c r="M3" s="188" t="s">
        <v>823</v>
      </c>
      <c r="N3" s="188" t="s">
        <v>824</v>
      </c>
      <c r="O3" s="188" t="s">
        <v>825</v>
      </c>
      <c r="P3" s="188" t="s">
        <v>826</v>
      </c>
      <c r="Q3" s="188" t="s">
        <v>827</v>
      </c>
      <c r="R3" s="189" t="s">
        <v>688</v>
      </c>
      <c r="S3" s="185" t="s">
        <v>828</v>
      </c>
      <c r="T3" s="190" t="s">
        <v>829</v>
      </c>
      <c r="U3" s="191" t="s">
        <v>822</v>
      </c>
      <c r="V3" s="192" t="s">
        <v>823</v>
      </c>
      <c r="W3" s="193" t="s">
        <v>824</v>
      </c>
      <c r="X3" s="193" t="s">
        <v>825</v>
      </c>
      <c r="Y3" s="193" t="s">
        <v>826</v>
      </c>
      <c r="Z3" s="192" t="s">
        <v>827</v>
      </c>
      <c r="AA3" s="193" t="s">
        <v>830</v>
      </c>
      <c r="AB3" s="194" t="s">
        <v>690</v>
      </c>
      <c r="AC3" s="195" t="s">
        <v>831</v>
      </c>
      <c r="AD3" s="196" t="s">
        <v>832</v>
      </c>
      <c r="AE3" s="197" t="s">
        <v>833</v>
      </c>
      <c r="AF3" s="197" t="s">
        <v>834</v>
      </c>
      <c r="AG3" s="197" t="s">
        <v>835</v>
      </c>
      <c r="AH3" s="197" t="s">
        <v>836</v>
      </c>
      <c r="AI3" s="197" t="s">
        <v>837</v>
      </c>
      <c r="AJ3" s="198" t="s">
        <v>691</v>
      </c>
      <c r="AK3" s="199" t="s">
        <v>692</v>
      </c>
      <c r="AL3" s="200" t="s">
        <v>838</v>
      </c>
      <c r="AM3" s="201" t="s">
        <v>1548</v>
      </c>
      <c r="AN3" s="201" t="s">
        <v>1549</v>
      </c>
    </row>
    <row r="4" spans="1:41" ht="17.25" customHeight="1" thickBot="1">
      <c r="A4" s="256"/>
      <c r="B4" s="257"/>
      <c r="C4" s="257"/>
      <c r="D4" s="257"/>
      <c r="E4" s="258"/>
      <c r="F4" s="259"/>
      <c r="G4" s="260"/>
      <c r="H4" s="260"/>
      <c r="I4" s="305"/>
      <c r="J4" s="202"/>
      <c r="K4" s="203" t="s">
        <v>840</v>
      </c>
      <c r="L4" s="203" t="s">
        <v>840</v>
      </c>
      <c r="M4" s="204" t="s">
        <v>840</v>
      </c>
      <c r="N4" s="204" t="s">
        <v>840</v>
      </c>
      <c r="O4" s="204" t="s">
        <v>840</v>
      </c>
      <c r="P4" s="204" t="s">
        <v>840</v>
      </c>
      <c r="Q4" s="204" t="s">
        <v>840</v>
      </c>
      <c r="R4" s="205">
        <f>SUM(OPX_LE3!$K4:$Q4)</f>
        <v>0</v>
      </c>
      <c r="S4" s="206"/>
      <c r="T4" s="207" t="s">
        <v>841</v>
      </c>
      <c r="U4" s="207" t="s">
        <v>841</v>
      </c>
      <c r="V4" s="207" t="s">
        <v>841</v>
      </c>
      <c r="W4" s="207" t="s">
        <v>841</v>
      </c>
      <c r="X4" s="207" t="s">
        <v>841</v>
      </c>
      <c r="Y4" s="207" t="s">
        <v>841</v>
      </c>
      <c r="Z4" s="207" t="s">
        <v>841</v>
      </c>
      <c r="AA4" s="207" t="s">
        <v>841</v>
      </c>
      <c r="AB4" s="208">
        <f>SUM(OPX_LE3!$T4:$AA4)</f>
        <v>0</v>
      </c>
      <c r="AC4" s="209"/>
      <c r="AD4" s="209"/>
      <c r="AE4" s="210"/>
      <c r="AF4" s="211"/>
      <c r="AG4" s="211"/>
      <c r="AH4" s="210"/>
      <c r="AI4" s="211"/>
      <c r="AJ4" s="212">
        <f>SUM(OPX_LE3!$AE4:$AI4)</f>
        <v>0</v>
      </c>
      <c r="AK4" s="213"/>
      <c r="AL4" s="214">
        <f>SUM(OPX_LE3!$J4,OPX_LE3!$AB4,OPX_LE3!$S4,OPX_LE3!$AJ4,OPX_LE3!$R4,OPX_LE3!$AK4)</f>
        <v>0</v>
      </c>
      <c r="AM4" s="215"/>
      <c r="AN4" s="474"/>
    </row>
    <row r="5" spans="1:41" ht="65.25" customHeight="1" thickBot="1">
      <c r="A5" s="242" t="s">
        <v>842</v>
      </c>
      <c r="B5" s="216" t="s">
        <v>628</v>
      </c>
      <c r="C5" s="216" t="s">
        <v>629</v>
      </c>
      <c r="D5" s="217" t="s">
        <v>414</v>
      </c>
      <c r="E5" s="217" t="s">
        <v>630</v>
      </c>
      <c r="F5" s="218" t="s">
        <v>631</v>
      </c>
      <c r="G5" s="218" t="s">
        <v>417</v>
      </c>
      <c r="H5" s="218" t="s">
        <v>632</v>
      </c>
      <c r="I5" s="218" t="s">
        <v>418</v>
      </c>
      <c r="J5" s="219" t="s">
        <v>843</v>
      </c>
      <c r="K5" s="249" t="s">
        <v>844</v>
      </c>
      <c r="L5" s="250" t="s">
        <v>845</v>
      </c>
      <c r="M5" s="251" t="s">
        <v>846</v>
      </c>
      <c r="N5" s="251" t="s">
        <v>847</v>
      </c>
      <c r="O5" s="251" t="s">
        <v>848</v>
      </c>
      <c r="P5" s="251" t="s">
        <v>849</v>
      </c>
      <c r="Q5" s="251" t="s">
        <v>850</v>
      </c>
      <c r="R5" s="220" t="s">
        <v>688</v>
      </c>
      <c r="S5" s="221" t="s">
        <v>851</v>
      </c>
      <c r="T5" s="222" t="s">
        <v>852</v>
      </c>
      <c r="U5" s="207" t="s">
        <v>853</v>
      </c>
      <c r="V5" s="207" t="s">
        <v>854</v>
      </c>
      <c r="W5" s="207" t="s">
        <v>855</v>
      </c>
      <c r="X5" s="207" t="s">
        <v>856</v>
      </c>
      <c r="Y5" s="223" t="s">
        <v>857</v>
      </c>
      <c r="Z5" s="207" t="s">
        <v>858</v>
      </c>
      <c r="AA5" s="207" t="s">
        <v>859</v>
      </c>
      <c r="AB5" s="224" t="s">
        <v>690</v>
      </c>
      <c r="AC5" s="266" t="s">
        <v>860</v>
      </c>
      <c r="AD5" s="267" t="s">
        <v>861</v>
      </c>
      <c r="AE5" s="268" t="s">
        <v>862</v>
      </c>
      <c r="AF5" s="268" t="s">
        <v>863</v>
      </c>
      <c r="AG5" s="268" t="s">
        <v>864</v>
      </c>
      <c r="AH5" s="268" t="s">
        <v>865</v>
      </c>
      <c r="AI5" s="211" t="s">
        <v>866</v>
      </c>
      <c r="AJ5" s="198" t="s">
        <v>691</v>
      </c>
      <c r="AK5" s="277" t="s">
        <v>867</v>
      </c>
      <c r="AL5" s="226" t="s">
        <v>838</v>
      </c>
      <c r="AM5" s="227" t="s">
        <v>868</v>
      </c>
      <c r="AN5" s="473" t="s">
        <v>1545</v>
      </c>
      <c r="AO5" s="375" t="s">
        <v>645</v>
      </c>
    </row>
    <row r="6" spans="1:41" ht="15">
      <c r="A6" s="319" t="s">
        <v>575</v>
      </c>
      <c r="B6" s="320" t="str">
        <f>VLOOKUP(OPX_LE3!$A6,Tableau106[],3,FALSE)</f>
        <v>A893</v>
      </c>
      <c r="C6" s="320" t="str">
        <f>VLOOKUP(OPX_LE3!$A6,Tableau106[],2,FALSE)</f>
        <v>FR34E97E</v>
      </c>
      <c r="D6" s="320" t="str">
        <f>VLOOKUP(OPX_LE3!$A6,Tableau106[],8,FALSE)</f>
        <v>EOLIEN</v>
      </c>
      <c r="E6" s="321">
        <f>VLOOKUP(OPX_LE3!$A6,Tableau106[],4,FALSE)</f>
        <v>10</v>
      </c>
      <c r="F6" s="322" t="str">
        <f>VLOOKUP(OPX_LE3!$A6,Tableau106[],5,FALSE)</f>
        <v>AUQB</v>
      </c>
      <c r="G6" s="322" t="str">
        <f>VLOOKUP(OPX_LE3!$A6,Tableau106[],7,FALSE)</f>
        <v>GROUPE</v>
      </c>
      <c r="H6" s="322" t="str">
        <f>VLOOKUP(OPX_LE3!$A6,Tableau106[],6,FALSE)</f>
        <v>S</v>
      </c>
      <c r="I6" s="322" t="str">
        <f>VLOOKUP(OPX_LE3!$A6,Tableau106[],9,FALSE)</f>
        <v>KéD</v>
      </c>
      <c r="J6" s="253">
        <v>-501305</v>
      </c>
      <c r="K6" s="228">
        <v>-45290</v>
      </c>
      <c r="L6" s="228"/>
      <c r="M6" s="229">
        <v>0</v>
      </c>
      <c r="N6" s="229">
        <v>0</v>
      </c>
      <c r="O6" s="229">
        <v>0</v>
      </c>
      <c r="P6" s="229">
        <v>-3500</v>
      </c>
      <c r="Q6" s="229">
        <f>-250*OPX_LE3!$E6</f>
        <v>-2500</v>
      </c>
      <c r="R6" s="310">
        <f>SUM(OPX_LE3!$K6:$Q6)</f>
        <v>-51290</v>
      </c>
      <c r="S6" s="336">
        <v>0</v>
      </c>
      <c r="T6" s="361">
        <v>0</v>
      </c>
      <c r="U6" s="362">
        <v>0</v>
      </c>
      <c r="V6" s="361">
        <f>-(4650+5000)</f>
        <v>-9650</v>
      </c>
      <c r="W6" s="361">
        <v>0</v>
      </c>
      <c r="X6" s="361">
        <v>0</v>
      </c>
      <c r="Y6" s="361">
        <v>0</v>
      </c>
      <c r="Z6" s="264">
        <v>-2500</v>
      </c>
      <c r="AA6" s="423"/>
      <c r="AB6" s="272">
        <f>SUM(OPX_LE3!$T6:$AA6)</f>
        <v>-12150</v>
      </c>
      <c r="AC6" s="399">
        <f>-((6184*5)+1500)</f>
        <v>-32420</v>
      </c>
      <c r="AD6" s="399"/>
      <c r="AE6" s="417">
        <v>-3647</v>
      </c>
      <c r="AF6" s="417">
        <v>0</v>
      </c>
      <c r="AG6" s="417">
        <v>-25267.5</v>
      </c>
      <c r="AH6" s="417"/>
      <c r="AI6" s="417">
        <v>0</v>
      </c>
      <c r="AJ6" s="316">
        <f>SUM(OPX_LE3!$AC6:$AI6)</f>
        <v>-61334.5</v>
      </c>
      <c r="AK6" s="424"/>
      <c r="AL6" s="275">
        <f>SUM(OPX_LE3!$J6,OPX_LE3!$AB6,OPX_LE3!$S6,OPX_LE3!$AJ6,OPX_LE3!$R6,OPX_LE3!$AK6)</f>
        <v>-626079.5</v>
      </c>
      <c r="AM6" s="427">
        <v>0</v>
      </c>
      <c r="AN6" s="427">
        <v>0</v>
      </c>
    </row>
    <row r="7" spans="1:41" ht="15">
      <c r="A7" s="243" t="s">
        <v>435</v>
      </c>
      <c r="B7" s="232" t="str">
        <f>VLOOKUP(OPX_LE3!$A7,Tableau106[],3,FALSE)</f>
        <v>A763</v>
      </c>
      <c r="C7" s="232" t="str">
        <f>VLOOKUP(OPX_LE3!$A7,Tableau106[],2,FALSE)</f>
        <v>FR51E05E</v>
      </c>
      <c r="D7" s="232" t="str">
        <f>VLOOKUP(OPX_LE3!$A7,Tableau106[],8,FALSE)</f>
        <v>EOLIEN</v>
      </c>
      <c r="E7" s="233">
        <f>VLOOKUP(OPX_LE3!$A7,Tableau106[],4,FALSE)</f>
        <v>16</v>
      </c>
      <c r="F7" s="232" t="str">
        <f>VLOOKUP(OPX_LE3!$A7,Tableau106[],5,FALSE)</f>
        <v>QVA3</v>
      </c>
      <c r="G7" s="232" t="str">
        <f>VLOOKUP(OPX_LE3!$A7,Tableau106[],7,FALSE)</f>
        <v>GROUPE</v>
      </c>
      <c r="H7" s="232" t="str">
        <f>VLOOKUP(OPX_LE3!$A7,Tableau106[],6,FALSE)</f>
        <v>S</v>
      </c>
      <c r="I7" s="232" t="str">
        <f>VLOOKUP(OPX_LE3!$A7,Tableau106[],9,FALSE)</f>
        <v>BaB</v>
      </c>
      <c r="J7" s="254">
        <v>-18075</v>
      </c>
      <c r="K7" s="228">
        <v>-4330</v>
      </c>
      <c r="L7" s="228"/>
      <c r="M7" s="229">
        <v>0</v>
      </c>
      <c r="N7" s="229">
        <v>0</v>
      </c>
      <c r="O7" s="229">
        <v>0</v>
      </c>
      <c r="P7" s="229">
        <v>0</v>
      </c>
      <c r="Q7" s="229">
        <f>-250*OPX_LE3!$E7</f>
        <v>-4000</v>
      </c>
      <c r="R7" s="311">
        <f>SUM(OPX_LE3!$K7:$Q7)</f>
        <v>-8330</v>
      </c>
      <c r="S7" s="337">
        <v>-471101</v>
      </c>
      <c r="T7" s="361">
        <v>0</v>
      </c>
      <c r="U7" s="362">
        <v>0</v>
      </c>
      <c r="V7" s="361">
        <v>-3750</v>
      </c>
      <c r="W7" s="361">
        <v>0</v>
      </c>
      <c r="X7" s="361">
        <v>0</v>
      </c>
      <c r="Y7" s="361">
        <v>0</v>
      </c>
      <c r="Z7" s="264">
        <v>-4000</v>
      </c>
      <c r="AA7" s="423"/>
      <c r="AB7" s="273">
        <f>SUM(OPX_LE3!$T7:$AA7)</f>
        <v>-7750</v>
      </c>
      <c r="AC7" s="426"/>
      <c r="AD7" s="426"/>
      <c r="AE7" s="417">
        <v>0</v>
      </c>
      <c r="AF7" s="417">
        <v>0</v>
      </c>
      <c r="AG7" s="417">
        <v>0</v>
      </c>
      <c r="AH7" s="417">
        <v>0</v>
      </c>
      <c r="AI7" s="417">
        <v>-1100</v>
      </c>
      <c r="AJ7" s="317">
        <f>SUM(OPX_LE3!$AC7:$AI7)</f>
        <v>-1100</v>
      </c>
      <c r="AK7" s="424">
        <v>0</v>
      </c>
      <c r="AL7" s="276">
        <f>SUM(OPX_LE3!$J7,OPX_LE3!$AB7,OPX_LE3!$S7,OPX_LE3!$AJ7,OPX_LE3!$R7,OPX_LE3!$AK7)</f>
        <v>-506356</v>
      </c>
      <c r="AM7" s="427">
        <v>0</v>
      </c>
      <c r="AN7" s="427">
        <v>0</v>
      </c>
    </row>
    <row r="8" spans="1:41" ht="15">
      <c r="A8" s="323" t="s">
        <v>448</v>
      </c>
      <c r="B8" s="322" t="str">
        <f>VLOOKUP(OPX_LE3!$A8,Tableau106[],3,FALSE)</f>
        <v>A099</v>
      </c>
      <c r="C8" s="322" t="str">
        <f>VLOOKUP(OPX_LE3!$A8,Tableau106[],2,FALSE)</f>
        <v>FR28E96E</v>
      </c>
      <c r="D8" s="322" t="str">
        <f>VLOOKUP(OPX_LE3!$A8,Tableau106[],8,FALSE)</f>
        <v>EOLIEN</v>
      </c>
      <c r="E8" s="324">
        <f>VLOOKUP(OPX_LE3!$A8,Tableau106[],4,FALSE)</f>
        <v>52</v>
      </c>
      <c r="F8" s="322" t="str">
        <f>VLOOKUP(OPX_LE3!$A8,Tableau106[],5,FALSE)</f>
        <v>CHAB</v>
      </c>
      <c r="G8" s="322" t="str">
        <f>VLOOKUP(OPX_LE3!$A8,Tableau106[],7,FALSE)</f>
        <v>GROUPE</v>
      </c>
      <c r="H8" s="322" t="str">
        <f>VLOOKUP(OPX_LE3!$A8,Tableau106[],6,FALSE)</f>
        <v>N</v>
      </c>
      <c r="I8" s="322" t="str">
        <f>VLOOKUP(OPX_LE3!$A8,Tableau106[],9,FALSE)</f>
        <v>HuB</v>
      </c>
      <c r="J8" s="254">
        <v>-32636</v>
      </c>
      <c r="K8" s="228">
        <v>-170870</v>
      </c>
      <c r="L8" s="228"/>
      <c r="M8" s="229">
        <v>0</v>
      </c>
      <c r="N8" s="229">
        <v>0</v>
      </c>
      <c r="O8" s="229">
        <v>-3000</v>
      </c>
      <c r="P8" s="229">
        <v>-18200</v>
      </c>
      <c r="Q8" s="229">
        <f>-250*OPX_LE3!$E8</f>
        <v>-13000</v>
      </c>
      <c r="R8" s="311">
        <f>SUM(OPX_LE3!$K8:$Q8)</f>
        <v>-205070</v>
      </c>
      <c r="S8" s="337">
        <v>-1445600</v>
      </c>
      <c r="T8" s="361">
        <v>0</v>
      </c>
      <c r="U8" s="362">
        <v>0</v>
      </c>
      <c r="V8" s="361">
        <v>-9000</v>
      </c>
      <c r="W8" s="361">
        <v>0</v>
      </c>
      <c r="X8" s="361">
        <v>-4000</v>
      </c>
      <c r="Y8" s="361">
        <v>0</v>
      </c>
      <c r="Z8" s="264">
        <v>-13000</v>
      </c>
      <c r="AA8" s="423"/>
      <c r="AB8" s="273">
        <f>SUM(OPX_LE3!$T8:$AA8)</f>
        <v>-26000</v>
      </c>
      <c r="AC8" s="426"/>
      <c r="AD8" s="426"/>
      <c r="AE8" s="417">
        <v>-5000</v>
      </c>
      <c r="AF8" s="417">
        <v>0</v>
      </c>
      <c r="AG8" s="417">
        <v>0</v>
      </c>
      <c r="AH8" s="417">
        <v>0</v>
      </c>
      <c r="AI8" s="417">
        <v>0</v>
      </c>
      <c r="AJ8" s="317">
        <f>SUM(OPX_LE3!$AC8:$AI8)</f>
        <v>-5000</v>
      </c>
      <c r="AK8" s="424">
        <v>0</v>
      </c>
      <c r="AL8" s="276">
        <f>SUM(OPX_LE3!$J8,OPX_LE3!$AB8,OPX_LE3!$S8,OPX_LE3!$AJ8,OPX_LE3!$R8,OPX_LE3!$AK8)</f>
        <v>-1714306</v>
      </c>
      <c r="AM8" s="427">
        <v>0</v>
      </c>
      <c r="AN8" s="427">
        <v>0</v>
      </c>
    </row>
    <row r="9" spans="1:41" ht="15">
      <c r="A9" s="243" t="s">
        <v>504</v>
      </c>
      <c r="B9" s="232" t="str">
        <f>VLOOKUP(OPX_LE3!$A9,Tableau106[],3,FALSE)</f>
        <v>A418</v>
      </c>
      <c r="C9" s="232" t="str">
        <f>VLOOKUP(OPX_LE3!$A9,Tableau106[],2,FALSE)</f>
        <v>FR78E01E</v>
      </c>
      <c r="D9" s="232" t="str">
        <f>VLOOKUP(OPX_LE3!$A9,Tableau106[],8,FALSE)</f>
        <v>EOLIEN</v>
      </c>
      <c r="E9" s="233">
        <f>VLOOKUP(OPX_LE3!$A9,Tableau106[],4,FALSE)</f>
        <v>16.95</v>
      </c>
      <c r="F9" s="232" t="str">
        <f>VLOOKUP(OPX_LE3!$A9,Tableau106[],5,FALSE)</f>
        <v>ALVI</v>
      </c>
      <c r="G9" s="232" t="str">
        <f>VLOOKUP(OPX_LE3!$A9,Tableau106[],7,FALSE)</f>
        <v>GROUPE</v>
      </c>
      <c r="H9" s="232" t="str">
        <f>VLOOKUP(OPX_LE3!$A9,Tableau106[],6,FALSE)</f>
        <v>N</v>
      </c>
      <c r="I9" s="232" t="str">
        <f>VLOOKUP(OPX_LE3!$A9,Tableau106[],9,FALSE)</f>
        <v>AyB</v>
      </c>
      <c r="J9" s="254">
        <v>-10387</v>
      </c>
      <c r="K9" s="228">
        <v>-4670</v>
      </c>
      <c r="L9" s="228"/>
      <c r="M9" s="229">
        <v>0</v>
      </c>
      <c r="N9" s="229">
        <v>0</v>
      </c>
      <c r="O9" s="229">
        <v>0</v>
      </c>
      <c r="P9" s="229">
        <f>-440*Tableau16[[#This Row],[MW]]</f>
        <v>-7458</v>
      </c>
      <c r="Q9" s="229">
        <f>-250*OPX_LE3!$E9</f>
        <v>-4237.5</v>
      </c>
      <c r="R9" s="311">
        <f>SUM(OPX_LE3!$K9:$Q9)</f>
        <v>-16365.5</v>
      </c>
      <c r="S9" s="337">
        <v>-257000</v>
      </c>
      <c r="T9" s="361">
        <v>0</v>
      </c>
      <c r="U9" s="362">
        <v>0</v>
      </c>
      <c r="V9" s="361">
        <v>-1800</v>
      </c>
      <c r="W9" s="361">
        <v>-3050</v>
      </c>
      <c r="X9" s="361">
        <v>-40000</v>
      </c>
      <c r="Y9" s="361">
        <v>0</v>
      </c>
      <c r="Z9" s="264">
        <f>-250*Tableau16[[#This Row],[MW]]</f>
        <v>-4237.5</v>
      </c>
      <c r="AA9" s="423"/>
      <c r="AB9" s="273">
        <f>SUM(OPX_LE3!$T9:$AA9)</f>
        <v>-49087.5</v>
      </c>
      <c r="AC9" s="426"/>
      <c r="AD9" s="426"/>
      <c r="AE9" s="417">
        <v>-5335</v>
      </c>
      <c r="AF9" s="417">
        <v>-13305</v>
      </c>
      <c r="AG9" s="417">
        <v>-30187.5</v>
      </c>
      <c r="AH9" s="417">
        <v>0</v>
      </c>
      <c r="AI9" s="417">
        <v>0</v>
      </c>
      <c r="AJ9" s="317">
        <f>SUM(OPX_LE3!$AC9:$AI9)</f>
        <v>-48827.5</v>
      </c>
      <c r="AK9" s="424">
        <v>-13000</v>
      </c>
      <c r="AL9" s="276">
        <f>SUM(OPX_LE3!$J9,OPX_LE3!$AB9,OPX_LE3!$S9,OPX_LE3!$AJ9,OPX_LE3!$R9,OPX_LE3!$AK9)</f>
        <v>-394667.5</v>
      </c>
      <c r="AM9" s="427">
        <v>0</v>
      </c>
      <c r="AN9" s="427">
        <v>0</v>
      </c>
    </row>
    <row r="10" spans="1:41" ht="14.65" customHeight="1">
      <c r="A10" s="323" t="s">
        <v>530</v>
      </c>
      <c r="B10" s="322" t="str">
        <f>VLOOKUP(OPX_LE3!$A10,Tableau106[],3,FALSE)</f>
        <v>A109</v>
      </c>
      <c r="C10" s="322" t="str">
        <f>VLOOKUP(OPX_LE3!$A10,Tableau106[],2,FALSE)</f>
        <v>FR15E01E</v>
      </c>
      <c r="D10" s="322" t="str">
        <f>VLOOKUP(OPX_LE3!$A10,Tableau106[],8,FALSE)</f>
        <v>EOLIEN</v>
      </c>
      <c r="E10" s="324">
        <f>VLOOKUP(OPX_LE3!$A10,Tableau106[],4,FALSE)</f>
        <v>12</v>
      </c>
      <c r="F10" s="322" t="str">
        <f>VLOOKUP(OPX_LE3!$A10,Tableau106[],5,FALSE)</f>
        <v>ALLA</v>
      </c>
      <c r="G10" s="322" t="str">
        <f>VLOOKUP(OPX_LE3!$A10,Tableau106[],7,FALSE)</f>
        <v>FUTUREN</v>
      </c>
      <c r="H10" s="322" t="str">
        <f>VLOOKUP(OPX_LE3!$A10,Tableau106[],6,FALSE)</f>
        <v>S</v>
      </c>
      <c r="I10" s="322" t="str">
        <f>VLOOKUP(OPX_LE3!$A10,Tableau106[],9,FALSE)</f>
        <v>AuE</v>
      </c>
      <c r="J10" s="254">
        <v>-76855</v>
      </c>
      <c r="K10" s="228">
        <v>-11050</v>
      </c>
      <c r="L10" s="228"/>
      <c r="M10" s="229">
        <v>0</v>
      </c>
      <c r="N10" s="229">
        <v>0</v>
      </c>
      <c r="O10" s="229">
        <v>0</v>
      </c>
      <c r="P10" s="229">
        <v>-5280</v>
      </c>
      <c r="Q10" s="229">
        <f>-250*OPX_LE3!$E10</f>
        <v>-3000</v>
      </c>
      <c r="R10" s="311">
        <f>SUM(OPX_LE3!$K10:$Q10)</f>
        <v>-19330</v>
      </c>
      <c r="S10" s="337">
        <f>-267979</f>
        <v>-267979</v>
      </c>
      <c r="T10" s="361">
        <v>-1800</v>
      </c>
      <c r="U10" s="362">
        <v>0</v>
      </c>
      <c r="V10" s="361">
        <v>-2000</v>
      </c>
      <c r="W10" s="361">
        <v>0</v>
      </c>
      <c r="X10" s="361">
        <v>0</v>
      </c>
      <c r="Y10" s="361">
        <v>0</v>
      </c>
      <c r="Z10" s="264">
        <v>-3000</v>
      </c>
      <c r="AA10" s="423">
        <f>-(0.2*CA_LE3!M5)/100</f>
        <v>-4937.9256206400005</v>
      </c>
      <c r="AB10" s="273">
        <f>SUM(OPX_LE3!$T10:$AA10)</f>
        <v>-11737.92562064</v>
      </c>
      <c r="AC10" s="426">
        <v>-11500</v>
      </c>
      <c r="AD10" s="426"/>
      <c r="AE10" s="417"/>
      <c r="AF10" s="417"/>
      <c r="AG10" s="417">
        <v>-22425</v>
      </c>
      <c r="AH10" s="417">
        <v>0</v>
      </c>
      <c r="AI10" s="417">
        <v>0</v>
      </c>
      <c r="AJ10" s="317">
        <f>SUM(OPX_LE3!$AC10:$AI10)</f>
        <v>-33925</v>
      </c>
      <c r="AK10" s="424">
        <v>-20000</v>
      </c>
      <c r="AL10" s="276">
        <f>SUM(OPX_LE3!$J10,OPX_LE3!$AB10,OPX_LE3!$S10,OPX_LE3!$AJ10,OPX_LE3!$R10,OPX_LE3!$AK10)</f>
        <v>-429826.92562063999</v>
      </c>
      <c r="AM10" s="427">
        <f>((-(150000/2)-25000)*-1)*-1</f>
        <v>-100000</v>
      </c>
      <c r="AN10" s="427">
        <v>0</v>
      </c>
      <c r="AO10" s="6" t="s">
        <v>870</v>
      </c>
    </row>
    <row r="11" spans="1:41" ht="15">
      <c r="A11" s="244" t="s">
        <v>440</v>
      </c>
      <c r="B11" s="232" t="str">
        <f>VLOOKUP(OPX_LE3!$A11,Tableau106[],3,FALSE)</f>
        <v>A353</v>
      </c>
      <c r="C11" s="232" t="str">
        <f>VLOOKUP(OPX_LE3!$A11,Tableau106[],2,FALSE)</f>
        <v>FR33S12E</v>
      </c>
      <c r="D11" s="232" t="str">
        <f>VLOOKUP(OPX_LE3!$A11,Tableau106[],8,FALSE)</f>
        <v>SOLAIRE</v>
      </c>
      <c r="E11" s="233">
        <f>VLOOKUP(OPX_LE3!$A11,Tableau106[],4,FALSE)</f>
        <v>9.6999999999999993</v>
      </c>
      <c r="F11" s="232" t="str">
        <f>VLOOKUP(OPX_LE3!$A11,Tableau106[],5,FALSE)</f>
        <v>AMBE</v>
      </c>
      <c r="G11" s="232" t="str">
        <f>VLOOKUP(OPX_LE3!$A11,Tableau106[],7,FALSE)</f>
        <v>GROUPE</v>
      </c>
      <c r="H11" s="232" t="str">
        <f>VLOOKUP(OPX_LE3!$A11,Tableau106[],6,FALSE)</f>
        <v>S</v>
      </c>
      <c r="I11" s="232" t="str">
        <f>VLOOKUP(OPX_LE3!$A11,Tableau106[],9,FALSE)</f>
        <v>BaA</v>
      </c>
      <c r="J11" s="254">
        <v>-83423</v>
      </c>
      <c r="K11" s="228">
        <v>-5060.0000000000009</v>
      </c>
      <c r="L11" s="228"/>
      <c r="M11" s="229">
        <v>0</v>
      </c>
      <c r="N11" s="229">
        <v>0</v>
      </c>
      <c r="O11" s="385">
        <v>-1700</v>
      </c>
      <c r="P11" s="229">
        <v>0</v>
      </c>
      <c r="Q11" s="229">
        <v>-1800</v>
      </c>
      <c r="R11" s="311">
        <f>SUM(OPX_LE3!$K11:$Q11)</f>
        <v>-8560</v>
      </c>
      <c r="S11" s="337">
        <v>0</v>
      </c>
      <c r="T11" s="361">
        <v>0</v>
      </c>
      <c r="U11" s="362">
        <v>0</v>
      </c>
      <c r="V11" s="361">
        <v>0</v>
      </c>
      <c r="W11" s="361">
        <v>0</v>
      </c>
      <c r="X11" s="361">
        <v>0</v>
      </c>
      <c r="Y11" s="361">
        <v>0</v>
      </c>
      <c r="Z11" s="264">
        <v>-2425</v>
      </c>
      <c r="AA11" s="423"/>
      <c r="AB11" s="273">
        <f>SUM(OPX_LE3!$T11:$AA11)</f>
        <v>-2425</v>
      </c>
      <c r="AC11" s="426"/>
      <c r="AD11" s="426">
        <v>0</v>
      </c>
      <c r="AE11" s="417">
        <v>0</v>
      </c>
      <c r="AF11" s="417">
        <v>0</v>
      </c>
      <c r="AG11" s="417">
        <v>0</v>
      </c>
      <c r="AH11" s="417">
        <v>0</v>
      </c>
      <c r="AI11" s="417">
        <v>0</v>
      </c>
      <c r="AJ11" s="317">
        <f>SUM(OPX_LE3!$AC11:$AI11)</f>
        <v>0</v>
      </c>
      <c r="AK11" s="424">
        <v>-972</v>
      </c>
      <c r="AL11" s="276">
        <f>SUM(OPX_LE3!$J11,OPX_LE3!$AB11,OPX_LE3!$S11,OPX_LE3!$AJ11,OPX_LE3!$R11,OPX_LE3!$AK11)</f>
        <v>-95380</v>
      </c>
      <c r="AM11" s="427">
        <v>0</v>
      </c>
      <c r="AN11" s="427">
        <v>0</v>
      </c>
    </row>
    <row r="12" spans="1:41" ht="15">
      <c r="A12" s="325" t="s">
        <v>479</v>
      </c>
      <c r="B12" s="322" t="str">
        <f>VLOOKUP(OPX_LE3!$A12,Tableau106[],3,FALSE)</f>
        <v>A541</v>
      </c>
      <c r="C12" s="322" t="str">
        <f>VLOOKUP(OPX_LE3!$A12,Tableau106[],2,FALSE)</f>
        <v>FR57E04E</v>
      </c>
      <c r="D12" s="322" t="str">
        <f>VLOOKUP(OPX_LE3!$A12,Tableau106[],8,FALSE)</f>
        <v>EOLIEN</v>
      </c>
      <c r="E12" s="324">
        <f>VLOOKUP(OPX_LE3!$A12,Tableau106[],4,FALSE)</f>
        <v>12</v>
      </c>
      <c r="F12" s="322" t="str">
        <f>VLOOKUP(OPX_LE3!$A12,Tableau106[],5,FALSE)</f>
        <v>AMEL</v>
      </c>
      <c r="G12" s="322" t="str">
        <f>VLOOKUP(OPX_LE3!$A12,Tableau106[],7,FALSE)</f>
        <v>EGM</v>
      </c>
      <c r="H12" s="322" t="str">
        <f>VLOOKUP(OPX_LE3!$A12,Tableau106[],6,FALSE)</f>
        <v>N</v>
      </c>
      <c r="I12" s="322" t="str">
        <f>VLOOKUP(OPX_LE3!$A12,Tableau106[],9,FALSE)</f>
        <v>NoS</v>
      </c>
      <c r="J12" s="254">
        <v>-309548</v>
      </c>
      <c r="K12" s="228">
        <v>-230000</v>
      </c>
      <c r="L12" s="228"/>
      <c r="M12" s="229">
        <v>0</v>
      </c>
      <c r="N12" s="229">
        <v>0</v>
      </c>
      <c r="O12" s="229">
        <v>0</v>
      </c>
      <c r="P12" s="229">
        <v>-4200</v>
      </c>
      <c r="Q12" s="229">
        <f>-250*OPX_LE3!$E12</f>
        <v>-3000</v>
      </c>
      <c r="R12" s="311">
        <f>SUM(OPX_LE3!$K12:$Q12)</f>
        <v>-237200</v>
      </c>
      <c r="S12" s="337">
        <v>0</v>
      </c>
      <c r="T12" s="361">
        <v>0</v>
      </c>
      <c r="U12" s="362">
        <v>0</v>
      </c>
      <c r="V12" s="361">
        <v>-2000</v>
      </c>
      <c r="W12" s="361">
        <v>0</v>
      </c>
      <c r="X12" s="361">
        <v>0</v>
      </c>
      <c r="Y12" s="361">
        <v>0</v>
      </c>
      <c r="Z12" s="264">
        <f>-3750-3000</f>
        <v>-6750</v>
      </c>
      <c r="AA12" s="423"/>
      <c r="AB12" s="273">
        <f>SUM(OPX_LE3!$T12:$AA12)</f>
        <v>-8750</v>
      </c>
      <c r="AC12" s="426"/>
      <c r="AD12" s="426"/>
      <c r="AE12" s="417">
        <v>0</v>
      </c>
      <c r="AF12" s="417">
        <v>0</v>
      </c>
      <c r="AG12" s="417">
        <v>0</v>
      </c>
      <c r="AH12" s="417">
        <v>0</v>
      </c>
      <c r="AI12" s="417">
        <v>0</v>
      </c>
      <c r="AJ12" s="317">
        <f>SUM(OPX_LE3!$AC12:$AI12)</f>
        <v>0</v>
      </c>
      <c r="AK12" s="424">
        <v>0</v>
      </c>
      <c r="AL12" s="276">
        <f>SUM(OPX_LE3!$J12,OPX_LE3!$AB12,OPX_LE3!$S12,OPX_LE3!$AJ12,OPX_LE3!$R12,OPX_LE3!$AK12)</f>
        <v>-555498</v>
      </c>
      <c r="AM12" s="427">
        <v>0</v>
      </c>
      <c r="AN12" s="427">
        <v>-64534</v>
      </c>
      <c r="AO12" s="6" t="s">
        <v>1547</v>
      </c>
    </row>
    <row r="13" spans="1:41" ht="15">
      <c r="A13" s="244" t="s">
        <v>508</v>
      </c>
      <c r="B13" s="232" t="str">
        <f>VLOOKUP(OPX_LE3!$A13,Tableau106[],3,FALSE)</f>
        <v>F245</v>
      </c>
      <c r="C13" s="232" t="str">
        <f>VLOOKUP(OPX_LE3!$A13,Tableau106[],2,FALSE)</f>
        <v>FR17E07E</v>
      </c>
      <c r="D13" s="232" t="str">
        <f>VLOOKUP(OPX_LE3!$A13,Tableau106[],8,FALSE)</f>
        <v>EOLIEN</v>
      </c>
      <c r="E13" s="233">
        <f>VLOOKUP(OPX_LE3!$A13,Tableau106[],4,FALSE)</f>
        <v>12</v>
      </c>
      <c r="F13" s="232" t="str">
        <f>VLOOKUP(OPX_LE3!$A13,Tableau106[],5,FALSE)</f>
        <v>ANPA</v>
      </c>
      <c r="G13" s="232" t="str">
        <f>VLOOKUP(OPX_LE3!$A13,Tableau106[],7,FALSE)</f>
        <v>FUTUREN</v>
      </c>
      <c r="H13" s="232" t="s">
        <v>871</v>
      </c>
      <c r="I13" s="232" t="str">
        <f>VLOOKUP(OPX_LE3!$A13,Tableau106[],9,FALSE)</f>
        <v>KéC</v>
      </c>
      <c r="J13" s="254">
        <v>0</v>
      </c>
      <c r="K13" s="228">
        <v>0</v>
      </c>
      <c r="L13" s="234"/>
      <c r="M13" s="229">
        <v>0</v>
      </c>
      <c r="N13" s="229">
        <v>0</v>
      </c>
      <c r="O13" s="229">
        <v>0</v>
      </c>
      <c r="P13" s="229">
        <v>-5752</v>
      </c>
      <c r="Q13" s="229">
        <f>-250*OPX_LE3!$E13</f>
        <v>-3000</v>
      </c>
      <c r="R13" s="311">
        <f>SUM(OPX_LE3!$K13:$Q13)</f>
        <v>-8752</v>
      </c>
      <c r="S13" s="337">
        <f>-35000*4-22889.448*0.8-4257.5</f>
        <v>-162569.05840000001</v>
      </c>
      <c r="T13" s="361">
        <v>0</v>
      </c>
      <c r="U13" s="362">
        <v>0</v>
      </c>
      <c r="V13" s="377">
        <v>-5000</v>
      </c>
      <c r="W13" s="361">
        <f>-4*300</f>
        <v>-1200</v>
      </c>
      <c r="X13" s="361">
        <v>0</v>
      </c>
      <c r="Y13" s="433">
        <f>-3233.15*1.03</f>
        <v>-3330.1445000000003</v>
      </c>
      <c r="Z13" s="264">
        <v>-3000</v>
      </c>
      <c r="AA13" s="379">
        <f>-0.002*CA_LE3!M8</f>
        <v>-3930.5227152480002</v>
      </c>
      <c r="AB13" s="273">
        <f>SUM(OPX_LE3!$T13:$AA13)</f>
        <v>-16460.667215248002</v>
      </c>
      <c r="AC13" s="426"/>
      <c r="AD13" s="426"/>
      <c r="AE13" s="417">
        <v>-6685</v>
      </c>
      <c r="AF13" s="417">
        <v>-19936</v>
      </c>
      <c r="AG13" s="417">
        <v>-27447</v>
      </c>
      <c r="AH13" s="417">
        <v>0</v>
      </c>
      <c r="AI13" s="417">
        <v>-10000</v>
      </c>
      <c r="AJ13" s="317">
        <f>SUM(OPX_LE3!$AC13:$AI13)</f>
        <v>-64068</v>
      </c>
      <c r="AK13" s="424">
        <v>-7000</v>
      </c>
      <c r="AL13" s="276">
        <f>SUM(OPX_LE3!$J13,OPX_LE3!$AB13,OPX_LE3!$S13,OPX_LE3!$AJ13,OPX_LE3!$R13,OPX_LE3!$AK13)</f>
        <v>-258849.72561524803</v>
      </c>
      <c r="AM13" s="427">
        <v>0</v>
      </c>
      <c r="AN13" s="427">
        <v>0</v>
      </c>
    </row>
    <row r="14" spans="1:41" ht="15">
      <c r="A14" s="325" t="s">
        <v>444</v>
      </c>
      <c r="B14" s="322" t="str">
        <f>VLOOKUP(OPX_LE3!$A14,Tableau106[],3,FALSE)</f>
        <v>A353</v>
      </c>
      <c r="C14" s="322" t="str">
        <f>VLOOKUP(OPX_LE3!$A14,Tableau106[],2,FALSE)</f>
        <v>FR30S13E</v>
      </c>
      <c r="D14" s="322" t="str">
        <f>VLOOKUP(OPX_LE3!$A14,Tableau106[],8,FALSE)</f>
        <v>SOLAIRE</v>
      </c>
      <c r="E14" s="324">
        <f>VLOOKUP(OPX_LE3!$A14,Tableau106[],4,FALSE)</f>
        <v>5</v>
      </c>
      <c r="F14" s="322" t="str">
        <f>VLOOKUP(OPX_LE3!$A14,Tableau106[],5,FALSE)</f>
        <v>ARAM</v>
      </c>
      <c r="G14" s="322" t="str">
        <f>VLOOKUP(OPX_LE3!$A14,Tableau106[],7,FALSE)</f>
        <v>GROUPE</v>
      </c>
      <c r="H14" s="322" t="str">
        <f>VLOOKUP(OPX_LE3!$A14,Tableau106[],6,FALSE)</f>
        <v>S</v>
      </c>
      <c r="I14" s="322" t="str">
        <f>VLOOKUP(OPX_LE3!$A14,Tableau106[],9,FALSE)</f>
        <v>ArB</v>
      </c>
      <c r="J14" s="254">
        <v>-60184</v>
      </c>
      <c r="K14" s="228">
        <v>-6500</v>
      </c>
      <c r="L14" s="228"/>
      <c r="M14" s="229">
        <v>0</v>
      </c>
      <c r="N14" s="229">
        <v>0</v>
      </c>
      <c r="O14" s="229">
        <v>0</v>
      </c>
      <c r="P14" s="229">
        <v>0</v>
      </c>
      <c r="Q14" s="229">
        <f>-250*OPX_LE3!$E14</f>
        <v>-1250</v>
      </c>
      <c r="R14" s="311">
        <f>SUM(OPX_LE3!$K14:$Q14)</f>
        <v>-7750</v>
      </c>
      <c r="S14" s="337">
        <v>0</v>
      </c>
      <c r="T14" s="361">
        <v>0</v>
      </c>
      <c r="U14" s="362">
        <v>0</v>
      </c>
      <c r="V14" s="361">
        <v>-20000</v>
      </c>
      <c r="W14" s="361">
        <v>0</v>
      </c>
      <c r="X14" s="361">
        <v>0</v>
      </c>
      <c r="Y14" s="361">
        <v>0</v>
      </c>
      <c r="Z14" s="264">
        <v>-1250</v>
      </c>
      <c r="AA14" s="423">
        <v>-700</v>
      </c>
      <c r="AB14" s="273">
        <f>SUM(OPX_LE3!$T14:$AA14)</f>
        <v>-21950</v>
      </c>
      <c r="AC14" s="426"/>
      <c r="AD14" s="426">
        <v>0</v>
      </c>
      <c r="AE14" s="417">
        <v>0</v>
      </c>
      <c r="AF14" s="417">
        <v>0</v>
      </c>
      <c r="AG14" s="417">
        <v>0</v>
      </c>
      <c r="AH14" s="417">
        <v>0</v>
      </c>
      <c r="AI14" s="417">
        <v>0</v>
      </c>
      <c r="AJ14" s="317">
        <f>SUM(OPX_LE3!$AC14:$AI14)</f>
        <v>0</v>
      </c>
      <c r="AK14" s="424">
        <v>-3000</v>
      </c>
      <c r="AL14" s="276">
        <f>SUM(OPX_LE3!$J14,OPX_LE3!$AB14,OPX_LE3!$S14,OPX_LE3!$AJ14,OPX_LE3!$R14,OPX_LE3!$AK14)</f>
        <v>-92884</v>
      </c>
      <c r="AM14" s="427">
        <v>0</v>
      </c>
      <c r="AN14" s="427">
        <v>0</v>
      </c>
    </row>
    <row r="15" spans="1:41" ht="15">
      <c r="A15" s="325" t="s">
        <v>776</v>
      </c>
      <c r="B15" s="330" t="str">
        <f>VLOOKUP(OPX_LE3!$A15,Tableau106[],3,FALSE)</f>
        <v>A252</v>
      </c>
      <c r="C15" s="330" t="str">
        <f>VLOOKUP(OPX_LE3!$A15,Tableau106[],2,FALSE)</f>
        <v>FR30S15E</v>
      </c>
      <c r="D15" s="330" t="str">
        <f>VLOOKUP(OPX_LE3!$A15,Tableau106[],8,FALSE)</f>
        <v>SOLAIRE</v>
      </c>
      <c r="E15" s="331">
        <f>VLOOKUP(OPX_LE3!$A15,Tableau106[],4,FALSE)</f>
        <v>4.0999999999999996</v>
      </c>
      <c r="F15" s="330" t="str">
        <f>VLOOKUP(OPX_LE3!$A15,Tableau106[],5,FALSE)</f>
        <v>ARSA</v>
      </c>
      <c r="G15" s="330" t="str">
        <f>VLOOKUP(OPX_LE3!$A15,Tableau106[],7,FALSE)</f>
        <v>GROUPE</v>
      </c>
      <c r="H15" s="330" t="str">
        <f>VLOOKUP(OPX_LE3!$A15,Tableau106[],6,FALSE)</f>
        <v>S</v>
      </c>
      <c r="I15" s="330" t="str">
        <f>VLOOKUP(OPX_LE3!$A15,Tableau106[],9,FALSE)</f>
        <v>ArB</v>
      </c>
      <c r="J15" s="332">
        <v>-32000</v>
      </c>
      <c r="K15" s="228">
        <v>0</v>
      </c>
      <c r="L15" s="228"/>
      <c r="M15" s="229">
        <v>0</v>
      </c>
      <c r="N15" s="229">
        <v>0</v>
      </c>
      <c r="O15" s="229">
        <v>0</v>
      </c>
      <c r="P15" s="229">
        <v>0</v>
      </c>
      <c r="Q15" s="229">
        <f>-250*OPX_LE3!$E15-3200</f>
        <v>-4225</v>
      </c>
      <c r="R15" s="311">
        <f>SUM(OPX_LE3!$K15:$Q15)</f>
        <v>-4225</v>
      </c>
      <c r="S15" s="388"/>
      <c r="T15" s="376"/>
      <c r="U15" s="396"/>
      <c r="V15" s="376"/>
      <c r="W15" s="376"/>
      <c r="X15" s="376"/>
      <c r="Y15" s="376"/>
      <c r="Z15" s="390"/>
      <c r="AA15" s="434"/>
      <c r="AB15" s="391">
        <f>SUM(OPX_LE3!$T15:$AA15)</f>
        <v>0</v>
      </c>
      <c r="AC15" s="426">
        <v>0</v>
      </c>
      <c r="AD15" s="426">
        <v>0</v>
      </c>
      <c r="AE15" s="417"/>
      <c r="AF15" s="417"/>
      <c r="AG15" s="417"/>
      <c r="AH15" s="417">
        <v>-5700</v>
      </c>
      <c r="AI15" s="417"/>
      <c r="AJ15" s="317">
        <f>SUM(OPX_LE3!$AC15:$AI15)</f>
        <v>-5700</v>
      </c>
      <c r="AK15" s="429"/>
      <c r="AL15" s="276">
        <f>SUM(OPX_LE3!$J15,OPX_LE3!$AB15,OPX_LE3!$S15,OPX_LE3!$AJ15,OPX_LE3!$R15,OPX_LE3!$AK15)</f>
        <v>-41925</v>
      </c>
      <c r="AM15" s="427">
        <v>0</v>
      </c>
      <c r="AN15" s="427">
        <v>0</v>
      </c>
    </row>
    <row r="16" spans="1:41" ht="15">
      <c r="A16" s="244" t="s">
        <v>445</v>
      </c>
      <c r="B16" s="232" t="str">
        <f>VLOOKUP(OPX_LE3!$A16,Tableau106[],3,FALSE)</f>
        <v>A353</v>
      </c>
      <c r="C16" s="232" t="str">
        <f>VLOOKUP(OPX_LE3!$A16,Tableau106[],2,FALSE)</f>
        <v>FR64S01E</v>
      </c>
      <c r="D16" s="232" t="str">
        <f>VLOOKUP(OPX_LE3!$A16,Tableau106[],8,FALSE)</f>
        <v>SOLAIRE</v>
      </c>
      <c r="E16" s="233">
        <f>VLOOKUP(OPX_LE3!$A16,Tableau106[],4,FALSE)</f>
        <v>4.2</v>
      </c>
      <c r="F16" s="232" t="str">
        <f>VLOOKUP(OPX_LE3!$A16,Tableau106[],5,FALSE)</f>
        <v>ARTI</v>
      </c>
      <c r="G16" s="232" t="str">
        <f>VLOOKUP(OPX_LE3!$A16,Tableau106[],7,FALSE)</f>
        <v>GROUPE</v>
      </c>
      <c r="H16" s="232" t="str">
        <f>VLOOKUP(OPX_LE3!$A16,Tableau106[],6,FALSE)</f>
        <v>S</v>
      </c>
      <c r="I16" s="232" t="str">
        <f>VLOOKUP(OPX_LE3!$A16,Tableau106[],9,FALSE)</f>
        <v>BaA</v>
      </c>
      <c r="J16" s="254">
        <v>-36065</v>
      </c>
      <c r="K16" s="228">
        <v>-6130</v>
      </c>
      <c r="L16" s="228"/>
      <c r="M16" s="229">
        <v>0</v>
      </c>
      <c r="N16" s="229">
        <v>0</v>
      </c>
      <c r="O16" s="229">
        <v>0</v>
      </c>
      <c r="P16" s="229">
        <v>0</v>
      </c>
      <c r="Q16" s="229">
        <v>-6000</v>
      </c>
      <c r="R16" s="311">
        <f>SUM(OPX_LE3!$K16:$Q16)</f>
        <v>-12130</v>
      </c>
      <c r="S16" s="337">
        <v>0</v>
      </c>
      <c r="T16" s="361">
        <v>0</v>
      </c>
      <c r="U16" s="362">
        <v>0</v>
      </c>
      <c r="V16" s="361">
        <v>0</v>
      </c>
      <c r="W16" s="361">
        <v>0</v>
      </c>
      <c r="X16" s="361">
        <v>0</v>
      </c>
      <c r="Y16" s="361">
        <v>0</v>
      </c>
      <c r="Z16" s="264">
        <v>-1050</v>
      </c>
      <c r="AA16" s="423"/>
      <c r="AB16" s="273">
        <f>SUM(OPX_LE3!$T16:$AA16)</f>
        <v>-1050</v>
      </c>
      <c r="AC16" s="426"/>
      <c r="AD16" s="426">
        <v>0</v>
      </c>
      <c r="AE16" s="417">
        <v>0</v>
      </c>
      <c r="AF16" s="417">
        <v>0</v>
      </c>
      <c r="AG16" s="417">
        <v>0</v>
      </c>
      <c r="AH16" s="417">
        <v>0</v>
      </c>
      <c r="AI16" s="417">
        <v>0</v>
      </c>
      <c r="AJ16" s="317">
        <f>SUM(OPX_LE3!$AC16:$AI16)</f>
        <v>0</v>
      </c>
      <c r="AK16" s="424">
        <v>0</v>
      </c>
      <c r="AL16" s="276">
        <f>SUM(OPX_LE3!$J16,OPX_LE3!$AB16,OPX_LE3!$S16,OPX_LE3!$AJ16,OPX_LE3!$R16,OPX_LE3!$AK16)</f>
        <v>-49245</v>
      </c>
      <c r="AM16" s="427">
        <v>0</v>
      </c>
      <c r="AN16" s="427">
        <v>0</v>
      </c>
    </row>
    <row r="17" spans="1:41" ht="15">
      <c r="A17" s="325" t="s">
        <v>571</v>
      </c>
      <c r="B17" s="322" t="str">
        <f>VLOOKUP(OPX_LE3!$A17,Tableau106[],3,FALSE)</f>
        <v>A084</v>
      </c>
      <c r="C17" s="322" t="str">
        <f>VLOOKUP(OPX_LE3!$A17,Tableau106[],2,FALSE)</f>
        <v>FR34E93E</v>
      </c>
      <c r="D17" s="322" t="str">
        <f>VLOOKUP(OPX_LE3!$A17,Tableau106[],8,FALSE)</f>
        <v>EOLIEN</v>
      </c>
      <c r="E17" s="324">
        <f>VLOOKUP(OPX_LE3!$A17,Tableau106[],4,FALSE)</f>
        <v>14</v>
      </c>
      <c r="F17" s="322" t="str">
        <f>VLOOKUP(OPX_LE3!$A17,Tableau106[],5,FALSE)</f>
        <v>AUM3</v>
      </c>
      <c r="G17" s="322" t="str">
        <f>VLOOKUP(OPX_LE3!$A17,Tableau106[],7,FALSE)</f>
        <v>FUTUREN</v>
      </c>
      <c r="H17" s="322" t="str">
        <f>VLOOKUP(OPX_LE3!$A17,Tableau106[],6,FALSE)</f>
        <v>S</v>
      </c>
      <c r="I17" s="322" t="str">
        <f>VLOOKUP(OPX_LE3!$A17,Tableau106[],9,FALSE)</f>
        <v>KéD</v>
      </c>
      <c r="J17" s="254">
        <v>-417103</v>
      </c>
      <c r="K17" s="228">
        <v>-162320</v>
      </c>
      <c r="L17" s="228"/>
      <c r="M17" s="229">
        <v>0</v>
      </c>
      <c r="N17" s="229">
        <v>0</v>
      </c>
      <c r="O17" s="229">
        <v>0</v>
      </c>
      <c r="P17" s="229">
        <v>-4900</v>
      </c>
      <c r="Q17" s="229">
        <f>-250*OPX_LE3!$E17</f>
        <v>-3500</v>
      </c>
      <c r="R17" s="311">
        <f>SUM(OPX_LE3!$K17:$Q17)</f>
        <v>-170720</v>
      </c>
      <c r="S17" s="337">
        <v>0</v>
      </c>
      <c r="T17" s="361">
        <v>0</v>
      </c>
      <c r="U17" s="362">
        <v>0</v>
      </c>
      <c r="V17" s="361">
        <f>-(5428+5000)</f>
        <v>-10428</v>
      </c>
      <c r="W17" s="361">
        <v>0</v>
      </c>
      <c r="X17" s="361">
        <v>0</v>
      </c>
      <c r="Y17" s="361">
        <v>0</v>
      </c>
      <c r="Z17" s="264">
        <f>-3750-3500</f>
        <v>-7250</v>
      </c>
      <c r="AA17" s="423">
        <v>-12000</v>
      </c>
      <c r="AB17" s="273">
        <f>SUM(OPX_LE3!$T17:$AA17)</f>
        <v>-29678</v>
      </c>
      <c r="AC17" s="418">
        <f>-((6184*7)+1500)</f>
        <v>-44788</v>
      </c>
      <c r="AD17" s="426"/>
      <c r="AE17" s="417">
        <v>-64131</v>
      </c>
      <c r="AF17" s="417">
        <v>0</v>
      </c>
      <c r="AG17" s="417">
        <v>-35374.5</v>
      </c>
      <c r="AH17" s="417"/>
      <c r="AI17" s="417">
        <v>0</v>
      </c>
      <c r="AJ17" s="317">
        <f>SUM(OPX_LE3!$AC17:$AI17)</f>
        <v>-144293.5</v>
      </c>
      <c r="AK17" s="424"/>
      <c r="AL17" s="276">
        <f>SUM(OPX_LE3!$J17,OPX_LE3!$AB17,OPX_LE3!$S17,OPX_LE3!$AJ17,OPX_LE3!$R17,OPX_LE3!$AK17)</f>
        <v>-761794.5</v>
      </c>
      <c r="AM17" s="427">
        <v>0</v>
      </c>
      <c r="AN17" s="427">
        <v>0</v>
      </c>
    </row>
    <row r="18" spans="1:41" ht="15">
      <c r="A18" s="244" t="s">
        <v>494</v>
      </c>
      <c r="B18" s="232" t="str">
        <f>VLOOKUP(OPX_LE3!$A18,Tableau106[],3,FALSE)</f>
        <v>A530</v>
      </c>
      <c r="C18" s="232" t="str">
        <f>VLOOKUP(OPX_LE3!$A18,Tableau106[],2,FALSE)</f>
        <v>FR57E01E</v>
      </c>
      <c r="D18" s="232" t="str">
        <f>VLOOKUP(OPX_LE3!$A18,Tableau106[],8,FALSE)</f>
        <v>EOLIEN</v>
      </c>
      <c r="E18" s="233">
        <f>VLOOKUP(OPX_LE3!$A18,Tableau106[],4,FALSE)</f>
        <v>12</v>
      </c>
      <c r="F18" s="232" t="str">
        <f>VLOOKUP(OPX_LE3!$A18,Tableau106[],5,FALSE)</f>
        <v>BAMB</v>
      </c>
      <c r="G18" s="232" t="str">
        <f>VLOOKUP(OPX_LE3!$A18,Tableau106[],7,FALSE)</f>
        <v>GROUPE</v>
      </c>
      <c r="H18" s="232" t="str">
        <f>VLOOKUP(OPX_LE3!$A18,Tableau106[],6,FALSE)</f>
        <v>N</v>
      </c>
      <c r="I18" s="232" t="str">
        <f>VLOOKUP(OPX_LE3!$A18,Tableau106[],9,FALSE)</f>
        <v>HuB</v>
      </c>
      <c r="J18" s="254">
        <v>-10234</v>
      </c>
      <c r="K18" s="228">
        <v>-920</v>
      </c>
      <c r="L18" s="228"/>
      <c r="M18" s="229">
        <v>0</v>
      </c>
      <c r="N18" s="229">
        <v>0</v>
      </c>
      <c r="O18" s="229">
        <v>0</v>
      </c>
      <c r="P18" s="229">
        <v>0</v>
      </c>
      <c r="Q18" s="229">
        <f>-250*OPX_LE3!$E18</f>
        <v>-3000</v>
      </c>
      <c r="R18" s="311">
        <f>SUM(OPX_LE3!$K18:$Q18)</f>
        <v>-3920</v>
      </c>
      <c r="S18" s="337">
        <v>-377851</v>
      </c>
      <c r="T18" s="361">
        <v>-2600</v>
      </c>
      <c r="U18" s="362">
        <v>0</v>
      </c>
      <c r="V18" s="361">
        <v>-1000</v>
      </c>
      <c r="W18" s="361">
        <v>0</v>
      </c>
      <c r="X18" s="361">
        <v>0</v>
      </c>
      <c r="Y18" s="361">
        <v>0</v>
      </c>
      <c r="Z18" s="264">
        <v>-3000</v>
      </c>
      <c r="AA18" s="423"/>
      <c r="AB18" s="273">
        <f>SUM(OPX_LE3!$T18:$AA18)</f>
        <v>-6600</v>
      </c>
      <c r="AC18" s="426"/>
      <c r="AD18" s="426"/>
      <c r="AE18" s="417">
        <v>0</v>
      </c>
      <c r="AF18" s="417">
        <v>0</v>
      </c>
      <c r="AG18" s="417">
        <v>0</v>
      </c>
      <c r="AH18" s="417">
        <v>0</v>
      </c>
      <c r="AI18" s="417">
        <v>0</v>
      </c>
      <c r="AJ18" s="317">
        <f>SUM(OPX_LE3!$AC18:$AI18)</f>
        <v>0</v>
      </c>
      <c r="AK18" s="424">
        <v>0</v>
      </c>
      <c r="AL18" s="276">
        <f>SUM(OPX_LE3!$J18,OPX_LE3!$AB18,OPX_LE3!$S18,OPX_LE3!$AJ18,OPX_LE3!$R18,OPX_LE3!$AK18)</f>
        <v>-398605</v>
      </c>
      <c r="AM18" s="427">
        <v>0</v>
      </c>
      <c r="AN18" s="427">
        <v>0</v>
      </c>
    </row>
    <row r="19" spans="1:41" ht="15">
      <c r="A19" s="325" t="s">
        <v>535</v>
      </c>
      <c r="B19" s="322" t="str">
        <f>VLOOKUP(OPX_LE3!$A19,Tableau106[],3,FALSE)</f>
        <v>A553</v>
      </c>
      <c r="C19" s="322" t="str">
        <f>VLOOKUP(OPX_LE3!$A19,Tableau106[],2,FALSE)</f>
        <v>FR62E02E</v>
      </c>
      <c r="D19" s="322" t="str">
        <f>VLOOKUP(OPX_LE3!$A19,Tableau106[],8,FALSE)</f>
        <v>EOLIEN</v>
      </c>
      <c r="E19" s="324">
        <f>VLOOKUP(OPX_LE3!$A19,Tableau106[],4,FALSE)</f>
        <v>15</v>
      </c>
      <c r="F19" s="322" t="str">
        <f>VLOOKUP(OPX_LE3!$A19,Tableau106[],5,FALSE)</f>
        <v>SBAP</v>
      </c>
      <c r="G19" s="322" t="str">
        <f>VLOOKUP(OPX_LE3!$A19,Tableau106[],7,FALSE)</f>
        <v>ENDF</v>
      </c>
      <c r="H19" s="322" t="str">
        <f>VLOOKUP(OPX_LE3!$A19,Tableau106[],6,FALSE)</f>
        <v>N</v>
      </c>
      <c r="I19" s="322" t="str">
        <f>VLOOKUP(OPX_LE3!$A19,Tableau106[],9,FALSE)</f>
        <v>NiD</v>
      </c>
      <c r="J19" s="254">
        <v>0</v>
      </c>
      <c r="K19" s="228">
        <v>0</v>
      </c>
      <c r="L19" s="228"/>
      <c r="M19" s="229">
        <v>0</v>
      </c>
      <c r="N19" s="229">
        <v>0</v>
      </c>
      <c r="O19" s="229">
        <v>0</v>
      </c>
      <c r="P19" s="229">
        <v>0</v>
      </c>
      <c r="Q19" s="229">
        <f>-250*OPX_LE3!$E19</f>
        <v>-3750</v>
      </c>
      <c r="R19" s="311">
        <f>SUM(OPX_LE3!$K19:$Q19)</f>
        <v>-3750</v>
      </c>
      <c r="S19" s="337">
        <v>-468629</v>
      </c>
      <c r="T19" s="376">
        <v>-3000</v>
      </c>
      <c r="U19" s="362">
        <v>0</v>
      </c>
      <c r="V19" s="361">
        <v>-25000</v>
      </c>
      <c r="W19" s="361">
        <v>-2500</v>
      </c>
      <c r="X19" s="361">
        <v>0</v>
      </c>
      <c r="Y19" s="361">
        <v>-2000</v>
      </c>
      <c r="Z19" s="264">
        <v>-3750</v>
      </c>
      <c r="AA19" s="423"/>
      <c r="AB19" s="273">
        <f>SUM(OPX_LE3!$U19:$AA19)</f>
        <v>-33250</v>
      </c>
      <c r="AC19" s="426"/>
      <c r="AD19" s="426"/>
      <c r="AE19" s="417">
        <v>0</v>
      </c>
      <c r="AF19" s="417">
        <v>0</v>
      </c>
      <c r="AG19" s="417">
        <v>0</v>
      </c>
      <c r="AH19" s="417">
        <v>0</v>
      </c>
      <c r="AI19" s="417">
        <v>0</v>
      </c>
      <c r="AJ19" s="317">
        <f>SUM(OPX_LE3!$AC19:$AI19)</f>
        <v>0</v>
      </c>
      <c r="AK19" s="424">
        <v>0</v>
      </c>
      <c r="AL19" s="276">
        <f>SUM(OPX_LE3!$J19,OPX_LE3!$AB19,OPX_LE3!$S19,OPX_LE3!$AJ19,OPX_LE3!$R19,OPX_LE3!$AK19)</f>
        <v>-505629</v>
      </c>
      <c r="AM19" s="427">
        <v>-49000</v>
      </c>
      <c r="AN19" s="427">
        <v>0</v>
      </c>
    </row>
    <row r="20" spans="1:41" ht="15">
      <c r="A20" s="244" t="s">
        <v>583</v>
      </c>
      <c r="B20" s="232" t="str">
        <f>VLOOKUP(OPX_LE3!$A20,Tableau106[],3,FALSE)</f>
        <v>A095</v>
      </c>
      <c r="C20" s="232" t="str">
        <f>VLOOKUP(OPX_LE3!$A20,Tableau106[],2,FALSE)</f>
        <v>FR43E99E</v>
      </c>
      <c r="D20" s="232" t="str">
        <f>VLOOKUP(OPX_LE3!$A20,Tableau106[],8,FALSE)</f>
        <v>EOLIEN</v>
      </c>
      <c r="E20" s="233">
        <f>VLOOKUP(OPX_LE3!$A20,Tableau106[],4,FALSE)</f>
        <v>12</v>
      </c>
      <c r="F20" s="232" t="str">
        <f>VLOOKUP(OPX_LE3!$A20,Tableau106[],5,FALSE)</f>
        <v>BARB</v>
      </c>
      <c r="G20" s="232" t="str">
        <f>VLOOKUP(OPX_LE3!$A20,Tableau106[],7,FALSE)</f>
        <v>FUTUREN</v>
      </c>
      <c r="H20" s="232" t="str">
        <f>VLOOKUP(OPX_LE3!$A20,Tableau106[],6,FALSE)</f>
        <v>S</v>
      </c>
      <c r="I20" s="232" t="str">
        <f>VLOOKUP(OPX_LE3!$A20,Tableau106[],9,FALSE)</f>
        <v>OdP</v>
      </c>
      <c r="J20" s="254">
        <v>-12697</v>
      </c>
      <c r="K20" s="228">
        <v>-8280</v>
      </c>
      <c r="L20" s="228"/>
      <c r="M20" s="229">
        <v>0</v>
      </c>
      <c r="N20" s="229">
        <v>0</v>
      </c>
      <c r="O20" s="229">
        <v>-1400</v>
      </c>
      <c r="P20" s="229">
        <v>-6900</v>
      </c>
      <c r="Q20" s="229">
        <f>-250*OPX_LE3!$E20</f>
        <v>-3000</v>
      </c>
      <c r="R20" s="311">
        <f>SUM(OPX_LE3!$K20:$Q20)</f>
        <v>-19580</v>
      </c>
      <c r="S20" s="337">
        <v>-318000</v>
      </c>
      <c r="T20" s="377">
        <v>0</v>
      </c>
      <c r="U20" s="362">
        <v>0</v>
      </c>
      <c r="V20" s="361">
        <v>-7500</v>
      </c>
      <c r="W20" s="361">
        <v>-7200</v>
      </c>
      <c r="X20" s="361">
        <v>0</v>
      </c>
      <c r="Y20" s="361">
        <v>0</v>
      </c>
      <c r="Z20" s="264">
        <v>-3000</v>
      </c>
      <c r="AA20" s="423">
        <v>-3800</v>
      </c>
      <c r="AB20" s="273">
        <f>SUM(OPX_LE3!$T20:$AA20)</f>
        <v>-21500</v>
      </c>
      <c r="AC20" s="426"/>
      <c r="AD20" s="426">
        <f t="shared" ref="AD20" si="0">-4924*1.03</f>
        <v>-5071.72</v>
      </c>
      <c r="AE20" s="417">
        <v>-11319</v>
      </c>
      <c r="AF20" s="417">
        <v>-7551</v>
      </c>
      <c r="AG20" s="417">
        <v>-29729</v>
      </c>
      <c r="AH20" s="417">
        <v>0</v>
      </c>
      <c r="AI20" s="417">
        <v>0</v>
      </c>
      <c r="AJ20" s="317">
        <f>SUM(OPX_LE3!$AC20:$AI20)</f>
        <v>-53670.720000000001</v>
      </c>
      <c r="AK20" s="424">
        <v>0</v>
      </c>
      <c r="AL20" s="276">
        <f>SUM(OPX_LE3!$J20,OPX_LE3!$AB20,OPX_LE3!$S20,OPX_LE3!$AJ20,OPX_LE3!$R20,OPX_LE3!$AK20)</f>
        <v>-425447.72</v>
      </c>
      <c r="AM20" s="427">
        <v>0</v>
      </c>
      <c r="AN20" s="427">
        <v>0</v>
      </c>
    </row>
    <row r="21" spans="1:41" ht="15">
      <c r="A21" s="325" t="s">
        <v>525</v>
      </c>
      <c r="B21" s="322" t="str">
        <f>VLOOKUP(OPX_LE3!$A21,Tableau106[],3,FALSE)</f>
        <v>A554</v>
      </c>
      <c r="C21" s="322" t="str">
        <f>VLOOKUP(OPX_LE3!$A21,Tableau106[],2,FALSE)</f>
        <v>FR02E08E</v>
      </c>
      <c r="D21" s="322" t="str">
        <f>VLOOKUP(OPX_LE3!$A21,Tableau106[],8,FALSE)</f>
        <v>EOLIEN</v>
      </c>
      <c r="E21" s="324">
        <f>VLOOKUP(OPX_LE3!$A21,Tableau106[],4,FALSE)</f>
        <v>12</v>
      </c>
      <c r="F21" s="322" t="str">
        <f>VLOOKUP(OPX_LE3!$A21,Tableau106[],5,FALSE)</f>
        <v>BTS1</v>
      </c>
      <c r="G21" s="322" t="str">
        <f>VLOOKUP(OPX_LE3!$A21,Tableau106[],7,FALSE)</f>
        <v>ENDF</v>
      </c>
      <c r="H21" s="322" t="str">
        <f>VLOOKUP(OPX_LE3!$A21,Tableau106[],6,FALSE)</f>
        <v>N</v>
      </c>
      <c r="I21" s="322" t="str">
        <f>VLOOKUP(OPX_LE3!$A21,Tableau106[],9,FALSE)</f>
        <v>BoK</v>
      </c>
      <c r="J21" s="254">
        <v>0</v>
      </c>
      <c r="K21" s="228">
        <v>0</v>
      </c>
      <c r="L21" s="228"/>
      <c r="M21" s="229">
        <v>0</v>
      </c>
      <c r="N21" s="229">
        <v>0</v>
      </c>
      <c r="O21" s="229">
        <v>-3188.7</v>
      </c>
      <c r="P21" s="229">
        <v>0</v>
      </c>
      <c r="Q21" s="229">
        <f>-250*OPX_LE3!$E21</f>
        <v>-3000</v>
      </c>
      <c r="R21" s="311">
        <f>SUM(OPX_LE3!$K21:$Q21)</f>
        <v>-6188.7</v>
      </c>
      <c r="S21" s="337">
        <f>-374903-9344</f>
        <v>-384247</v>
      </c>
      <c r="T21" s="361">
        <v>0</v>
      </c>
      <c r="U21" s="362">
        <v>0</v>
      </c>
      <c r="V21" s="361">
        <v>-2000</v>
      </c>
      <c r="W21" s="361">
        <v>0</v>
      </c>
      <c r="X21" s="361">
        <v>0</v>
      </c>
      <c r="Y21" s="361">
        <v>0</v>
      </c>
      <c r="Z21" s="264">
        <f>-5280-5000</f>
        <v>-10280</v>
      </c>
      <c r="AA21" s="423"/>
      <c r="AB21" s="273">
        <f>SUM(OPX_LE3!$T21:$AA21)</f>
        <v>-12280</v>
      </c>
      <c r="AC21" s="426"/>
      <c r="AD21" s="426"/>
      <c r="AE21" s="417">
        <v>0</v>
      </c>
      <c r="AF21" s="417">
        <v>0</v>
      </c>
      <c r="AG21" s="417">
        <v>0</v>
      </c>
      <c r="AH21" s="417">
        <v>0</v>
      </c>
      <c r="AI21" s="417">
        <v>0</v>
      </c>
      <c r="AJ21" s="317">
        <f>SUM(OPX_LE3!$AC21:$AI21)</f>
        <v>0</v>
      </c>
      <c r="AK21" s="424">
        <v>-5718</v>
      </c>
      <c r="AL21" s="276">
        <f>SUM(OPX_LE3!$J21,OPX_LE3!$AB21,OPX_LE3!$S21,OPX_LE3!$AJ21,OPX_LE3!$R21,OPX_LE3!$AK21)</f>
        <v>-408433.7</v>
      </c>
      <c r="AM21" s="427">
        <v>-24000</v>
      </c>
      <c r="AN21" s="427">
        <v>0</v>
      </c>
    </row>
    <row r="22" spans="1:41" ht="15">
      <c r="A22" s="244" t="s">
        <v>598</v>
      </c>
      <c r="B22" s="232" t="str">
        <f>VLOOKUP(OPX_LE3!$A22,Tableau106[],3,FALSE)</f>
        <v>A555</v>
      </c>
      <c r="C22" s="232" t="str">
        <f>VLOOKUP(OPX_LE3!$A22,Tableau106[],2,FALSE)</f>
        <v>FR02E09E</v>
      </c>
      <c r="D22" s="232" t="str">
        <f>VLOOKUP(OPX_LE3!$A22,Tableau106[],8,FALSE)</f>
        <v>EOLIEN</v>
      </c>
      <c r="E22" s="233">
        <f>VLOOKUP(OPX_LE3!$A22,Tableau106[],4,FALSE)</f>
        <v>12</v>
      </c>
      <c r="F22" s="232" t="str">
        <f>VLOOKUP(OPX_LE3!$A22,Tableau106[],5,FALSE)</f>
        <v>BTS2</v>
      </c>
      <c r="G22" s="232" t="str">
        <f>VLOOKUP(OPX_LE3!$A22,Tableau106[],7,FALSE)</f>
        <v>ENDF</v>
      </c>
      <c r="H22" s="232" t="str">
        <f>VLOOKUP(OPX_LE3!$A22,Tableau106[],6,FALSE)</f>
        <v>N</v>
      </c>
      <c r="I22" s="232" t="str">
        <f>VLOOKUP(OPX_LE3!$A22,Tableau106[],9,FALSE)</f>
        <v>BoK</v>
      </c>
      <c r="J22" s="254">
        <v>0</v>
      </c>
      <c r="K22" s="228">
        <v>0</v>
      </c>
      <c r="L22" s="228"/>
      <c r="M22" s="229">
        <v>0</v>
      </c>
      <c r="N22" s="229">
        <v>0</v>
      </c>
      <c r="O22" s="229">
        <v>-3000</v>
      </c>
      <c r="P22" s="229">
        <v>0</v>
      </c>
      <c r="Q22" s="229">
        <f>-250*OPX_LE3!$E22</f>
        <v>-3000</v>
      </c>
      <c r="R22" s="311">
        <f>SUM(OPX_LE3!$K22:$Q22)</f>
        <v>-6000</v>
      </c>
      <c r="S22" s="337">
        <f>-374903-9344</f>
        <v>-384247</v>
      </c>
      <c r="T22" s="361">
        <v>0</v>
      </c>
      <c r="U22" s="362">
        <v>0</v>
      </c>
      <c r="V22" s="361">
        <v>0</v>
      </c>
      <c r="W22" s="361">
        <v>0</v>
      </c>
      <c r="X22" s="361">
        <v>-9000</v>
      </c>
      <c r="Y22" s="361">
        <v>0</v>
      </c>
      <c r="Z22" s="264">
        <v>-6000</v>
      </c>
      <c r="AA22" s="423"/>
      <c r="AB22" s="273">
        <f>SUM(OPX_LE3!$T22:$AA22)</f>
        <v>-15000</v>
      </c>
      <c r="AC22" s="426"/>
      <c r="AD22" s="426"/>
      <c r="AE22" s="417">
        <v>0</v>
      </c>
      <c r="AF22" s="417">
        <v>0</v>
      </c>
      <c r="AG22" s="417">
        <v>0</v>
      </c>
      <c r="AH22" s="417">
        <v>0</v>
      </c>
      <c r="AI22" s="417">
        <v>0</v>
      </c>
      <c r="AJ22" s="317">
        <f>SUM(OPX_LE3!$AC22:$AI22)</f>
        <v>0</v>
      </c>
      <c r="AK22" s="424">
        <v>0</v>
      </c>
      <c r="AL22" s="276">
        <f>SUM(OPX_LE3!$J22,OPX_LE3!$AB22,OPX_LE3!$S22,OPX_LE3!$AJ22,OPX_LE3!$R22,OPX_LE3!$AK22)</f>
        <v>-405247</v>
      </c>
      <c r="AM22" s="427">
        <v>0</v>
      </c>
      <c r="AN22" s="427">
        <v>0</v>
      </c>
    </row>
    <row r="23" spans="1:41" ht="15">
      <c r="A23" s="325" t="s">
        <v>489</v>
      </c>
      <c r="B23" s="322" t="str">
        <f>VLOOKUP(OPX_LE3!$A23,Tableau106[],3,FALSE)</f>
        <v>A905</v>
      </c>
      <c r="C23" s="322" t="str">
        <f>VLOOKUP(OPX_LE3!$A23,Tableau106[],2,FALSE)</f>
        <v>FR69E01E</v>
      </c>
      <c r="D23" s="322" t="str">
        <f>VLOOKUP(OPX_LE3!$A23,Tableau106[],8,FALSE)</f>
        <v>EOLIEN</v>
      </c>
      <c r="E23" s="324">
        <f>VLOOKUP(OPX_LE3!$A23,Tableau106[],4,FALSE)</f>
        <v>12</v>
      </c>
      <c r="F23" s="322" t="str">
        <f>VLOOKUP(OPX_LE3!$A23,Tableau106[],5,FALSE)</f>
        <v>BVER</v>
      </c>
      <c r="G23" s="322" t="str">
        <f>VLOOKUP(OPX_LE3!$A23,Tableau106[],7,FALSE)</f>
        <v>GROUPE</v>
      </c>
      <c r="H23" s="322" t="str">
        <f>VLOOKUP(OPX_LE3!$A23,Tableau106[],6,FALSE)</f>
        <v>S</v>
      </c>
      <c r="I23" s="322" t="str">
        <f>VLOOKUP(OPX_LE3!$A23,Tableau106[],9,FALSE)</f>
        <v>KéC</v>
      </c>
      <c r="J23" s="254">
        <v>0</v>
      </c>
      <c r="K23" s="228">
        <v>0</v>
      </c>
      <c r="L23" s="228"/>
      <c r="M23" s="229">
        <v>0</v>
      </c>
      <c r="N23" s="229">
        <v>0</v>
      </c>
      <c r="O23" s="229">
        <v>0</v>
      </c>
      <c r="P23" s="229">
        <v>-5752</v>
      </c>
      <c r="Q23" s="229">
        <f>-250*OPX_LE3!$E23</f>
        <v>-3000</v>
      </c>
      <c r="R23" s="311">
        <f>SUM(OPX_LE3!$K23:$Q23)</f>
        <v>-8752</v>
      </c>
      <c r="S23" s="337">
        <f>-183300-4211</f>
        <v>-187511</v>
      </c>
      <c r="T23" s="361">
        <v>-8000</v>
      </c>
      <c r="U23" s="362">
        <v>0</v>
      </c>
      <c r="V23" s="361">
        <f>-15790-2500-1500</f>
        <v>-19790</v>
      </c>
      <c r="W23" s="361">
        <f>-4*300</f>
        <v>-1200</v>
      </c>
      <c r="X23" s="361">
        <v>0</v>
      </c>
      <c r="Y23" s="361">
        <v>0</v>
      </c>
      <c r="Z23" s="264">
        <v>-3000</v>
      </c>
      <c r="AA23" s="423">
        <f>-0.002*'CA_BN+1'!M14</f>
        <v>-3202.2345619999996</v>
      </c>
      <c r="AB23" s="273">
        <f>SUM(OPX_LE3!$T23:$AA23)</f>
        <v>-35192.234561999998</v>
      </c>
      <c r="AC23" s="426"/>
      <c r="AD23" s="426"/>
      <c r="AE23" s="417">
        <v>-5650</v>
      </c>
      <c r="AF23" s="417">
        <v>0</v>
      </c>
      <c r="AG23" s="417">
        <v>0</v>
      </c>
      <c r="AH23" s="417">
        <v>0</v>
      </c>
      <c r="AI23" s="417">
        <v>-30000</v>
      </c>
      <c r="AJ23" s="317">
        <f>SUM(OPX_LE3!$AC23:$AI23)</f>
        <v>-35650</v>
      </c>
      <c r="AK23" s="424">
        <v>-7000</v>
      </c>
      <c r="AL23" s="276">
        <f>SUM(OPX_LE3!$J23,OPX_LE3!$AB23,OPX_LE3!$S23,OPX_LE3!$AJ23,OPX_LE3!$R23,OPX_LE3!$AK23)</f>
        <v>-274105.23456200003</v>
      </c>
      <c r="AM23" s="427">
        <v>0</v>
      </c>
      <c r="AN23" s="427">
        <v>0</v>
      </c>
    </row>
    <row r="24" spans="1:41" ht="15">
      <c r="A24" s="244" t="s">
        <v>454</v>
      </c>
      <c r="B24" s="232" t="str">
        <f>VLOOKUP(OPX_LE3!$A24,Tableau106[],3,FALSE)</f>
        <v>A295</v>
      </c>
      <c r="C24" s="232" t="str">
        <f>VLOOKUP(OPX_LE3!$A24,Tableau106[],2,FALSE)</f>
        <v>FR85S02E</v>
      </c>
      <c r="D24" s="232" t="str">
        <f>VLOOKUP(OPX_LE3!$A24,Tableau106[],8,FALSE)</f>
        <v>SOLAIRE</v>
      </c>
      <c r="E24" s="233">
        <f>VLOOKUP(OPX_LE3!$A24,Tableau106[],4,FALSE)</f>
        <v>12.8</v>
      </c>
      <c r="F24" s="232" t="str">
        <f>VLOOKUP(OPX_LE3!$A24,Tableau106[],5,FALSE)</f>
        <v>BEAU</v>
      </c>
      <c r="G24" s="232" t="str">
        <f>VLOOKUP(OPX_LE3!$A24,Tableau106[],7,FALSE)</f>
        <v>GROUPE</v>
      </c>
      <c r="H24" s="232" t="str">
        <f>VLOOKUP(OPX_LE3!$A24,Tableau106[],6,FALSE)</f>
        <v>N</v>
      </c>
      <c r="I24" s="232" t="str">
        <f>VLOOKUP(OPX_LE3!$A24,Tableau106[],9,FALSE)</f>
        <v>ZaA</v>
      </c>
      <c r="J24" s="254">
        <v>-98000</v>
      </c>
      <c r="K24" s="228">
        <v>0</v>
      </c>
      <c r="L24" s="228"/>
      <c r="M24" s="229">
        <v>0</v>
      </c>
      <c r="N24" s="229">
        <v>0</v>
      </c>
      <c r="O24" s="229">
        <v>0</v>
      </c>
      <c r="P24" s="229">
        <v>0</v>
      </c>
      <c r="Q24" s="229">
        <f>0.15*Tableau16[[#This Row],[Contrat Groupe EDF Re : (WTG + PDL)]]</f>
        <v>-14700</v>
      </c>
      <c r="R24" s="311">
        <f>SUM(OPX_LE3!$K24:$Q24)</f>
        <v>-14700</v>
      </c>
      <c r="S24" s="337"/>
      <c r="T24" s="361">
        <v>0</v>
      </c>
      <c r="U24" s="362">
        <v>0</v>
      </c>
      <c r="V24" s="361">
        <v>0</v>
      </c>
      <c r="W24" s="361">
        <v>0</v>
      </c>
      <c r="X24" s="361">
        <v>0</v>
      </c>
      <c r="Y24" s="361">
        <v>0</v>
      </c>
      <c r="Z24" s="264">
        <f>-300*Tableau16[[#This Row],[MW]]</f>
        <v>-3840</v>
      </c>
      <c r="AA24" s="423"/>
      <c r="AB24" s="273">
        <f>SUM(OPX_LE3!$T24:$AA24)</f>
        <v>-3840</v>
      </c>
      <c r="AC24" s="426"/>
      <c r="AD24" s="426">
        <v>0</v>
      </c>
      <c r="AE24" s="417">
        <v>0</v>
      </c>
      <c r="AF24" s="417">
        <v>0</v>
      </c>
      <c r="AG24" s="417">
        <v>0</v>
      </c>
      <c r="AH24" s="417">
        <v>-7187.5</v>
      </c>
      <c r="AI24" s="417">
        <v>0</v>
      </c>
      <c r="AJ24" s="317">
        <f>SUM(OPX_LE3!$AC24:$AI24)</f>
        <v>-7187.5</v>
      </c>
      <c r="AK24" s="424">
        <v>0</v>
      </c>
      <c r="AL24" s="276">
        <f>SUM(OPX_LE3!$J24,OPX_LE3!$AB24,OPX_LE3!$S24,OPX_LE3!$AJ24,OPX_LE3!$R24,OPX_LE3!$AK24)</f>
        <v>-123727.5</v>
      </c>
      <c r="AM24" s="427">
        <v>0</v>
      </c>
      <c r="AN24" s="427">
        <v>0</v>
      </c>
    </row>
    <row r="25" spans="1:41" ht="15">
      <c r="A25" s="325" t="s">
        <v>473</v>
      </c>
      <c r="B25" s="322" t="str">
        <f>VLOOKUP(OPX_LE3!$A25,Tableau106[],3,FALSE)</f>
        <v>A177</v>
      </c>
      <c r="C25" s="322" t="str">
        <f>VLOOKUP(OPX_LE3!$A25,Tableau106[],2,FALSE)</f>
        <v>FR88E99E</v>
      </c>
      <c r="D25" s="322" t="str">
        <f>VLOOKUP(OPX_LE3!$A25,Tableau106[],8,FALSE)</f>
        <v>EOLIEN</v>
      </c>
      <c r="E25" s="324">
        <f>VLOOKUP(OPX_LE3!$A25,Tableau106[],4,FALSE)</f>
        <v>20</v>
      </c>
      <c r="F25" s="322" t="str">
        <f>VLOOKUP(OPX_LE3!$A25,Tableau106[],5,FALSE)</f>
        <v>BDBS</v>
      </c>
      <c r="G25" s="322" t="str">
        <f>VLOOKUP(OPX_LE3!$A25,Tableau106[],7,FALSE)</f>
        <v>GROUPE</v>
      </c>
      <c r="H25" s="322" t="str">
        <f>VLOOKUP(OPX_LE3!$A25,Tableau106[],6,FALSE)</f>
        <v>N</v>
      </c>
      <c r="I25" s="322" t="str">
        <f>VLOOKUP(OPX_LE3!$A25,Tableau106[],9,FALSE)</f>
        <v>AyB</v>
      </c>
      <c r="J25" s="254">
        <v>0</v>
      </c>
      <c r="K25" s="228">
        <v>0</v>
      </c>
      <c r="L25" s="228"/>
      <c r="M25" s="229">
        <v>0</v>
      </c>
      <c r="N25" s="229">
        <v>0</v>
      </c>
      <c r="O25" s="229">
        <v>-2700</v>
      </c>
      <c r="P25" s="229">
        <f>-440*Tableau16[[#This Row],[MW]]</f>
        <v>-8800</v>
      </c>
      <c r="Q25" s="229">
        <f>-250*OPX_LE3!$E25</f>
        <v>-5000</v>
      </c>
      <c r="R25" s="311">
        <f>SUM(OPX_LE3!$K25:$Q25)</f>
        <v>-16500</v>
      </c>
      <c r="S25" s="337">
        <f>-414376-20544</f>
        <v>-434920</v>
      </c>
      <c r="T25" s="362">
        <v>-30000</v>
      </c>
      <c r="U25" s="362">
        <v>0</v>
      </c>
      <c r="V25" s="361">
        <v>-5000</v>
      </c>
      <c r="W25" s="361">
        <v>-4500</v>
      </c>
      <c r="X25" s="361">
        <v>-40000</v>
      </c>
      <c r="Y25" s="361">
        <v>0</v>
      </c>
      <c r="Z25" s="264">
        <f>-250*Tableau16[[#This Row],[MW]]</f>
        <v>-5000</v>
      </c>
      <c r="AA25" s="423"/>
      <c r="AB25" s="273">
        <f>SUM(OPX_LE3!$T25:$AA25)</f>
        <v>-84500</v>
      </c>
      <c r="AC25" s="426"/>
      <c r="AD25" s="426"/>
      <c r="AE25" s="417">
        <v>-2377.6</v>
      </c>
      <c r="AF25" s="417">
        <v>0</v>
      </c>
      <c r="AG25" s="417">
        <v>0</v>
      </c>
      <c r="AH25" s="417">
        <v>0</v>
      </c>
      <c r="AI25" s="417">
        <f>-9650-2727</f>
        <v>-12377</v>
      </c>
      <c r="AJ25" s="317">
        <f>SUM(OPX_LE3!$AC25:$AI25)</f>
        <v>-14754.6</v>
      </c>
      <c r="AK25" s="424">
        <f>-5000+5000</f>
        <v>0</v>
      </c>
      <c r="AL25" s="276">
        <f>SUM(OPX_LE3!$J25,OPX_LE3!$AB25,OPX_LE3!$S25,OPX_LE3!$AJ25,OPX_LE3!$R25,OPX_LE3!$AK25)</f>
        <v>-550674.6</v>
      </c>
      <c r="AM25" s="427">
        <v>-40000</v>
      </c>
      <c r="AN25" s="427">
        <v>0</v>
      </c>
    </row>
    <row r="26" spans="1:41" ht="15">
      <c r="A26" s="244" t="s">
        <v>457</v>
      </c>
      <c r="B26" s="232" t="str">
        <f>VLOOKUP(OPX_LE3!$A26,Tableau106[],3,FALSE)</f>
        <v>A133</v>
      </c>
      <c r="C26" s="232" t="str">
        <f>VLOOKUP(OPX_LE3!$A26,Tableau106[],2,FALSE)</f>
        <v>FR84S01E</v>
      </c>
      <c r="D26" s="232" t="str">
        <f>VLOOKUP(OPX_LE3!$A26,Tableau106[],8,FALSE)</f>
        <v>SOLAIRE</v>
      </c>
      <c r="E26" s="233">
        <f>VLOOKUP(OPX_LE3!$A26,Tableau106[],4,FALSE)</f>
        <v>2.61</v>
      </c>
      <c r="F26" s="232" t="str">
        <f>VLOOKUP(OPX_LE3!$A26,Tableau106[],5,FALSE)</f>
        <v>BLAU</v>
      </c>
      <c r="G26" s="232" t="str">
        <f>VLOOKUP(OPX_LE3!$A26,Tableau106[],7,FALSE)</f>
        <v>GROUPE</v>
      </c>
      <c r="H26" s="232" t="str">
        <f>VLOOKUP(OPX_LE3!$A26,Tableau106[],6,FALSE)</f>
        <v>S</v>
      </c>
      <c r="I26" s="232" t="str">
        <f>VLOOKUP(OPX_LE3!$A26,Tableau106[],9,FALSE)</f>
        <v>ArB</v>
      </c>
      <c r="J26" s="254">
        <v>-91583</v>
      </c>
      <c r="K26" s="228">
        <v>-15460</v>
      </c>
      <c r="L26" s="228"/>
      <c r="M26" s="229">
        <v>0</v>
      </c>
      <c r="N26" s="229">
        <v>0</v>
      </c>
      <c r="O26" s="229">
        <v>0</v>
      </c>
      <c r="P26" s="229">
        <v>0</v>
      </c>
      <c r="Q26" s="229">
        <f>-250*OPX_LE3!$E26</f>
        <v>-652.5</v>
      </c>
      <c r="R26" s="311">
        <f>SUM(OPX_LE3!$K26:$Q26)</f>
        <v>-16112.5</v>
      </c>
      <c r="S26" s="337">
        <v>0</v>
      </c>
      <c r="T26" s="361">
        <v>0</v>
      </c>
      <c r="U26" s="362">
        <v>0</v>
      </c>
      <c r="V26" s="361">
        <v>0</v>
      </c>
      <c r="W26" s="361">
        <v>0</v>
      </c>
      <c r="X26" s="361">
        <v>0</v>
      </c>
      <c r="Y26" s="361">
        <v>0</v>
      </c>
      <c r="Z26" s="264">
        <v>-652.5</v>
      </c>
      <c r="AA26" s="423">
        <v>-2500</v>
      </c>
      <c r="AB26" s="273">
        <f>SUM(OPX_LE3!$T26:$AA26)</f>
        <v>-3152.5</v>
      </c>
      <c r="AC26" s="426"/>
      <c r="AD26" s="426">
        <v>0</v>
      </c>
      <c r="AE26" s="417">
        <v>0</v>
      </c>
      <c r="AF26" s="417">
        <v>0</v>
      </c>
      <c r="AG26" s="417">
        <v>0</v>
      </c>
      <c r="AH26" s="417">
        <v>0</v>
      </c>
      <c r="AI26" s="417">
        <v>0</v>
      </c>
      <c r="AJ26" s="317">
        <f>SUM(OPX_LE3!$AC26:$AI26)</f>
        <v>0</v>
      </c>
      <c r="AK26" s="424">
        <v>-7000</v>
      </c>
      <c r="AL26" s="276">
        <f>SUM(OPX_LE3!$J26,OPX_LE3!$AB26,OPX_LE3!$S26,OPX_LE3!$AJ26,OPX_LE3!$R26,OPX_LE3!$AK26)</f>
        <v>-117848</v>
      </c>
      <c r="AM26" s="427">
        <v>0</v>
      </c>
      <c r="AN26" s="427">
        <v>0</v>
      </c>
    </row>
    <row r="27" spans="1:41" ht="15">
      <c r="A27" s="325" t="s">
        <v>437</v>
      </c>
      <c r="B27" s="322" t="str">
        <f>VLOOKUP(OPX_LE3!$A27,Tableau106[],3,FALSE)</f>
        <v>A541</v>
      </c>
      <c r="C27" s="322" t="str">
        <f>VLOOKUP(OPX_LE3!$A27,Tableau106[],2,FALSE)</f>
        <v>FR57E05E</v>
      </c>
      <c r="D27" s="322" t="str">
        <f>VLOOKUP(OPX_LE3!$A27,Tableau106[],8,FALSE)</f>
        <v>EOLIEN</v>
      </c>
      <c r="E27" s="324">
        <f>VLOOKUP(OPX_LE3!$A27,Tableau106[],4,FALSE)</f>
        <v>10.5</v>
      </c>
      <c r="F27" s="322" t="str">
        <f>VLOOKUP(OPX_LE3!$A27,Tableau106[],5,FALSE)</f>
        <v>BOUS</v>
      </c>
      <c r="G27" s="322" t="str">
        <f>VLOOKUP(OPX_LE3!$A27,Tableau106[],7,FALSE)</f>
        <v>EGM</v>
      </c>
      <c r="H27" s="322" t="str">
        <f>VLOOKUP(OPX_LE3!$A27,Tableau106[],6,FALSE)</f>
        <v>N</v>
      </c>
      <c r="I27" s="322" t="str">
        <f>VLOOKUP(OPX_LE3!$A27,Tableau106[],9,FALSE)</f>
        <v>NoS</v>
      </c>
      <c r="J27" s="254">
        <v>-258123</v>
      </c>
      <c r="K27" s="228">
        <v>-180000</v>
      </c>
      <c r="L27" s="228"/>
      <c r="M27" s="229">
        <v>0</v>
      </c>
      <c r="N27" s="229">
        <v>0</v>
      </c>
      <c r="O27" s="229">
        <v>0</v>
      </c>
      <c r="P27" s="229">
        <v>-3675</v>
      </c>
      <c r="Q27" s="229">
        <f>-250*OPX_LE3!$E27</f>
        <v>-2625</v>
      </c>
      <c r="R27" s="311">
        <f>SUM(OPX_LE3!$K27:$Q27)</f>
        <v>-186300</v>
      </c>
      <c r="S27" s="337">
        <v>0</v>
      </c>
      <c r="T27" s="361">
        <v>0</v>
      </c>
      <c r="U27" s="362">
        <v>0</v>
      </c>
      <c r="V27" s="361">
        <v>-2000</v>
      </c>
      <c r="W27" s="361">
        <v>0</v>
      </c>
      <c r="X27" s="361">
        <v>0</v>
      </c>
      <c r="Y27" s="361">
        <v>0</v>
      </c>
      <c r="Z27" s="264">
        <v>-2625</v>
      </c>
      <c r="AA27" s="423"/>
      <c r="AB27" s="273">
        <f>SUM(OPX_LE3!$T27:$AA27)</f>
        <v>-4625</v>
      </c>
      <c r="AC27" s="426"/>
      <c r="AD27" s="426"/>
      <c r="AE27" s="417"/>
      <c r="AF27" s="417">
        <v>0</v>
      </c>
      <c r="AG27" s="417">
        <v>0</v>
      </c>
      <c r="AH27" s="417">
        <v>0</v>
      </c>
      <c r="AI27" s="417">
        <v>0</v>
      </c>
      <c r="AJ27" s="317">
        <f>SUM(OPX_LE3!$AC27:$AI27)</f>
        <v>0</v>
      </c>
      <c r="AK27" s="424">
        <v>0</v>
      </c>
      <c r="AL27" s="276">
        <f>SUM(OPX_LE3!$J27,OPX_LE3!$AB27,OPX_LE3!$S27,OPX_LE3!$AJ27,OPX_LE3!$R27,OPX_LE3!$AK27)</f>
        <v>-449048</v>
      </c>
      <c r="AM27" s="427">
        <v>0</v>
      </c>
      <c r="AN27" s="427">
        <v>-173000</v>
      </c>
      <c r="AO27" s="6" t="s">
        <v>1531</v>
      </c>
    </row>
    <row r="28" spans="1:41" ht="15">
      <c r="A28" s="244" t="s">
        <v>459</v>
      </c>
      <c r="B28" s="232" t="str">
        <f>VLOOKUP(OPX_LE3!$A28,Tableau106[],3,FALSE)</f>
        <v>A145</v>
      </c>
      <c r="C28" s="232" t="str">
        <f>VLOOKUP(OPX_LE3!$A28,Tableau106[],2,FALSE)</f>
        <v>FR31S01E</v>
      </c>
      <c r="D28" s="232" t="str">
        <f>VLOOKUP(OPX_LE3!$A28,Tableau106[],8,FALSE)</f>
        <v>SOLAIRE</v>
      </c>
      <c r="E28" s="233">
        <f>VLOOKUP(OPX_LE3!$A28,Tableau106[],4,FALSE)</f>
        <v>10.15</v>
      </c>
      <c r="F28" s="232" t="str">
        <f>VLOOKUP(OPX_LE3!$A28,Tableau106[],5,FALSE)</f>
        <v>BOUL</v>
      </c>
      <c r="G28" s="232" t="str">
        <f>VLOOKUP(OPX_LE3!$A28,Tableau106[],7,FALSE)</f>
        <v>GROUPE</v>
      </c>
      <c r="H28" s="232" t="str">
        <f>VLOOKUP(OPX_LE3!$A28,Tableau106[],6,FALSE)</f>
        <v>S</v>
      </c>
      <c r="I28" s="232" t="str">
        <f>VLOOKUP(OPX_LE3!$A28,Tableau106[],9,FALSE)</f>
        <v>BaA</v>
      </c>
      <c r="J28" s="254">
        <v>-287867</v>
      </c>
      <c r="K28" s="228">
        <v>-15140</v>
      </c>
      <c r="L28" s="228"/>
      <c r="M28" s="229">
        <v>0</v>
      </c>
      <c r="N28" s="229">
        <v>0</v>
      </c>
      <c r="O28" s="229">
        <v>0</v>
      </c>
      <c r="P28" s="229">
        <v>-6480</v>
      </c>
      <c r="Q28" s="229">
        <f>-250*OPX_LE3!$E28</f>
        <v>-2537.5</v>
      </c>
      <c r="R28" s="311">
        <f>SUM(OPX_LE3!$K28:$Q28)</f>
        <v>-24157.5</v>
      </c>
      <c r="S28" s="337">
        <v>0</v>
      </c>
      <c r="T28" s="361">
        <v>0</v>
      </c>
      <c r="U28" s="362">
        <v>0</v>
      </c>
      <c r="V28" s="361">
        <v>-17000</v>
      </c>
      <c r="W28" s="361">
        <v>0</v>
      </c>
      <c r="X28" s="361">
        <v>0</v>
      </c>
      <c r="Y28" s="361">
        <v>0</v>
      </c>
      <c r="Z28" s="264">
        <v>-2537.5</v>
      </c>
      <c r="AA28" s="423"/>
      <c r="AB28" s="273">
        <f>SUM(OPX_LE3!$T28:$AA28)</f>
        <v>-19537.5</v>
      </c>
      <c r="AC28" s="426"/>
      <c r="AD28" s="426">
        <v>0</v>
      </c>
      <c r="AE28" s="417">
        <v>0</v>
      </c>
      <c r="AF28" s="417">
        <v>0</v>
      </c>
      <c r="AG28" s="417">
        <v>0</v>
      </c>
      <c r="AH28" s="417">
        <v>-4400</v>
      </c>
      <c r="AI28" s="417">
        <v>0</v>
      </c>
      <c r="AJ28" s="317">
        <f>SUM(OPX_LE3!$AC28:$AI28)</f>
        <v>-4400</v>
      </c>
      <c r="AK28" s="424">
        <v>-22739</v>
      </c>
      <c r="AL28" s="276">
        <f>SUM(OPX_LE3!$J28,OPX_LE3!$AB28,OPX_LE3!$S28,OPX_LE3!$AJ28,OPX_LE3!$R28,OPX_LE3!$AK28)</f>
        <v>-358701</v>
      </c>
      <c r="AM28" s="427">
        <v>-53480</v>
      </c>
      <c r="AN28" s="427">
        <v>0</v>
      </c>
    </row>
    <row r="29" spans="1:41" ht="15">
      <c r="A29" s="325" t="s">
        <v>54</v>
      </c>
      <c r="B29" s="322" t="str">
        <f>VLOOKUP(OPX_LE3!$A29,Tableau106[],3,FALSE)</f>
        <v>A272</v>
      </c>
      <c r="C29" s="322" t="str">
        <f>VLOOKUP(OPX_LE3!$A29,Tableau106[],2,FALSE)</f>
        <v>FR45S03E</v>
      </c>
      <c r="D29" s="322" t="str">
        <f>VLOOKUP(OPX_LE3!$A29,Tableau106[],8,FALSE)</f>
        <v>SOLAIRE</v>
      </c>
      <c r="E29" s="324">
        <f>VLOOKUP(OPX_LE3!$A29,Tableau106[],4,FALSE)</f>
        <v>15.5</v>
      </c>
      <c r="F29" s="322" t="str">
        <f>VLOOKUP(OPX_LE3!$A29,Tableau106[],5,FALSE)</f>
        <v>BRIA</v>
      </c>
      <c r="G29" s="322" t="str">
        <f>VLOOKUP(OPX_LE3!$A29,Tableau106[],7,FALSE)</f>
        <v>GROUPE</v>
      </c>
      <c r="H29" s="322" t="str">
        <f>VLOOKUP(OPX_LE3!$A29,Tableau106[],6,FALSE)</f>
        <v>N</v>
      </c>
      <c r="I29" s="322" t="str">
        <f>VLOOKUP(OPX_LE3!$A29,Tableau106[],9,FALSE)</f>
        <v>LoG</v>
      </c>
      <c r="J29" s="254">
        <v>-77147</v>
      </c>
      <c r="K29" s="228">
        <v>-20000</v>
      </c>
      <c r="L29" s="228"/>
      <c r="M29" s="229">
        <v>0</v>
      </c>
      <c r="N29" s="229">
        <v>0</v>
      </c>
      <c r="O29" s="229">
        <v>0</v>
      </c>
      <c r="P29" s="229">
        <v>0</v>
      </c>
      <c r="Q29" s="229">
        <f>-250*OPX_LE3!$E29-20600</f>
        <v>-24475</v>
      </c>
      <c r="R29" s="311">
        <f>SUM(OPX_LE3!$K29:$Q29)</f>
        <v>-44475</v>
      </c>
      <c r="S29" s="337">
        <v>0</v>
      </c>
      <c r="T29" s="361">
        <v>0</v>
      </c>
      <c r="U29" s="362">
        <v>0</v>
      </c>
      <c r="V29" s="361">
        <v>0</v>
      </c>
      <c r="W29" s="361">
        <v>0</v>
      </c>
      <c r="X29" s="361">
        <v>0</v>
      </c>
      <c r="Y29" s="361">
        <v>0</v>
      </c>
      <c r="Z29" s="264"/>
      <c r="AA29" s="423"/>
      <c r="AB29" s="273">
        <f>SUM(OPX_LE3!$T29:$AA29)</f>
        <v>0</v>
      </c>
      <c r="AC29" s="426"/>
      <c r="AD29" s="426">
        <v>0</v>
      </c>
      <c r="AE29" s="417">
        <v>0</v>
      </c>
      <c r="AF29" s="417">
        <v>0</v>
      </c>
      <c r="AG29" s="417">
        <v>0</v>
      </c>
      <c r="AH29" s="417">
        <v>0</v>
      </c>
      <c r="AI29" s="417">
        <v>0</v>
      </c>
      <c r="AJ29" s="317">
        <f>SUM(OPX_LE3!$AC29:$AI29)</f>
        <v>0</v>
      </c>
      <c r="AK29" s="424">
        <v>0</v>
      </c>
      <c r="AL29" s="276">
        <f>SUM(OPX_LE3!$J29,OPX_LE3!$AB29,OPX_LE3!$S29,OPX_LE3!$AJ29,OPX_LE3!$R29,OPX_LE3!$AK29)</f>
        <v>-121622</v>
      </c>
      <c r="AM29" s="427">
        <v>0</v>
      </c>
      <c r="AN29" s="427">
        <v>0</v>
      </c>
    </row>
    <row r="30" spans="1:41" ht="15">
      <c r="A30" s="244" t="s">
        <v>510</v>
      </c>
      <c r="B30" s="232" t="str">
        <f>VLOOKUP(OPX_LE3!$A30,Tableau106[],3,FALSE)</f>
        <v>A540</v>
      </c>
      <c r="C30" s="232" t="str">
        <f>VLOOKUP(OPX_LE3!$A30,Tableau106[],2,FALSE)</f>
        <v>FR02E03E</v>
      </c>
      <c r="D30" s="232" t="str">
        <f>VLOOKUP(OPX_LE3!$A30,Tableau106[],8,FALSE)</f>
        <v>EOLIEN</v>
      </c>
      <c r="E30" s="233">
        <f>VLOOKUP(OPX_LE3!$A30,Tableau106[],4,FALSE)</f>
        <v>6</v>
      </c>
      <c r="F30" s="232" t="str">
        <f>VLOOKUP(OPX_LE3!$A30,Tableau106[],5,FALSE)</f>
        <v>BRIY</v>
      </c>
      <c r="G30" s="232" t="str">
        <f>VLOOKUP(OPX_LE3!$A30,Tableau106[],7,FALSE)</f>
        <v>EGM</v>
      </c>
      <c r="H30" s="232" t="str">
        <f>VLOOKUP(OPX_LE3!$A30,Tableau106[],6,FALSE)</f>
        <v>N</v>
      </c>
      <c r="I30" s="232" t="str">
        <f>VLOOKUP(OPX_LE3!$A30,Tableau106[],9,FALSE)</f>
        <v>NoS</v>
      </c>
      <c r="J30" s="254">
        <v>-154874</v>
      </c>
      <c r="K30" s="228">
        <v>-90000</v>
      </c>
      <c r="L30" s="228"/>
      <c r="M30" s="229">
        <v>0</v>
      </c>
      <c r="N30" s="229">
        <v>0</v>
      </c>
      <c r="O30" s="229">
        <v>0</v>
      </c>
      <c r="P30" s="229">
        <v>-2100</v>
      </c>
      <c r="Q30" s="229">
        <f>-250*OPX_LE3!$E30-3272</f>
        <v>-4772</v>
      </c>
      <c r="R30" s="311">
        <f>SUM(OPX_LE3!$K30:$Q30)</f>
        <v>-96872</v>
      </c>
      <c r="S30" s="337">
        <v>0</v>
      </c>
      <c r="T30" s="361">
        <v>0</v>
      </c>
      <c r="U30" s="362">
        <v>0</v>
      </c>
      <c r="V30" s="361">
        <v>-1000</v>
      </c>
      <c r="W30" s="361">
        <v>0</v>
      </c>
      <c r="X30" s="361">
        <v>0</v>
      </c>
      <c r="Y30" s="361">
        <v>0</v>
      </c>
      <c r="Z30" s="264">
        <f>-2730-1500</f>
        <v>-4230</v>
      </c>
      <c r="AA30" s="423"/>
      <c r="AB30" s="273">
        <f>SUM(OPX_LE3!$T30:$AA30)</f>
        <v>-5230</v>
      </c>
      <c r="AC30" s="426"/>
      <c r="AD30" s="426"/>
      <c r="AE30" s="417">
        <v>0</v>
      </c>
      <c r="AF30" s="417">
        <v>0</v>
      </c>
      <c r="AG30" s="417">
        <v>0</v>
      </c>
      <c r="AH30" s="417">
        <v>0</v>
      </c>
      <c r="AI30" s="417">
        <v>0</v>
      </c>
      <c r="AJ30" s="317">
        <f>SUM(OPX_LE3!$AC30:$AI30)</f>
        <v>0</v>
      </c>
      <c r="AK30" s="424">
        <v>0</v>
      </c>
      <c r="AL30" s="276">
        <f>SUM(OPX_LE3!$J30,OPX_LE3!$AB30,OPX_LE3!$S30,OPX_LE3!$AJ30,OPX_LE3!$R30,OPX_LE3!$AK30)</f>
        <v>-256976</v>
      </c>
      <c r="AM30" s="427">
        <v>0</v>
      </c>
      <c r="AN30" s="427">
        <v>-90000</v>
      </c>
      <c r="AO30" s="6" t="s">
        <v>1532</v>
      </c>
    </row>
    <row r="31" spans="1:41" ht="15">
      <c r="A31" s="325" t="s">
        <v>558</v>
      </c>
      <c r="B31" s="322" t="str">
        <f>VLOOKUP(OPX_LE3!$A31,Tableau106[],3,FALSE)</f>
        <v>A540</v>
      </c>
      <c r="C31" s="322" t="str">
        <f>VLOOKUP(OPX_LE3!$A31,Tableau106[],2,FALSE)</f>
        <v>FR56E01E</v>
      </c>
      <c r="D31" s="322" t="str">
        <f>VLOOKUP(OPX_LE3!$A31,Tableau106[],8,FALSE)</f>
        <v>EOLIEN</v>
      </c>
      <c r="E31" s="324">
        <f>VLOOKUP(OPX_LE3!$A31,Tableau106[],4,FALSE)</f>
        <v>12</v>
      </c>
      <c r="F31" s="322" t="str">
        <f>VLOOKUP(OPX_LE3!$A31,Tableau106[],5,FALSE)</f>
        <v>LBDF</v>
      </c>
      <c r="G31" s="322" t="str">
        <f>VLOOKUP(OPX_LE3!$A31,Tableau106[],7,FALSE)</f>
        <v>EGM</v>
      </c>
      <c r="H31" s="322" t="str">
        <f>VLOOKUP(OPX_LE3!$A31,Tableau106[],6,FALSE)</f>
        <v>N</v>
      </c>
      <c r="I31" s="322" t="str">
        <f>VLOOKUP(OPX_LE3!$A31,Tableau106[],9,FALSE)</f>
        <v>BoK</v>
      </c>
      <c r="J31" s="254">
        <v>-309748</v>
      </c>
      <c r="K31" s="228">
        <v>-120000</v>
      </c>
      <c r="L31" s="228"/>
      <c r="M31" s="229">
        <v>0</v>
      </c>
      <c r="N31" s="229">
        <v>0</v>
      </c>
      <c r="O31" s="229">
        <v>0</v>
      </c>
      <c r="P31" s="229">
        <v>-4200</v>
      </c>
      <c r="Q31" s="229">
        <f>-250*OPX_LE3!$E31-6510</f>
        <v>-9510</v>
      </c>
      <c r="R31" s="311">
        <f>SUM(OPX_LE3!$K31:$Q31)</f>
        <v>-133710</v>
      </c>
      <c r="S31" s="337">
        <v>0</v>
      </c>
      <c r="T31" s="361">
        <v>0</v>
      </c>
      <c r="U31" s="362">
        <v>0</v>
      </c>
      <c r="V31" s="361">
        <v>-2000</v>
      </c>
      <c r="W31" s="361">
        <v>0</v>
      </c>
      <c r="X31" s="361">
        <v>0</v>
      </c>
      <c r="Y31" s="361">
        <v>0</v>
      </c>
      <c r="Z31" s="264">
        <v>-3000</v>
      </c>
      <c r="AA31" s="423"/>
      <c r="AB31" s="273">
        <f>SUM(OPX_LE3!$T31:$AA31)</f>
        <v>-5000</v>
      </c>
      <c r="AC31" s="426"/>
      <c r="AD31" s="426"/>
      <c r="AE31" s="417">
        <v>0</v>
      </c>
      <c r="AF31" s="417">
        <v>0</v>
      </c>
      <c r="AG31" s="417">
        <v>0</v>
      </c>
      <c r="AH31" s="417">
        <v>0</v>
      </c>
      <c r="AI31" s="417">
        <v>0</v>
      </c>
      <c r="AJ31" s="317">
        <f>SUM(OPX_LE3!$AC31:$AI31)</f>
        <v>0</v>
      </c>
      <c r="AK31" s="424">
        <v>0</v>
      </c>
      <c r="AL31" s="276">
        <f>SUM(OPX_LE3!$J31,OPX_LE3!$AB31,OPX_LE3!$S31,OPX_LE3!$AJ31,OPX_LE3!$R31,OPX_LE3!$AK31)</f>
        <v>-448458</v>
      </c>
      <c r="AM31" s="427">
        <v>0</v>
      </c>
      <c r="AN31" s="427">
        <v>-113000</v>
      </c>
      <c r="AO31" s="6" t="s">
        <v>1543</v>
      </c>
    </row>
    <row r="32" spans="1:41" ht="15">
      <c r="A32" s="244" t="s">
        <v>563</v>
      </c>
      <c r="B32" s="232" t="str">
        <f>VLOOKUP(OPX_LE3!$A32,Tableau106[],3,FALSE)</f>
        <v>A114</v>
      </c>
      <c r="C32" s="232" t="str">
        <f>VLOOKUP(OPX_LE3!$A32,Tableau106[],2,FALSE)</f>
        <v>FR11E95E</v>
      </c>
      <c r="D32" s="232" t="str">
        <f>VLOOKUP(OPX_LE3!$A32,Tableau106[],8,FALSE)</f>
        <v>EOLIEN</v>
      </c>
      <c r="E32" s="233">
        <f>VLOOKUP(OPX_LE3!$A32,Tableau106[],4,FALSE)</f>
        <v>11.5</v>
      </c>
      <c r="F32" s="232" t="str">
        <f>VLOOKUP(OPX_LE3!$A32,Tableau106[],5,FALSE)</f>
        <v>CAMB</v>
      </c>
      <c r="G32" s="232" t="str">
        <f>VLOOKUP(OPX_LE3!$A32,Tableau106[],7,FALSE)</f>
        <v>GROUPE</v>
      </c>
      <c r="H32" s="232" t="str">
        <f>VLOOKUP(OPX_LE3!$A32,Tableau106[],6,FALSE)</f>
        <v>S</v>
      </c>
      <c r="I32" s="232" t="str">
        <f>VLOOKUP(OPX_LE3!$A32,Tableau106[],9,FALSE)</f>
        <v>ThC</v>
      </c>
      <c r="J32" s="254">
        <v>-9840</v>
      </c>
      <c r="K32" s="228">
        <v>-12480</v>
      </c>
      <c r="L32" s="228"/>
      <c r="M32" s="229">
        <v>0</v>
      </c>
      <c r="N32" s="229">
        <v>0</v>
      </c>
      <c r="O32" s="229">
        <v>0</v>
      </c>
      <c r="P32" s="229">
        <v>-5100</v>
      </c>
      <c r="Q32" s="229">
        <f>-250*OPX_LE3!$E32</f>
        <v>-2875</v>
      </c>
      <c r="R32" s="311">
        <f>SUM(OPX_LE3!$K32:$Q32)</f>
        <v>-20455</v>
      </c>
      <c r="S32" s="337">
        <v>-410595</v>
      </c>
      <c r="T32" s="361">
        <v>0</v>
      </c>
      <c r="U32" s="362">
        <v>0</v>
      </c>
      <c r="V32" s="361">
        <v>-13800</v>
      </c>
      <c r="W32" s="361">
        <v>-6000</v>
      </c>
      <c r="X32" s="361">
        <v>0</v>
      </c>
      <c r="Y32" s="361"/>
      <c r="Z32" s="264">
        <v>-2875</v>
      </c>
      <c r="AA32" s="423">
        <v>-4000</v>
      </c>
      <c r="AB32" s="273">
        <f>SUM(OPX_LE3!$T32:$AA32)</f>
        <v>-26675</v>
      </c>
      <c r="AC32" s="426"/>
      <c r="AD32" s="426"/>
      <c r="AE32" s="417">
        <v>0</v>
      </c>
      <c r="AF32" s="417">
        <v>-7797</v>
      </c>
      <c r="AG32" s="417">
        <v>-15500</v>
      </c>
      <c r="AH32" s="417">
        <v>0</v>
      </c>
      <c r="AI32" s="417">
        <v>-22000</v>
      </c>
      <c r="AJ32" s="317">
        <f>SUM(OPX_LE3!$AC32:$AI32)</f>
        <v>-45297</v>
      </c>
      <c r="AK32" s="424">
        <v>0</v>
      </c>
      <c r="AL32" s="276">
        <f>SUM(OPX_LE3!$J32,OPX_LE3!$AB32,OPX_LE3!$S32,OPX_LE3!$AJ32,OPX_LE3!$R32,OPX_LE3!$AK32)</f>
        <v>-512862</v>
      </c>
      <c r="AM32" s="427">
        <v>0</v>
      </c>
      <c r="AN32" s="427">
        <v>0</v>
      </c>
    </row>
    <row r="33" spans="1:41" ht="15">
      <c r="A33" s="325" t="s">
        <v>466</v>
      </c>
      <c r="B33" s="322" t="str">
        <f>VLOOKUP(OPX_LE3!$A33,Tableau106[],3,FALSE)</f>
        <v>A047</v>
      </c>
      <c r="C33" s="322" t="str">
        <f>VLOOKUP(OPX_LE3!$A33,Tableau106[],2,FALSE)</f>
        <v>FR97S76E</v>
      </c>
      <c r="D33" s="322" t="str">
        <f>VLOOKUP(OPX_LE3!$A33,Tableau106[],8,FALSE)</f>
        <v>SOLAIRE DOM</v>
      </c>
      <c r="E33" s="324">
        <f>VLOOKUP(OPX_LE3!$A33,Tableau106[],4,FALSE)</f>
        <v>0.68200000000000005</v>
      </c>
      <c r="F33" s="322" t="str">
        <f>VLOOKUP(OPX_LE3!$A33,Tableau106[],5,FALSE)</f>
        <v>CANO</v>
      </c>
      <c r="G33" s="322" t="str">
        <f>VLOOKUP(OPX_LE3!$A33,Tableau106[],7,FALSE)</f>
        <v>GROUPE</v>
      </c>
      <c r="H33" s="322" t="str">
        <f>VLOOKUP(OPX_LE3!$A33,Tableau106[],6,FALSE)</f>
        <v>DOM</v>
      </c>
      <c r="I33" s="322" t="str">
        <f>VLOOKUP(OPX_LE3!$A33,Tableau106[],9,FALSE)</f>
        <v>DoJ</v>
      </c>
      <c r="J33" s="254">
        <v>0</v>
      </c>
      <c r="K33" s="228">
        <v>0</v>
      </c>
      <c r="L33" s="228"/>
      <c r="M33" s="229">
        <v>0</v>
      </c>
      <c r="N33" s="229">
        <v>0</v>
      </c>
      <c r="O33" s="229">
        <v>0</v>
      </c>
      <c r="P33" s="229">
        <v>0</v>
      </c>
      <c r="Q33" s="229">
        <f>-250*OPX_LE3!$E33</f>
        <v>-170.5</v>
      </c>
      <c r="R33" s="311">
        <f>SUM(OPX_LE3!$K33:$Q33)</f>
        <v>-170.5</v>
      </c>
      <c r="S33" s="337">
        <v>-35312</v>
      </c>
      <c r="T33" s="361">
        <v>-3500</v>
      </c>
      <c r="U33" s="362">
        <v>0</v>
      </c>
      <c r="V33" s="364">
        <v>-7200</v>
      </c>
      <c r="W33" s="361">
        <f>-1900-1200</f>
        <v>-3100</v>
      </c>
      <c r="X33" s="361">
        <v>0</v>
      </c>
      <c r="Y33" s="361">
        <v>0</v>
      </c>
      <c r="Z33" s="264">
        <f>-1600</f>
        <v>-1600</v>
      </c>
      <c r="AA33" s="423">
        <f>-149552*0.002</f>
        <v>-299.10399999999998</v>
      </c>
      <c r="AB33" s="273">
        <f>SUM(OPX_LE3!$T33:$AA33)</f>
        <v>-15699.103999999999</v>
      </c>
      <c r="AC33" s="426"/>
      <c r="AD33" s="426">
        <v>0</v>
      </c>
      <c r="AE33" s="417">
        <v>0</v>
      </c>
      <c r="AF33" s="417">
        <v>0</v>
      </c>
      <c r="AG33" s="417">
        <v>0</v>
      </c>
      <c r="AH33" s="417">
        <v>0</v>
      </c>
      <c r="AI33" s="417">
        <v>0</v>
      </c>
      <c r="AJ33" s="317">
        <f>SUM(OPX_LE3!$AC33:$AI33)</f>
        <v>0</v>
      </c>
      <c r="AK33" s="424">
        <v>0</v>
      </c>
      <c r="AL33" s="276">
        <f>SUM(OPX_LE3!$J33,OPX_LE3!$AB33,OPX_LE3!$S33,OPX_LE3!$AJ33,OPX_LE3!$R33,OPX_LE3!$AK33)</f>
        <v>-51181.603999999999</v>
      </c>
      <c r="AM33" s="427">
        <v>-88000</v>
      </c>
      <c r="AN33" s="427">
        <v>0</v>
      </c>
    </row>
    <row r="34" spans="1:41" ht="15">
      <c r="A34" s="244" t="s">
        <v>590</v>
      </c>
      <c r="B34" s="232" t="str">
        <f>VLOOKUP(OPX_LE3!$A34,Tableau106[],3,FALSE)</f>
        <v>A124</v>
      </c>
      <c r="C34" s="232" t="str">
        <f>VLOOKUP(OPX_LE3!$A34,Tableau106[],2,FALSE)</f>
        <v>FR28E99E</v>
      </c>
      <c r="D34" s="232" t="str">
        <f>VLOOKUP(OPX_LE3!$A34,Tableau106[],8,FALSE)</f>
        <v>EOLIEN</v>
      </c>
      <c r="E34" s="233">
        <f>VLOOKUP(OPX_LE3!$A34,Tableau106[],4,FALSE)</f>
        <v>12</v>
      </c>
      <c r="F34" s="232" t="str">
        <f>VLOOKUP(OPX_LE3!$A34,Tableau106[],5,FALSE)</f>
        <v>CDBO</v>
      </c>
      <c r="G34" s="232" t="str">
        <f>VLOOKUP(OPX_LE3!$A34,Tableau106[],7,FALSE)</f>
        <v>GROUPE</v>
      </c>
      <c r="H34" s="232" t="str">
        <f>VLOOKUP(OPX_LE3!$A34,Tableau106[],6,FALSE)</f>
        <v>N</v>
      </c>
      <c r="I34" s="232" t="str">
        <f>VLOOKUP(OPX_LE3!$A34,Tableau106[],9,FALSE)</f>
        <v>LoH</v>
      </c>
      <c r="J34" s="254">
        <v>-20274</v>
      </c>
      <c r="K34" s="228">
        <v>-29110</v>
      </c>
      <c r="L34" s="228"/>
      <c r="M34" s="229">
        <v>0</v>
      </c>
      <c r="N34" s="229">
        <v>0</v>
      </c>
      <c r="O34" s="229">
        <v>-3000</v>
      </c>
      <c r="P34" s="229">
        <f>-440*Tableau16[[#This Row],[MW]]</f>
        <v>-5280</v>
      </c>
      <c r="Q34" s="229">
        <f>-250*OPX_LE3!$E34</f>
        <v>-3000</v>
      </c>
      <c r="R34" s="311">
        <f>SUM(OPX_LE3!$K34:$Q34)</f>
        <v>-40390</v>
      </c>
      <c r="S34" s="337">
        <v>-775210</v>
      </c>
      <c r="T34" s="361">
        <v>0</v>
      </c>
      <c r="U34" s="362">
        <v>0</v>
      </c>
      <c r="V34" s="361">
        <v>-20000</v>
      </c>
      <c r="W34" s="361">
        <v>-3600</v>
      </c>
      <c r="X34" s="361"/>
      <c r="Y34" s="361">
        <v>0</v>
      </c>
      <c r="Z34" s="264">
        <f>-250*Tableau16[[#This Row],[MW]]</f>
        <v>-3000</v>
      </c>
      <c r="AA34" s="423"/>
      <c r="AB34" s="273">
        <f>SUM(OPX_LE3!$T34:$AA34)</f>
        <v>-26600</v>
      </c>
      <c r="AC34" s="426"/>
      <c r="AD34" s="426"/>
      <c r="AE34" s="417">
        <v>0</v>
      </c>
      <c r="AF34" s="417">
        <v>0</v>
      </c>
      <c r="AG34" s="417">
        <v>0</v>
      </c>
      <c r="AH34" s="417">
        <v>0</v>
      </c>
      <c r="AI34" s="417">
        <v>0</v>
      </c>
      <c r="AJ34" s="317">
        <f>SUM(OPX_LE3!$AC34:$AI34)</f>
        <v>0</v>
      </c>
      <c r="AK34" s="424">
        <v>0</v>
      </c>
      <c r="AL34" s="276">
        <f>SUM(OPX_LE3!$J34,OPX_LE3!$AB34,OPX_LE3!$S34,OPX_LE3!$AJ34,OPX_LE3!$R34,OPX_LE3!$AK34)</f>
        <v>-862474</v>
      </c>
      <c r="AM34" s="427">
        <v>0</v>
      </c>
      <c r="AN34" s="427">
        <v>0</v>
      </c>
    </row>
    <row r="35" spans="1:41" ht="15">
      <c r="A35" s="325" t="s">
        <v>485</v>
      </c>
      <c r="B35" s="322" t="str">
        <f>VLOOKUP(OPX_LE3!$A35,Tableau106[],3,FALSE)</f>
        <v>A534</v>
      </c>
      <c r="C35" s="322" t="str">
        <f>VLOOKUP(OPX_LE3!$A35,Tableau106[],2,FALSE)</f>
        <v>FR62E03E</v>
      </c>
      <c r="D35" s="322" t="str">
        <f>VLOOKUP(OPX_LE3!$A35,Tableau106[],8,FALSE)</f>
        <v>EOLIEN</v>
      </c>
      <c r="E35" s="324">
        <f>VLOOKUP(OPX_LE3!$A35,Tableau106[],4,FALSE)</f>
        <v>19.8</v>
      </c>
      <c r="F35" s="322" t="str">
        <f>VLOOKUP(OPX_LE3!$A35,Tableau106[],5,FALSE)</f>
        <v>CARN</v>
      </c>
      <c r="G35" s="322" t="str">
        <f>VLOOKUP(OPX_LE3!$A35,Tableau106[],7,FALSE)</f>
        <v>GROUPE</v>
      </c>
      <c r="H35" s="322" t="str">
        <f>VLOOKUP(OPX_LE3!$A35,Tableau106[],6,FALSE)</f>
        <v>N</v>
      </c>
      <c r="I35" s="322" t="str">
        <f>VLOOKUP(OPX_LE3!$A35,Tableau106[],9,FALSE)</f>
        <v>NiL</v>
      </c>
      <c r="J35" s="254">
        <v>-458981</v>
      </c>
      <c r="K35" s="228">
        <v>-17320</v>
      </c>
      <c r="L35" s="228"/>
      <c r="M35" s="229">
        <v>0</v>
      </c>
      <c r="N35" s="229">
        <v>0</v>
      </c>
      <c r="O35" s="229">
        <v>0</v>
      </c>
      <c r="P35" s="229">
        <f>-440*Tableau16[[#This Row],[MW]]</f>
        <v>-8712</v>
      </c>
      <c r="Q35" s="229">
        <f>-250*OPX_LE3!$E35</f>
        <v>-4950</v>
      </c>
      <c r="R35" s="311">
        <f>SUM(OPX_LE3!$K35:$Q35)</f>
        <v>-30982</v>
      </c>
      <c r="S35" s="337">
        <v>0</v>
      </c>
      <c r="T35" s="361">
        <v>0</v>
      </c>
      <c r="U35" s="362">
        <v>0</v>
      </c>
      <c r="V35" s="361">
        <v>-3000</v>
      </c>
      <c r="W35" s="361">
        <v>0</v>
      </c>
      <c r="X35" s="361">
        <v>0</v>
      </c>
      <c r="Y35" s="361">
        <v>0</v>
      </c>
      <c r="Z35" s="264">
        <f>(-250*OPX_LE3!$E35)-(1700*6)</f>
        <v>-15150</v>
      </c>
      <c r="AA35" s="423"/>
      <c r="AB35" s="273">
        <f>SUM(OPX_LE3!$T35:$AA35)</f>
        <v>-18150</v>
      </c>
      <c r="AC35" s="426"/>
      <c r="AD35" s="426"/>
      <c r="AE35" s="417">
        <v>0</v>
      </c>
      <c r="AF35" s="417">
        <v>0</v>
      </c>
      <c r="AG35" s="417">
        <v>-12000</v>
      </c>
      <c r="AH35" s="417">
        <v>0</v>
      </c>
      <c r="AI35" s="417">
        <v>0</v>
      </c>
      <c r="AJ35" s="317">
        <f>SUM(OPX_LE3!$AC35:$AI35)</f>
        <v>-12000</v>
      </c>
      <c r="AK35" s="424">
        <v>0</v>
      </c>
      <c r="AL35" s="276">
        <f>SUM(OPX_LE3!$J35,OPX_LE3!$AB35,OPX_LE3!$S35,OPX_LE3!$AJ35,OPX_LE3!$R35,OPX_LE3!$AK35)</f>
        <v>-520113</v>
      </c>
      <c r="AM35" s="427">
        <v>0</v>
      </c>
      <c r="AN35" s="427">
        <v>0</v>
      </c>
    </row>
    <row r="36" spans="1:41" ht="15">
      <c r="A36" s="244" t="s">
        <v>622</v>
      </c>
      <c r="B36" s="232" t="str">
        <f>VLOOKUP(OPX_LE3!$A36,Tableau106[],3,FALSE)</f>
        <v>A049</v>
      </c>
      <c r="C36" s="232" t="str">
        <f>VLOOKUP(OPX_LE3!$A36,Tableau106[],2,FALSE)</f>
        <v>FR34E96E</v>
      </c>
      <c r="D36" s="232" t="str">
        <f>VLOOKUP(OPX_LE3!$A36,Tableau106[],8,FALSE)</f>
        <v>EOLIEN</v>
      </c>
      <c r="E36" s="233">
        <f>VLOOKUP(OPX_LE3!$A36,Tableau106[],4,FALSE)</f>
        <v>11.5</v>
      </c>
      <c r="F36" s="232" t="str">
        <f>VLOOKUP(OPX_LE3!$A36,Tableau106[],5,FALSE)</f>
        <v>CASH</v>
      </c>
      <c r="G36" s="232" t="str">
        <f>VLOOKUP(OPX_LE3!$A36,Tableau106[],7,FALSE)</f>
        <v>GROUPE</v>
      </c>
      <c r="H36" s="232" t="str">
        <f>VLOOKUP(OPX_LE3!$A36,Tableau106[],6,FALSE)</f>
        <v>S</v>
      </c>
      <c r="I36" s="232" t="str">
        <f>VLOOKUP(OPX_LE3!$A36,Tableau106[],9,FALSE)</f>
        <v>OdP</v>
      </c>
      <c r="J36" s="254">
        <v>-424551</v>
      </c>
      <c r="K36" s="228">
        <v>-29370</v>
      </c>
      <c r="L36" s="228"/>
      <c r="M36" s="229">
        <v>0</v>
      </c>
      <c r="N36" s="229">
        <v>0</v>
      </c>
      <c r="O36" s="229">
        <v>0</v>
      </c>
      <c r="P36" s="229">
        <v>-6900</v>
      </c>
      <c r="Q36" s="229">
        <f>-250*OPX_LE3!$E36</f>
        <v>-2875</v>
      </c>
      <c r="R36" s="311">
        <f>SUM(OPX_LE3!$K36:$Q36)</f>
        <v>-39145</v>
      </c>
      <c r="S36" s="337">
        <v>0</v>
      </c>
      <c r="T36" s="377">
        <v>0</v>
      </c>
      <c r="U36" s="362">
        <v>0</v>
      </c>
      <c r="V36" s="361">
        <v>-5000</v>
      </c>
      <c r="W36" s="361">
        <v>0</v>
      </c>
      <c r="X36" s="361">
        <v>0</v>
      </c>
      <c r="Y36" s="361">
        <v>0</v>
      </c>
      <c r="Z36" s="264">
        <v>-2875</v>
      </c>
      <c r="AA36" s="423">
        <v>-4000</v>
      </c>
      <c r="AB36" s="273">
        <f>SUM(OPX_LE3!$T36:$AA36)-3750</f>
        <v>-15625</v>
      </c>
      <c r="AC36" s="426"/>
      <c r="AD36" s="426">
        <f t="shared" ref="AD36:AD49" si="1">-4924*1.03</f>
        <v>-5071.72</v>
      </c>
      <c r="AE36" s="417">
        <v>0</v>
      </c>
      <c r="AF36" s="417">
        <v>-6663.75</v>
      </c>
      <c r="AG36" s="417">
        <v>-21833.33</v>
      </c>
      <c r="AH36" s="417">
        <v>0</v>
      </c>
      <c r="AI36" s="417">
        <v>0</v>
      </c>
      <c r="AJ36" s="317">
        <f>SUM(OPX_LE3!$AC36:$AI36)</f>
        <v>-33568.800000000003</v>
      </c>
      <c r="AK36" s="424">
        <v>0</v>
      </c>
      <c r="AL36" s="276">
        <f>SUM(OPX_LE3!$J36,OPX_LE3!$AB36,OPX_LE3!$S36,OPX_LE3!$AJ36,OPX_LE3!$R36,OPX_LE3!$AK36)</f>
        <v>-512889.8</v>
      </c>
      <c r="AM36" s="427">
        <v>0</v>
      </c>
      <c r="AN36" s="427">
        <v>0</v>
      </c>
      <c r="AO36" s="6" t="s">
        <v>672</v>
      </c>
    </row>
    <row r="37" spans="1:41" ht="15">
      <c r="A37" s="325" t="s">
        <v>471</v>
      </c>
      <c r="B37" s="322" t="str">
        <f>VLOOKUP(OPX_LE3!$A37,Tableau106[],3,FALSE)</f>
        <v>A043</v>
      </c>
      <c r="C37" s="322" t="str">
        <f>VLOOKUP(OPX_LE3!$A37,Tableau106[],2,FALSE)</f>
        <v>FR97S77E</v>
      </c>
      <c r="D37" s="322" t="str">
        <f>VLOOKUP(OPX_LE3!$A37,Tableau106[],8,FALSE)</f>
        <v>SOLAIRE DOM</v>
      </c>
      <c r="E37" s="324">
        <f>VLOOKUP(OPX_LE3!$A37,Tableau106[],4,FALSE)</f>
        <v>0.68200000000000005</v>
      </c>
      <c r="F37" s="322" t="str">
        <f>VLOOKUP(OPX_LE3!$A37,Tableau106[],5,FALSE)</f>
        <v>CESA</v>
      </c>
      <c r="G37" s="322" t="str">
        <f>VLOOKUP(OPX_LE3!$A37,Tableau106[],7,FALSE)</f>
        <v>GROUPE</v>
      </c>
      <c r="H37" s="322" t="str">
        <f>VLOOKUP(OPX_LE3!$A37,Tableau106[],6,FALSE)</f>
        <v>DOM</v>
      </c>
      <c r="I37" s="322" t="str">
        <f>VLOOKUP(OPX_LE3!$A37,Tableau106[],9,FALSE)</f>
        <v>DoJ</v>
      </c>
      <c r="J37" s="254">
        <v>0</v>
      </c>
      <c r="K37" s="228">
        <v>0</v>
      </c>
      <c r="L37" s="228"/>
      <c r="M37" s="229">
        <v>0</v>
      </c>
      <c r="N37" s="229">
        <v>0</v>
      </c>
      <c r="O37" s="229">
        <v>0</v>
      </c>
      <c r="P37" s="229">
        <v>0</v>
      </c>
      <c r="Q37" s="229">
        <f>-250*OPX_LE3!$E37</f>
        <v>-170.5</v>
      </c>
      <c r="R37" s="311">
        <f>SUM(OPX_LE3!$K37:$Q37)</f>
        <v>-170.5</v>
      </c>
      <c r="S37" s="337">
        <v>-33543</v>
      </c>
      <c r="T37" s="361">
        <v>-3500</v>
      </c>
      <c r="U37" s="362">
        <v>0</v>
      </c>
      <c r="V37" s="364">
        <v>-7200</v>
      </c>
      <c r="W37" s="361">
        <f>-1900-1200</f>
        <v>-3100</v>
      </c>
      <c r="X37" s="361">
        <v>0</v>
      </c>
      <c r="Y37" s="361">
        <v>0</v>
      </c>
      <c r="Z37" s="264">
        <f>-1600</f>
        <v>-1600</v>
      </c>
      <c r="AA37" s="423">
        <f>-314417*0.002</f>
        <v>-628.83400000000006</v>
      </c>
      <c r="AB37" s="273">
        <f>SUM(OPX_LE3!$T37:$AA37)</f>
        <v>-16028.834000000001</v>
      </c>
      <c r="AC37" s="426"/>
      <c r="AD37" s="426">
        <v>0</v>
      </c>
      <c r="AE37" s="417">
        <v>0</v>
      </c>
      <c r="AF37" s="417">
        <v>0</v>
      </c>
      <c r="AG37" s="417">
        <v>0</v>
      </c>
      <c r="AH37" s="417">
        <v>0</v>
      </c>
      <c r="AI37" s="417">
        <v>0</v>
      </c>
      <c r="AJ37" s="317">
        <f>SUM(OPX_LE3!$AC37:$AI37)</f>
        <v>0</v>
      </c>
      <c r="AK37" s="424">
        <v>0</v>
      </c>
      <c r="AL37" s="276">
        <f>SUM(OPX_LE3!$J37,OPX_LE3!$AB37,OPX_LE3!$S37,OPX_LE3!$AJ37,OPX_LE3!$R37,OPX_LE3!$AK37)</f>
        <v>-49742.334000000003</v>
      </c>
      <c r="AM37" s="427">
        <v>0</v>
      </c>
      <c r="AN37" s="427">
        <v>0</v>
      </c>
    </row>
    <row r="38" spans="1:41" ht="15">
      <c r="A38" s="244" t="s">
        <v>83</v>
      </c>
      <c r="B38" s="232" t="str">
        <f>VLOOKUP(OPX_LE3!$A38,Tableau106[],3,FALSE)</f>
        <v>A253</v>
      </c>
      <c r="C38" s="232" t="str">
        <f>VLOOKUP(OPX_LE3!$A38,Tableau106[],2,FALSE)</f>
        <v>FR21S01E</v>
      </c>
      <c r="D38" s="232" t="str">
        <f>VLOOKUP(OPX_LE3!$A38,Tableau106[],8,FALSE)</f>
        <v>SOLAIRE</v>
      </c>
      <c r="E38" s="233">
        <f>VLOOKUP(OPX_LE3!$A38,Tableau106[],4,FALSE)</f>
        <v>15.5</v>
      </c>
      <c r="F38" s="232" t="str">
        <f>VLOOKUP(OPX_LE3!$A38,Tableau106[],5,FALSE)</f>
        <v>DIJO</v>
      </c>
      <c r="G38" s="232" t="str">
        <f>VLOOKUP(OPX_LE3!$A38,Tableau106[],7,FALSE)</f>
        <v>GROUPE</v>
      </c>
      <c r="H38" s="232" t="str">
        <f>VLOOKUP(OPX_LE3!$A38,Tableau106[],6,FALSE)</f>
        <v>N</v>
      </c>
      <c r="I38" s="232" t="str">
        <f>VLOOKUP(OPX_LE3!$A38,Tableau106[],9,FALSE)</f>
        <v>LoG</v>
      </c>
      <c r="J38" s="254">
        <v>-92027</v>
      </c>
      <c r="K38" s="228">
        <v>-50350</v>
      </c>
      <c r="L38" s="228"/>
      <c r="M38" s="229">
        <v>0</v>
      </c>
      <c r="N38" s="229">
        <v>0</v>
      </c>
      <c r="O38" s="229">
        <v>0</v>
      </c>
      <c r="P38" s="229">
        <v>0</v>
      </c>
      <c r="Q38" s="229">
        <f>-250*OPX_LE3!$E38-(0.1*92027)</f>
        <v>-13077.7</v>
      </c>
      <c r="R38" s="311">
        <f>SUM(OPX_LE3!$K38:$Q38)</f>
        <v>-63427.7</v>
      </c>
      <c r="S38" s="337">
        <v>0</v>
      </c>
      <c r="T38" s="361">
        <v>0</v>
      </c>
      <c r="U38" s="362">
        <v>0</v>
      </c>
      <c r="V38" s="361">
        <v>-11200</v>
      </c>
      <c r="W38" s="361">
        <v>0</v>
      </c>
      <c r="X38" s="361">
        <v>0</v>
      </c>
      <c r="Y38" s="361">
        <v>0</v>
      </c>
      <c r="Z38" s="264"/>
      <c r="AA38" s="423"/>
      <c r="AB38" s="273">
        <f>SUM(OPX_LE3!$T38:$AA38)</f>
        <v>-11200</v>
      </c>
      <c r="AC38" s="426"/>
      <c r="AD38" s="426">
        <v>0</v>
      </c>
      <c r="AE38" s="417">
        <v>0</v>
      </c>
      <c r="AF38" s="417">
        <v>0</v>
      </c>
      <c r="AG38" s="417">
        <v>0</v>
      </c>
      <c r="AH38" s="417">
        <v>0</v>
      </c>
      <c r="AI38" s="417">
        <v>0</v>
      </c>
      <c r="AJ38" s="317">
        <f>SUM(OPX_LE3!$AC38:$AI38)</f>
        <v>0</v>
      </c>
      <c r="AK38" s="424">
        <v>0</v>
      </c>
      <c r="AL38" s="276">
        <f>SUM(OPX_LE3!$J38,OPX_LE3!$AB38,OPX_LE3!$S38,OPX_LE3!$AJ38,OPX_LE3!$R38,OPX_LE3!$AK38)</f>
        <v>-166654.70000000001</v>
      </c>
      <c r="AM38" s="427">
        <v>0</v>
      </c>
      <c r="AN38" s="427">
        <v>0</v>
      </c>
    </row>
    <row r="39" spans="1:41" ht="15">
      <c r="A39" s="325" t="s">
        <v>472</v>
      </c>
      <c r="B39" s="322" t="str">
        <f>VLOOKUP(OPX_LE3!$A39,Tableau106[],3,FALSE)</f>
        <v>A257</v>
      </c>
      <c r="C39" s="322" t="str">
        <f>VLOOKUP(OPX_LE3!$A39,Tableau106[],2,FALSE)</f>
        <v>FR71S06E</v>
      </c>
      <c r="D39" s="322" t="str">
        <f>VLOOKUP(OPX_LE3!$A39,Tableau106[],8,FALSE)</f>
        <v>SOLAIRE</v>
      </c>
      <c r="E39" s="324">
        <f>VLOOKUP(OPX_LE3!$A39,Tableau106[],4,FALSE)</f>
        <v>4.4000000000000004</v>
      </c>
      <c r="F39" s="322" t="str">
        <f>VLOOKUP(OPX_LE3!$A39,Tableau106[],5,FALSE)</f>
        <v>CHAG</v>
      </c>
      <c r="G39" s="322" t="str">
        <f>VLOOKUP(OPX_LE3!$A39,Tableau106[],7,FALSE)</f>
        <v>GROUPE</v>
      </c>
      <c r="H39" s="322" t="str">
        <f>VLOOKUP(OPX_LE3!$A39,Tableau106[],6,FALSE)</f>
        <v>N</v>
      </c>
      <c r="I39" s="322" t="str">
        <f>VLOOKUP(OPX_LE3!$A39,Tableau106[],9,FALSE)</f>
        <v>LoG</v>
      </c>
      <c r="J39" s="254">
        <v>-26000</v>
      </c>
      <c r="K39" s="228">
        <v>-20890</v>
      </c>
      <c r="L39" s="228"/>
      <c r="M39" s="229">
        <v>0</v>
      </c>
      <c r="N39" s="229">
        <v>0</v>
      </c>
      <c r="O39" s="229">
        <v>0</v>
      </c>
      <c r="P39" s="229">
        <v>0</v>
      </c>
      <c r="Q39" s="229">
        <f>-250*OPX_LE3!$E39-4430</f>
        <v>-5530</v>
      </c>
      <c r="R39" s="311">
        <f>SUM(OPX_LE3!$K39:$Q39)</f>
        <v>-26420</v>
      </c>
      <c r="S39" s="337">
        <v>0</v>
      </c>
      <c r="T39" s="361">
        <v>0</v>
      </c>
      <c r="U39" s="362">
        <v>0</v>
      </c>
      <c r="V39" s="361">
        <v>0</v>
      </c>
      <c r="W39" s="361">
        <v>0</v>
      </c>
      <c r="X39" s="361">
        <v>0</v>
      </c>
      <c r="Y39" s="361">
        <v>0</v>
      </c>
      <c r="Z39" s="264"/>
      <c r="AA39" s="423"/>
      <c r="AB39" s="273">
        <f>SUM(OPX_LE3!$T39:$AA39)</f>
        <v>0</v>
      </c>
      <c r="AC39" s="426"/>
      <c r="AD39" s="426">
        <v>0</v>
      </c>
      <c r="AE39" s="417">
        <v>0</v>
      </c>
      <c r="AF39" s="417">
        <v>0</v>
      </c>
      <c r="AG39" s="417">
        <v>0</v>
      </c>
      <c r="AH39" s="417">
        <v>-4249.5</v>
      </c>
      <c r="AI39" s="417">
        <v>0</v>
      </c>
      <c r="AJ39" s="317">
        <f>SUM(OPX_LE3!$AC39:$AI39)</f>
        <v>-4249.5</v>
      </c>
      <c r="AK39" s="424">
        <v>0</v>
      </c>
      <c r="AL39" s="276">
        <f>SUM(OPX_LE3!$J39,OPX_LE3!$AB39,OPX_LE3!$S39,OPX_LE3!$AJ39,OPX_LE3!$R39,OPX_LE3!$AK39)</f>
        <v>-56669.5</v>
      </c>
      <c r="AM39" s="427">
        <v>0</v>
      </c>
      <c r="AN39" s="427">
        <v>0</v>
      </c>
    </row>
    <row r="40" spans="1:41" ht="15">
      <c r="A40" s="244" t="s">
        <v>538</v>
      </c>
      <c r="B40" s="232" t="str">
        <f>VLOOKUP(OPX_LE3!$A40,Tableau106[],3,FALSE)</f>
        <v>A992</v>
      </c>
      <c r="C40" s="232" t="str">
        <f>VLOOKUP(OPX_LE3!$A40,Tableau106[],2,FALSE)</f>
        <v>FR89E03E</v>
      </c>
      <c r="D40" s="232" t="str">
        <f>VLOOKUP(OPX_LE3!$A40,Tableau106[],8,FALSE)</f>
        <v>EOLIEN</v>
      </c>
      <c r="E40" s="233">
        <f>VLOOKUP(OPX_LE3!$A40,Tableau106[],4,FALSE)</f>
        <v>21.700000000000003</v>
      </c>
      <c r="F40" s="232" t="str">
        <f>VLOOKUP(OPX_LE3!$A40,Tableau106[],5,FALSE)</f>
        <v>GOUR</v>
      </c>
      <c r="G40" s="232" t="str">
        <f>VLOOKUP(OPX_LE3!$A40,Tableau106[],7,FALSE)</f>
        <v>GROUPE</v>
      </c>
      <c r="H40" s="232" t="str">
        <f>VLOOKUP(OPX_LE3!$A40,Tableau106[],6,FALSE)</f>
        <v>N</v>
      </c>
      <c r="I40" s="232" t="str">
        <f>VLOOKUP(OPX_LE3!$A40,Tableau106[],9,FALSE)</f>
        <v>LoH</v>
      </c>
      <c r="J40" s="254">
        <v>-20775</v>
      </c>
      <c r="K40" s="228">
        <v>-2050</v>
      </c>
      <c r="L40" s="228"/>
      <c r="M40" s="229">
        <v>0</v>
      </c>
      <c r="N40" s="229">
        <v>0</v>
      </c>
      <c r="O40" s="229">
        <v>0</v>
      </c>
      <c r="P40" s="229">
        <f>-440*Tableau16[[#This Row],[MW]]</f>
        <v>-9548.0000000000018</v>
      </c>
      <c r="Q40" s="229">
        <f>-250*OPX_LE3!$E40</f>
        <v>-5425.0000000000009</v>
      </c>
      <c r="R40" s="311">
        <f>SUM(OPX_LE3!$K40:$Q40)</f>
        <v>-17023.000000000004</v>
      </c>
      <c r="S40" s="337">
        <v>-310000</v>
      </c>
      <c r="T40" s="361">
        <v>0</v>
      </c>
      <c r="U40" s="362">
        <v>0</v>
      </c>
      <c r="V40" s="361">
        <v>0</v>
      </c>
      <c r="W40" s="361">
        <v>-3150</v>
      </c>
      <c r="X40" s="361">
        <v>0</v>
      </c>
      <c r="Y40" s="361">
        <v>0</v>
      </c>
      <c r="Z40" s="264">
        <f>-26850-5425</f>
        <v>-32275</v>
      </c>
      <c r="AA40" s="423"/>
      <c r="AB40" s="273">
        <f>SUM(OPX_LE3!$T40:$AA40)</f>
        <v>-35425</v>
      </c>
      <c r="AC40" s="426"/>
      <c r="AD40" s="426"/>
      <c r="AE40" s="417"/>
      <c r="AF40" s="417">
        <v>-7150</v>
      </c>
      <c r="AG40" s="417">
        <f>-18430-21252</f>
        <v>-39682</v>
      </c>
      <c r="AH40" s="417">
        <v>0</v>
      </c>
      <c r="AI40" s="417">
        <v>0</v>
      </c>
      <c r="AJ40" s="317">
        <f>SUM(OPX_LE3!$AC40:$AI40)</f>
        <v>-46832</v>
      </c>
      <c r="AK40" s="424">
        <v>-1000</v>
      </c>
      <c r="AL40" s="276">
        <f>SUM(OPX_LE3!$J40,OPX_LE3!$AB40,OPX_LE3!$S40,OPX_LE3!$AJ40,OPX_LE3!$R40,OPX_LE3!$AK40)</f>
        <v>-431055</v>
      </c>
      <c r="AM40" s="427">
        <v>0</v>
      </c>
      <c r="AN40" s="427">
        <v>0</v>
      </c>
    </row>
    <row r="41" spans="1:41" ht="15">
      <c r="A41" s="325" t="s">
        <v>524</v>
      </c>
      <c r="B41" s="322" t="str">
        <f>VLOOKUP(OPX_LE3!$A41,Tableau106[],3,FALSE)</f>
        <v>A419</v>
      </c>
      <c r="C41" s="322" t="str">
        <f>VLOOKUP(OPX_LE3!$A41,Tableau106[],2,FALSE)</f>
        <v>FR02E02E</v>
      </c>
      <c r="D41" s="322" t="str">
        <f>VLOOKUP(OPX_LE3!$A41,Tableau106[],8,FALSE)</f>
        <v>EOLIEN</v>
      </c>
      <c r="E41" s="324">
        <f>VLOOKUP(OPX_LE3!$A41,Tableau106[],4,FALSE)</f>
        <v>72</v>
      </c>
      <c r="F41" s="322" t="str">
        <f>VLOOKUP(OPX_LE3!$A41,Tableau106[],5,FALSE)</f>
        <v>CHPI</v>
      </c>
      <c r="G41" s="322" t="str">
        <f>VLOOKUP(OPX_LE3!$A41,Tableau106[],7,FALSE)</f>
        <v>GROUPE</v>
      </c>
      <c r="H41" s="322" t="str">
        <f>VLOOKUP(OPX_LE3!$A41,Tableau106[],6,FALSE)</f>
        <v>N</v>
      </c>
      <c r="I41" s="322" t="str">
        <f>VLOOKUP(OPX_LE3!$A41,Tableau106[],9,FALSE)</f>
        <v>MéS</v>
      </c>
      <c r="J41" s="254">
        <v>-1544657</v>
      </c>
      <c r="K41" s="228">
        <f>-42590-50000-39000</f>
        <v>-131590</v>
      </c>
      <c r="L41" s="228"/>
      <c r="M41" s="229">
        <v>0</v>
      </c>
      <c r="N41" s="229">
        <v>-5311</v>
      </c>
      <c r="O41" s="229">
        <v>-3188.7</v>
      </c>
      <c r="P41" s="229">
        <v>-31900</v>
      </c>
      <c r="Q41" s="229">
        <f>-250*OPX_LE3!$E41</f>
        <v>-18000</v>
      </c>
      <c r="R41" s="311">
        <f>SUM(OPX_LE3!$K41:$Q41)</f>
        <v>-189989.7</v>
      </c>
      <c r="S41" s="337">
        <v>0</v>
      </c>
      <c r="T41" s="378">
        <f>-2880</f>
        <v>-2880</v>
      </c>
      <c r="U41" s="362">
        <v>0</v>
      </c>
      <c r="V41" s="386">
        <v>-7426</v>
      </c>
      <c r="W41" s="386">
        <v>-2051</v>
      </c>
      <c r="X41" s="386">
        <v>-4000</v>
      </c>
      <c r="Y41" s="386">
        <v>-12775</v>
      </c>
      <c r="Z41" s="264">
        <v>-18000</v>
      </c>
      <c r="AA41" s="386">
        <v>-1500</v>
      </c>
      <c r="AB41" s="273">
        <f>SUM(OPX_LE3!$T41:$AA41)</f>
        <v>-48632</v>
      </c>
      <c r="AC41" s="426"/>
      <c r="AD41" s="426"/>
      <c r="AE41" s="417">
        <v>-5500</v>
      </c>
      <c r="AF41" s="417">
        <v>0</v>
      </c>
      <c r="AG41" s="417">
        <v>0</v>
      </c>
      <c r="AH41" s="417">
        <v>0</v>
      </c>
      <c r="AI41" s="402">
        <v>-20000</v>
      </c>
      <c r="AJ41" s="317">
        <f>SUM(OPX_LE3!$AC41:$AI41)</f>
        <v>-25500</v>
      </c>
      <c r="AK41" s="403">
        <v>-203290</v>
      </c>
      <c r="AL41" s="276">
        <f>SUM(OPX_LE3!$J41,OPX_LE3!$AB41,OPX_LE3!$S41,OPX_LE3!$AJ41,OPX_LE3!$R41,OPX_LE3!$AK41)</f>
        <v>-2012068.7</v>
      </c>
      <c r="AM41" s="427">
        <v>0</v>
      </c>
      <c r="AN41" s="427">
        <v>0</v>
      </c>
    </row>
    <row r="42" spans="1:41" ht="15">
      <c r="A42" s="244" t="s">
        <v>92</v>
      </c>
      <c r="B42" s="232" t="str">
        <f>VLOOKUP(OPX_LE3!$A42,Tableau106[],3,FALSE)</f>
        <v>F212</v>
      </c>
      <c r="C42" s="232" t="str">
        <f>VLOOKUP(OPX_LE3!$A42,Tableau106[],2,FALSE)</f>
        <v>FR10E01E</v>
      </c>
      <c r="D42" s="232" t="str">
        <f>VLOOKUP(OPX_LE3!$A42,Tableau106[],8,FALSE)</f>
        <v>EOLIEN</v>
      </c>
      <c r="E42" s="233">
        <f>VLOOKUP(OPX_LE3!$A42,Tableau106[],4,FALSE)</f>
        <v>18</v>
      </c>
      <c r="F42" s="232" t="str">
        <f>VLOOKUP(OPX_LE3!$A42,Tableau106[],5,FALSE)</f>
        <v>CPE1, CPE2</v>
      </c>
      <c r="G42" s="232" t="str">
        <f>VLOOKUP(OPX_LE3!$A42,Tableau106[],7,FALSE)</f>
        <v>FUTUREN</v>
      </c>
      <c r="H42" s="232" t="str">
        <f>VLOOKUP(OPX_LE3!$A42,Tableau106[],6,FALSE)</f>
        <v>N</v>
      </c>
      <c r="I42" s="232" t="str">
        <f>VLOOKUP(OPX_LE3!$A42,Tableau106[],9,FALSE)</f>
        <v>AlY</v>
      </c>
      <c r="J42" s="254">
        <v>-20988</v>
      </c>
      <c r="K42" s="228">
        <v>-2700</v>
      </c>
      <c r="L42" s="228"/>
      <c r="M42" s="229">
        <v>0</v>
      </c>
      <c r="N42" s="229">
        <v>0</v>
      </c>
      <c r="O42" s="229">
        <v>0</v>
      </c>
      <c r="P42" s="229">
        <f>-440*Tableau16[[#This Row],[MW]]/2</f>
        <v>-3960</v>
      </c>
      <c r="Q42" s="229">
        <f>-250*OPX_LE3!$E42</f>
        <v>-4500</v>
      </c>
      <c r="R42" s="311">
        <f>SUM(OPX_LE3!$K42:$Q42)</f>
        <v>-11160</v>
      </c>
      <c r="S42" s="337">
        <v>-551604</v>
      </c>
      <c r="T42" s="361">
        <v>-796</v>
      </c>
      <c r="U42" s="362">
        <f>-189281-40480-66043-30000</f>
        <v>-325804</v>
      </c>
      <c r="V42" s="361">
        <f>-3160-42711-4000</f>
        <v>-49871</v>
      </c>
      <c r="W42" s="361">
        <v>-4050</v>
      </c>
      <c r="X42" s="361">
        <v>0</v>
      </c>
      <c r="Y42" s="361">
        <v>-500</v>
      </c>
      <c r="Z42" s="264">
        <f>-250*Tableau16[[#This Row],[MW]]</f>
        <v>-4500</v>
      </c>
      <c r="AA42" s="423"/>
      <c r="AB42" s="273">
        <f>SUM(OPX_LE3!$T42:$AA42)</f>
        <v>-385521</v>
      </c>
      <c r="AC42" s="426"/>
      <c r="AD42" s="426"/>
      <c r="AE42" s="417">
        <v>-4039.2000000000003</v>
      </c>
      <c r="AF42" s="417">
        <v>-15127</v>
      </c>
      <c r="AG42" s="417">
        <v>-27225</v>
      </c>
      <c r="AH42" s="417">
        <v>0</v>
      </c>
      <c r="AI42" s="417">
        <v>0</v>
      </c>
      <c r="AJ42" s="317">
        <f>SUM(OPX_LE3!$AC42:$AI42)</f>
        <v>-46391.199999999997</v>
      </c>
      <c r="AK42" s="424">
        <v>0</v>
      </c>
      <c r="AL42" s="276">
        <f>SUM(OPX_LE3!$J42,OPX_LE3!$AB42,OPX_LE3!$S42,OPX_LE3!$AJ42,OPX_LE3!$R42,OPX_LE3!$AK42)</f>
        <v>-1015664.2</v>
      </c>
      <c r="AM42" s="427">
        <v>-15000</v>
      </c>
      <c r="AN42" s="427">
        <v>0</v>
      </c>
    </row>
    <row r="43" spans="1:41" ht="15">
      <c r="A43" s="325" t="s">
        <v>476</v>
      </c>
      <c r="B43" s="322" t="str">
        <f>VLOOKUP(OPX_LE3!$A43,Tableau106[],3,FALSE)</f>
        <v>A290</v>
      </c>
      <c r="C43" s="322" t="str">
        <f>VLOOKUP(OPX_LE3!$A43,Tableau106[],2,FALSE)</f>
        <v>FR86S03E</v>
      </c>
      <c r="D43" s="322" t="str">
        <f>VLOOKUP(OPX_LE3!$A43,Tableau106[],8,FALSE)</f>
        <v>SOLAIRE</v>
      </c>
      <c r="E43" s="324">
        <f>VLOOKUP(OPX_LE3!$A43,Tableau106[],4,FALSE)</f>
        <v>5.5</v>
      </c>
      <c r="F43" s="322" t="str">
        <f>VLOOKUP(OPX_LE3!$A43,Tableau106[],5,FALSE)</f>
        <v>CIVA</v>
      </c>
      <c r="G43" s="322" t="str">
        <f>VLOOKUP(OPX_LE3!$A43,Tableau106[],7,FALSE)</f>
        <v>GROUPE</v>
      </c>
      <c r="H43" s="322" t="str">
        <f>VLOOKUP(OPX_LE3!$A43,Tableau106[],6,FALSE)</f>
        <v>N</v>
      </c>
      <c r="I43" s="322" t="str">
        <f>VLOOKUP(OPX_LE3!$A43,Tableau106[],9,FALSE)</f>
        <v>ArB</v>
      </c>
      <c r="J43" s="254"/>
      <c r="K43" s="228">
        <v>0</v>
      </c>
      <c r="L43" s="228"/>
      <c r="M43" s="229">
        <v>0</v>
      </c>
      <c r="N43" s="229">
        <v>0</v>
      </c>
      <c r="O43" s="229">
        <v>0</v>
      </c>
      <c r="P43" s="229">
        <v>0</v>
      </c>
      <c r="Q43" s="229">
        <f>-250*OPX_LE3!$E43</f>
        <v>-1375</v>
      </c>
      <c r="R43" s="311">
        <f>SUM(OPX_LE3!$K43:$Q43)</f>
        <v>-1375</v>
      </c>
      <c r="S43" s="337">
        <v>-34000</v>
      </c>
      <c r="T43" s="361">
        <v>0</v>
      </c>
      <c r="U43" s="362">
        <v>0</v>
      </c>
      <c r="V43" s="361">
        <v>0</v>
      </c>
      <c r="W43" s="361">
        <v>0</v>
      </c>
      <c r="X43" s="361">
        <v>0</v>
      </c>
      <c r="Y43" s="361">
        <v>0</v>
      </c>
      <c r="Z43" s="264">
        <f>-1375-3400</f>
        <v>-4775</v>
      </c>
      <c r="AA43" s="423"/>
      <c r="AB43" s="273">
        <f>SUM(OPX_LE3!$T43:$AA43)</f>
        <v>-4775</v>
      </c>
      <c r="AC43" s="426"/>
      <c r="AD43" s="426">
        <v>0</v>
      </c>
      <c r="AE43" s="417">
        <v>0</v>
      </c>
      <c r="AF43" s="417">
        <v>0</v>
      </c>
      <c r="AG43" s="417">
        <v>0</v>
      </c>
      <c r="AH43" s="417">
        <v>0</v>
      </c>
      <c r="AI43" s="417">
        <v>0</v>
      </c>
      <c r="AJ43" s="317">
        <f>SUM(OPX_LE3!$AC43:$AI43)</f>
        <v>0</v>
      </c>
      <c r="AK43" s="424">
        <v>0</v>
      </c>
      <c r="AL43" s="276">
        <f>SUM(OPX_LE3!$J43,OPX_LE3!$AB43,OPX_LE3!$S43,OPX_LE3!$AJ43,OPX_LE3!$R43,OPX_LE3!$AK43)</f>
        <v>-40150</v>
      </c>
      <c r="AM43" s="427">
        <v>0</v>
      </c>
      <c r="AN43" s="427">
        <v>0</v>
      </c>
    </row>
    <row r="44" spans="1:41" ht="15">
      <c r="A44" s="244" t="s">
        <v>570</v>
      </c>
      <c r="B44" s="232" t="str">
        <f>VLOOKUP(OPX_LE3!$A44,Tableau106[],3,FALSE)</f>
        <v>A532</v>
      </c>
      <c r="C44" s="232" t="str">
        <f>VLOOKUP(OPX_LE3!$A44,Tableau106[],2,FALSE)</f>
        <v>FR51E03E</v>
      </c>
      <c r="D44" s="232" t="str">
        <f>VLOOKUP(OPX_LE3!$A44,Tableau106[],8,FALSE)</f>
        <v>EOLIEN</v>
      </c>
      <c r="E44" s="233">
        <f>VLOOKUP(OPX_LE3!$A44,Tableau106[],4,FALSE)</f>
        <v>10.02</v>
      </c>
      <c r="F44" s="232" t="str">
        <f>VLOOKUP(OPX_LE3!$A44,Tableau106[],5,FALSE)</f>
        <v>CLAM</v>
      </c>
      <c r="G44" s="232" t="str">
        <f>VLOOKUP(OPX_LE3!$A44,Tableau106[],7,FALSE)</f>
        <v>GROUPE</v>
      </c>
      <c r="H44" s="232" t="str">
        <f>VLOOKUP(OPX_LE3!$A44,Tableau106[],6,FALSE)</f>
        <v>N</v>
      </c>
      <c r="I44" s="232" t="str">
        <f>VLOOKUP(OPX_LE3!$A44,Tableau106[],9,FALSE)</f>
        <v>AyB</v>
      </c>
      <c r="J44" s="254">
        <v>-10720</v>
      </c>
      <c r="K44" s="228">
        <v>0</v>
      </c>
      <c r="L44" s="228"/>
      <c r="M44" s="229">
        <v>0</v>
      </c>
      <c r="N44" s="229">
        <v>0</v>
      </c>
      <c r="O44" s="229">
        <v>0</v>
      </c>
      <c r="P44" s="229">
        <f>-440*Tableau16[[#This Row],[MW]]/2</f>
        <v>-2204.4</v>
      </c>
      <c r="Q44" s="229">
        <f>-250*OPX_LE3!$E44</f>
        <v>-2505</v>
      </c>
      <c r="R44" s="311">
        <f>SUM(OPX_LE3!$K44:$Q44)</f>
        <v>-4709.3999999999996</v>
      </c>
      <c r="S44" s="337">
        <v>-379707</v>
      </c>
      <c r="T44" s="361">
        <v>0</v>
      </c>
      <c r="U44" s="362">
        <v>0</v>
      </c>
      <c r="V44" s="361">
        <v>-400</v>
      </c>
      <c r="W44" s="361">
        <v>0</v>
      </c>
      <c r="X44" s="361">
        <v>0</v>
      </c>
      <c r="Y44" s="361">
        <v>0</v>
      </c>
      <c r="Z44" s="264">
        <f>-250*Tableau16[[#This Row],[MW]]-2505</f>
        <v>-5010</v>
      </c>
      <c r="AA44" s="423"/>
      <c r="AB44" s="273">
        <f>SUM(OPX_LE3!$T44:$AA44)</f>
        <v>-5410</v>
      </c>
      <c r="AC44" s="426"/>
      <c r="AD44" s="426"/>
      <c r="AE44" s="417">
        <v>0</v>
      </c>
      <c r="AF44" s="417">
        <v>0</v>
      </c>
      <c r="AG44" s="417">
        <v>0</v>
      </c>
      <c r="AH44" s="417">
        <v>0</v>
      </c>
      <c r="AI44" s="417">
        <v>0</v>
      </c>
      <c r="AJ44" s="317">
        <f>SUM(OPX_LE3!$AC44:$AI44)</f>
        <v>0</v>
      </c>
      <c r="AK44" s="424">
        <v>0</v>
      </c>
      <c r="AL44" s="276">
        <f>SUM(OPX_LE3!$J44,OPX_LE3!$AB44,OPX_LE3!$S44,OPX_LE3!$AJ44,OPX_LE3!$R44,OPX_LE3!$AK44)</f>
        <v>-400546.4</v>
      </c>
      <c r="AM44" s="427">
        <v>-30000</v>
      </c>
      <c r="AN44" s="427">
        <v>0</v>
      </c>
    </row>
    <row r="45" spans="1:41" ht="15">
      <c r="A45" s="325" t="s">
        <v>567</v>
      </c>
      <c r="B45" s="322" t="str">
        <f>VLOOKUP(OPX_LE3!$A45,Tableau106[],3,FALSE)</f>
        <v>A532</v>
      </c>
      <c r="C45" s="322" t="str">
        <f>VLOOKUP(OPX_LE3!$A45,Tableau106[],2,FALSE)</f>
        <v>FR51E04E</v>
      </c>
      <c r="D45" s="322" t="str">
        <f>VLOOKUP(OPX_LE3!$A45,Tableau106[],8,FALSE)</f>
        <v>EOLIEN</v>
      </c>
      <c r="E45" s="324">
        <f>VLOOKUP(OPX_LE3!$A45,Tableau106[],4,FALSE)</f>
        <v>4</v>
      </c>
      <c r="F45" s="322" t="str">
        <f>VLOOKUP(OPX_LE3!$A45,Tableau106[],5,FALSE)</f>
        <v>CLA2</v>
      </c>
      <c r="G45" s="322" t="str">
        <f>VLOOKUP(OPX_LE3!$A45,Tableau106[],7,FALSE)</f>
        <v>GROUPE</v>
      </c>
      <c r="H45" s="322" t="str">
        <f>VLOOKUP(OPX_LE3!$A45,Tableau106[],6,FALSE)</f>
        <v>N</v>
      </c>
      <c r="I45" s="322" t="str">
        <f>VLOOKUP(OPX_LE3!$A45,Tableau106[],9,FALSE)</f>
        <v>AyB</v>
      </c>
      <c r="J45" s="254">
        <v>-12897</v>
      </c>
      <c r="K45" s="228">
        <v>-1130.0000000000002</v>
      </c>
      <c r="L45" s="228"/>
      <c r="M45" s="229">
        <v>0</v>
      </c>
      <c r="N45" s="229">
        <v>0</v>
      </c>
      <c r="O45" s="229">
        <v>0</v>
      </c>
      <c r="P45" s="229">
        <f>-440*Tableau16[[#This Row],[MW]]</f>
        <v>-1760</v>
      </c>
      <c r="Q45" s="229">
        <f>-250*OPX_LE3!$E45</f>
        <v>-1000</v>
      </c>
      <c r="R45" s="311">
        <f>SUM(OPX_LE3!$K45:$Q45)</f>
        <v>-3890</v>
      </c>
      <c r="S45" s="337">
        <v>-109799</v>
      </c>
      <c r="T45" s="361">
        <v>-900</v>
      </c>
      <c r="U45" s="362">
        <v>0</v>
      </c>
      <c r="V45" s="361">
        <v>-200</v>
      </c>
      <c r="W45" s="361">
        <v>0</v>
      </c>
      <c r="X45" s="361">
        <v>0</v>
      </c>
      <c r="Y45" s="361">
        <v>0</v>
      </c>
      <c r="Z45" s="264">
        <f>-250*Tableau16[[#This Row],[MW]]-3000</f>
        <v>-4000</v>
      </c>
      <c r="AA45" s="423"/>
      <c r="AB45" s="273">
        <f>SUM(OPX_LE3!$T45:$AA45)</f>
        <v>-5100</v>
      </c>
      <c r="AC45" s="426"/>
      <c r="AD45" s="426"/>
      <c r="AE45" s="417">
        <v>0</v>
      </c>
      <c r="AF45" s="417">
        <v>0</v>
      </c>
      <c r="AG45" s="417">
        <v>0</v>
      </c>
      <c r="AH45" s="417">
        <v>0</v>
      </c>
      <c r="AI45" s="417">
        <v>0</v>
      </c>
      <c r="AJ45" s="317">
        <f>SUM(OPX_LE3!$AC45:$AI45)</f>
        <v>0</v>
      </c>
      <c r="AK45" s="424">
        <v>-7500</v>
      </c>
      <c r="AL45" s="276">
        <f>SUM(OPX_LE3!$J45,OPX_LE3!$AB45,OPX_LE3!$S45,OPX_LE3!$AJ45,OPX_LE3!$R45,OPX_LE3!$AK45)</f>
        <v>-139186</v>
      </c>
      <c r="AM45" s="427">
        <v>0</v>
      </c>
      <c r="AN45" s="427">
        <v>0</v>
      </c>
    </row>
    <row r="46" spans="1:41" ht="15">
      <c r="A46" s="244" t="s">
        <v>552</v>
      </c>
      <c r="B46" s="232" t="str">
        <f>VLOOKUP(OPX_LE3!$A46,Tableau106[],3,FALSE)</f>
        <v>A535</v>
      </c>
      <c r="C46" s="232" t="str">
        <f>VLOOKUP(OPX_LE3!$A46,Tableau106[],2,FALSE)</f>
        <v>FR02E10E</v>
      </c>
      <c r="D46" s="232" t="str">
        <f>VLOOKUP(OPX_LE3!$A46,Tableau106[],8,FALSE)</f>
        <v>EOLIEN</v>
      </c>
      <c r="E46" s="233">
        <f>VLOOKUP(OPX_LE3!$A46,Tableau106[],4,FALSE)</f>
        <v>15</v>
      </c>
      <c r="F46" s="232" t="str">
        <f>VLOOKUP(OPX_LE3!$A46,Tableau106[],5,FALSE)</f>
        <v>CLAN</v>
      </c>
      <c r="G46" s="232" t="str">
        <f>VLOOKUP(OPX_LE3!$A46,Tableau106[],7,FALSE)</f>
        <v>FUTUREN</v>
      </c>
      <c r="H46" s="232" t="str">
        <f>VLOOKUP(OPX_LE3!$A46,Tableau106[],6,FALSE)</f>
        <v>N</v>
      </c>
      <c r="I46" s="232" t="str">
        <f>VLOOKUP(OPX_LE3!$A46,Tableau106[],9,FALSE)</f>
        <v>NiL</v>
      </c>
      <c r="J46" s="254">
        <v>-279041</v>
      </c>
      <c r="K46" s="228">
        <v>0</v>
      </c>
      <c r="L46" s="228"/>
      <c r="M46" s="229">
        <v>0</v>
      </c>
      <c r="N46" s="229">
        <v>0</v>
      </c>
      <c r="O46" s="229">
        <v>0</v>
      </c>
      <c r="P46" s="229">
        <f>-440*Tableau16[[#This Row],[MW]]</f>
        <v>-6600</v>
      </c>
      <c r="Q46" s="229">
        <f>-250*OPX_LE3!$E46</f>
        <v>-3750</v>
      </c>
      <c r="R46" s="311">
        <f>SUM(OPX_LE3!$K46:$Q46)</f>
        <v>-10350</v>
      </c>
      <c r="S46" s="337">
        <v>0</v>
      </c>
      <c r="T46" s="361">
        <v>0</v>
      </c>
      <c r="U46" s="362">
        <v>0</v>
      </c>
      <c r="V46" s="361">
        <v>-2000</v>
      </c>
      <c r="W46" s="361">
        <v>0</v>
      </c>
      <c r="X46" s="361">
        <v>0</v>
      </c>
      <c r="Y46" s="361">
        <v>0</v>
      </c>
      <c r="Z46" s="264">
        <f>-250*OPX_LE3!$E46</f>
        <v>-3750</v>
      </c>
      <c r="AA46" s="423"/>
      <c r="AB46" s="273">
        <f>SUM(OPX_LE3!$T46:$AA46)</f>
        <v>-5750</v>
      </c>
      <c r="AC46" s="426"/>
      <c r="AD46" s="426"/>
      <c r="AE46" s="417">
        <v>0</v>
      </c>
      <c r="AF46" s="417">
        <v>0</v>
      </c>
      <c r="AG46" s="417"/>
      <c r="AH46" s="417">
        <v>0</v>
      </c>
      <c r="AI46" s="417">
        <v>0</v>
      </c>
      <c r="AJ46" s="317">
        <f>SUM(OPX_LE3!$AC46:$AI46)</f>
        <v>0</v>
      </c>
      <c r="AK46" s="424">
        <v>0</v>
      </c>
      <c r="AL46" s="276">
        <f>SUM(OPX_LE3!$J46,OPX_LE3!$AB46,OPX_LE3!$S46,OPX_LE3!$AJ46,OPX_LE3!$R46,OPX_LE3!$AK46)</f>
        <v>-295141</v>
      </c>
      <c r="AM46" s="427">
        <v>0</v>
      </c>
      <c r="AN46" s="427">
        <v>0</v>
      </c>
    </row>
    <row r="47" spans="1:41" ht="15">
      <c r="A47" s="325" t="s">
        <v>468</v>
      </c>
      <c r="B47" s="322" t="str">
        <f>VLOOKUP(OPX_LE3!$A47,Tableau106[],3,FALSE)</f>
        <v>A893</v>
      </c>
      <c r="C47" s="322" t="str">
        <f>VLOOKUP(OPX_LE3!$A47,Tableau106[],2,FALSE)</f>
        <v>FR50E99E</v>
      </c>
      <c r="D47" s="322" t="str">
        <f>VLOOKUP(OPX_LE3!$A47,Tableau106[],8,FALSE)</f>
        <v>EOLIEN</v>
      </c>
      <c r="E47" s="324">
        <f>VLOOKUP(OPX_LE3!$A47,Tableau106[],4,FALSE)</f>
        <v>3.3</v>
      </c>
      <c r="F47" s="322" t="str">
        <f>VLOOKUP(OPX_LE3!$A47,Tableau106[],5,FALSE)</f>
        <v>CLIT</v>
      </c>
      <c r="G47" s="322" t="str">
        <f>VLOOKUP(OPX_LE3!$A47,Tableau106[],7,FALSE)</f>
        <v>GROUPE</v>
      </c>
      <c r="H47" s="322" t="str">
        <f>VLOOKUP(OPX_LE3!$A47,Tableau106[],6,FALSE)</f>
        <v>N</v>
      </c>
      <c r="I47" s="322" t="str">
        <f>VLOOKUP(OPX_LE3!$A47,Tableau106[],9,FALSE)</f>
        <v>AnN</v>
      </c>
      <c r="J47" s="254">
        <v>-57628</v>
      </c>
      <c r="K47" s="228">
        <v>-102550</v>
      </c>
      <c r="L47" s="228"/>
      <c r="M47" s="229">
        <v>0</v>
      </c>
      <c r="N47" s="229">
        <v>0</v>
      </c>
      <c r="O47" s="229">
        <v>0</v>
      </c>
      <c r="P47" s="229">
        <v>0</v>
      </c>
      <c r="Q47" s="229">
        <f>-250*OPX_LE3!$E47</f>
        <v>-825</v>
      </c>
      <c r="R47" s="311">
        <f>SUM(OPX_LE3!$K47:$Q47)</f>
        <v>-103375</v>
      </c>
      <c r="S47" s="337">
        <v>0</v>
      </c>
      <c r="T47" s="361"/>
      <c r="U47" s="362">
        <v>0</v>
      </c>
      <c r="V47" s="361">
        <v>-700</v>
      </c>
      <c r="W47" s="361">
        <v>-15926</v>
      </c>
      <c r="X47" s="361">
        <v>0</v>
      </c>
      <c r="Y47" s="361">
        <v>-717</v>
      </c>
      <c r="Z47" s="264">
        <f>-825-3750</f>
        <v>-4575</v>
      </c>
      <c r="AA47" s="423"/>
      <c r="AB47" s="273">
        <f>SUM(OPX_LE3!$T47:$AA47)</f>
        <v>-21918</v>
      </c>
      <c r="AC47" s="426"/>
      <c r="AD47" s="426"/>
      <c r="AE47" s="417">
        <v>0</v>
      </c>
      <c r="AF47" s="417">
        <v>0</v>
      </c>
      <c r="AG47" s="417">
        <v>0</v>
      </c>
      <c r="AH47" s="417">
        <v>0</v>
      </c>
      <c r="AI47" s="417">
        <v>0</v>
      </c>
      <c r="AJ47" s="317">
        <f>SUM(OPX_LE3!$AC47:$AI47)</f>
        <v>0</v>
      </c>
      <c r="AK47" s="424">
        <v>0</v>
      </c>
      <c r="AL47" s="276">
        <f>SUM(OPX_LE3!$J47,OPX_LE3!$AB47,OPX_LE3!$S47,OPX_LE3!$AJ47,OPX_LE3!$R47,OPX_LE3!$AK47)</f>
        <v>-182921</v>
      </c>
      <c r="AM47" s="427">
        <v>0</v>
      </c>
      <c r="AN47" s="427">
        <v>0</v>
      </c>
    </row>
    <row r="48" spans="1:41" ht="15">
      <c r="A48" s="244" t="s">
        <v>481</v>
      </c>
      <c r="B48" s="232" t="str">
        <f>VLOOKUP(OPX_LE3!$A48,Tableau106[],3,FALSE)</f>
        <v>A313</v>
      </c>
      <c r="C48" s="232" t="str">
        <f>VLOOKUP(OPX_LE3!$A48,Tableau106[],2,FALSE)</f>
        <v>FR21S03E</v>
      </c>
      <c r="D48" s="232" t="str">
        <f>VLOOKUP(OPX_LE3!$A48,Tableau106[],8,FALSE)</f>
        <v>SOLAIRE</v>
      </c>
      <c r="E48" s="233">
        <f>VLOOKUP(OPX_LE3!$A48,Tableau106[],4,FALSE)</f>
        <v>5</v>
      </c>
      <c r="F48" s="232" t="str">
        <f>VLOOKUP(OPX_LE3!$A48,Tableau106[],5,FALSE)</f>
        <v>COLB</v>
      </c>
      <c r="G48" s="232" t="str">
        <f>VLOOKUP(OPX_LE3!$A48,Tableau106[],7,FALSE)</f>
        <v>GROUPE</v>
      </c>
      <c r="H48" s="232" t="str">
        <f>VLOOKUP(OPX_LE3!$A48,Tableau106[],6,FALSE)</f>
        <v>N</v>
      </c>
      <c r="I48" s="232" t="str">
        <f>VLOOKUP(OPX_LE3!$A48,Tableau106[],9,FALSE)</f>
        <v>LoG</v>
      </c>
      <c r="J48" s="254">
        <v>-29100</v>
      </c>
      <c r="K48" s="228">
        <v>-20000</v>
      </c>
      <c r="L48" s="228"/>
      <c r="M48" s="229">
        <v>0</v>
      </c>
      <c r="N48" s="229">
        <v>0</v>
      </c>
      <c r="O48" s="229">
        <v>0</v>
      </c>
      <c r="P48" s="229">
        <v>0</v>
      </c>
      <c r="Q48" s="229">
        <f>-250*OPX_LE3!$E48-5000</f>
        <v>-6250</v>
      </c>
      <c r="R48" s="311">
        <f>SUM(OPX_LE3!$K48:$Q48)</f>
        <v>-26250</v>
      </c>
      <c r="S48" s="337">
        <v>0</v>
      </c>
      <c r="T48" s="361">
        <v>0</v>
      </c>
      <c r="U48" s="362">
        <v>0</v>
      </c>
      <c r="V48" s="361">
        <v>0</v>
      </c>
      <c r="W48" s="361">
        <v>0</v>
      </c>
      <c r="X48" s="361">
        <v>0</v>
      </c>
      <c r="Y48" s="361">
        <v>0</v>
      </c>
      <c r="Z48" s="264"/>
      <c r="AA48" s="423"/>
      <c r="AB48" s="273">
        <f>SUM(OPX_LE3!$T48:$AA48)</f>
        <v>0</v>
      </c>
      <c r="AC48" s="426"/>
      <c r="AD48" s="426">
        <v>0</v>
      </c>
      <c r="AE48" s="417">
        <v>0</v>
      </c>
      <c r="AF48" s="417">
        <v>0</v>
      </c>
      <c r="AG48" s="417">
        <v>0</v>
      </c>
      <c r="AH48" s="417">
        <v>-5998</v>
      </c>
      <c r="AI48" s="417">
        <v>0</v>
      </c>
      <c r="AJ48" s="317">
        <f>SUM(OPX_LE3!$AC48:$AI48)</f>
        <v>-5998</v>
      </c>
      <c r="AK48" s="424">
        <v>0</v>
      </c>
      <c r="AL48" s="276">
        <f>SUM(OPX_LE3!$J48,OPX_LE3!$AB48,OPX_LE3!$S48,OPX_LE3!$AJ48,OPX_LE3!$R48,OPX_LE3!$AK48)</f>
        <v>-61348</v>
      </c>
      <c r="AM48" s="427">
        <v>0</v>
      </c>
      <c r="AN48" s="427">
        <v>0</v>
      </c>
    </row>
    <row r="49" spans="1:41" ht="15">
      <c r="A49" s="325" t="s">
        <v>544</v>
      </c>
      <c r="B49" s="322" t="str">
        <f>VLOOKUP(OPX_LE3!$A49,Tableau106[],3,FALSE)</f>
        <v>A958</v>
      </c>
      <c r="C49" s="322" t="str">
        <f>VLOOKUP(OPX_LE3!$A49,Tableau106[],2,FALSE)</f>
        <v>FR11E92E</v>
      </c>
      <c r="D49" s="322" t="str">
        <f>VLOOKUP(OPX_LE3!$A49,Tableau106[],8,FALSE)</f>
        <v>EOLIEN</v>
      </c>
      <c r="E49" s="324">
        <f>VLOOKUP(OPX_LE3!$A49,Tableau106[],4,FALSE)</f>
        <v>9.1999999999999993</v>
      </c>
      <c r="F49" s="322" t="str">
        <f>VLOOKUP(OPX_LE3!$A49,Tableau106[],5,FALSE)</f>
        <v>CONI</v>
      </c>
      <c r="G49" s="322" t="str">
        <f>VLOOKUP(OPX_LE3!$A49,Tableau106[],7,FALSE)</f>
        <v>FUTUREN</v>
      </c>
      <c r="H49" s="322" t="str">
        <f>VLOOKUP(OPX_LE3!$A49,Tableau106[],6,FALSE)</f>
        <v>S</v>
      </c>
      <c r="I49" s="322" t="str">
        <f>VLOOKUP(OPX_LE3!$A49,Tableau106[],9,FALSE)</f>
        <v>StE</v>
      </c>
      <c r="J49" s="254">
        <v>-6690</v>
      </c>
      <c r="K49" s="228">
        <v>-5370</v>
      </c>
      <c r="L49" s="228"/>
      <c r="M49" s="229">
        <v>0</v>
      </c>
      <c r="N49" s="229">
        <v>0</v>
      </c>
      <c r="O49" s="229">
        <v>0</v>
      </c>
      <c r="P49" s="229">
        <v>-4048</v>
      </c>
      <c r="Q49" s="229">
        <f>-250*OPX_LE3!$E49-1000</f>
        <v>-3300</v>
      </c>
      <c r="R49" s="311">
        <f>SUM(OPX_LE3!$K49:$Q49)</f>
        <v>-12718</v>
      </c>
      <c r="S49" s="337">
        <f>-303796</f>
        <v>-303796</v>
      </c>
      <c r="T49" s="361">
        <v>0</v>
      </c>
      <c r="U49" s="362">
        <v>0</v>
      </c>
      <c r="V49" s="361">
        <v>-7000</v>
      </c>
      <c r="W49" s="361">
        <v>-6000</v>
      </c>
      <c r="X49" s="361">
        <v>0</v>
      </c>
      <c r="Y49" s="361">
        <v>-6709</v>
      </c>
      <c r="Z49" s="264">
        <v>-2300</v>
      </c>
      <c r="AA49" s="423">
        <v>-6000</v>
      </c>
      <c r="AB49" s="273">
        <f>SUM(OPX_LE3!$T49:$AA49)</f>
        <v>-28009</v>
      </c>
      <c r="AC49" s="426"/>
      <c r="AD49" s="426">
        <f t="shared" si="1"/>
        <v>-5071.72</v>
      </c>
      <c r="AE49" s="417">
        <v>0</v>
      </c>
      <c r="AF49" s="417">
        <v>0</v>
      </c>
      <c r="AG49" s="417">
        <v>0</v>
      </c>
      <c r="AH49" s="417">
        <v>0</v>
      </c>
      <c r="AI49" s="417">
        <v>-5000</v>
      </c>
      <c r="AJ49" s="317">
        <f>SUM(OPX_LE3!$AC49:$AI49)</f>
        <v>-10071.720000000001</v>
      </c>
      <c r="AK49" s="424">
        <v>0</v>
      </c>
      <c r="AL49" s="276">
        <f>SUM(OPX_LE3!$J49,OPX_LE3!$AB49,OPX_LE3!$S49,OPX_LE3!$AJ49,OPX_LE3!$R49,OPX_LE3!$AK49)</f>
        <v>-361284.72</v>
      </c>
      <c r="AM49" s="427">
        <v>0</v>
      </c>
      <c r="AN49" s="427">
        <v>0</v>
      </c>
    </row>
    <row r="50" spans="1:41" ht="15">
      <c r="A50" s="244" t="s">
        <v>580</v>
      </c>
      <c r="B50" s="232" t="str">
        <f>VLOOKUP(OPX_LE3!$A50,Tableau106[],3,FALSE)</f>
        <v>A064</v>
      </c>
      <c r="C50" s="232" t="str">
        <f>VLOOKUP(OPX_LE3!$A50,Tableau106[],2,FALSE)</f>
        <v>FR34E92E</v>
      </c>
      <c r="D50" s="232" t="str">
        <f>VLOOKUP(OPX_LE3!$A50,Tableau106[],8,FALSE)</f>
        <v>EOLIEN</v>
      </c>
      <c r="E50" s="233">
        <f>VLOOKUP(OPX_LE3!$A50,Tableau106[],4,FALSE)</f>
        <v>12</v>
      </c>
      <c r="F50" s="232" t="str">
        <f>VLOOKUP(OPX_LE3!$A50,Tableau106[],5,FALSE)</f>
        <v>AUCO</v>
      </c>
      <c r="G50" s="232" t="str">
        <f>VLOOKUP(OPX_LE3!$A50,Tableau106[],7,FALSE)</f>
        <v>GROUPE</v>
      </c>
      <c r="H50" s="232" t="str">
        <f>VLOOKUP(OPX_LE3!$A50,Tableau106[],6,FALSE)</f>
        <v>S</v>
      </c>
      <c r="I50" s="232" t="str">
        <f>VLOOKUP(OPX_LE3!$A50,Tableau106[],9,FALSE)</f>
        <v>KéD</v>
      </c>
      <c r="J50" s="254">
        <v>-419985</v>
      </c>
      <c r="K50" s="228">
        <v>-42070</v>
      </c>
      <c r="L50" s="228"/>
      <c r="M50" s="229">
        <v>0</v>
      </c>
      <c r="N50" s="229">
        <v>0</v>
      </c>
      <c r="O50" s="229">
        <v>0</v>
      </c>
      <c r="P50" s="229">
        <v>-4200</v>
      </c>
      <c r="Q50" s="229">
        <f>-250*OPX_LE3!$E50</f>
        <v>-3000</v>
      </c>
      <c r="R50" s="311">
        <f>SUM(OPX_LE3!$K50:$Q50)</f>
        <v>-49270</v>
      </c>
      <c r="S50" s="337">
        <v>0</v>
      </c>
      <c r="T50" s="361">
        <v>0</v>
      </c>
      <c r="U50" s="362">
        <v>0</v>
      </c>
      <c r="V50" s="361">
        <f>-(3877+5000)</f>
        <v>-8877</v>
      </c>
      <c r="W50" s="361">
        <v>0</v>
      </c>
      <c r="X50" s="361">
        <v>0</v>
      </c>
      <c r="Y50" s="361">
        <v>0</v>
      </c>
      <c r="Z50" s="264">
        <f>-4260-3000</f>
        <v>-7260</v>
      </c>
      <c r="AA50" s="423"/>
      <c r="AB50" s="273">
        <f>SUM(OPX_LE3!$T50:$AA50)</f>
        <v>-16137</v>
      </c>
      <c r="AC50" s="231">
        <f>-((6184*5)+1500)</f>
        <v>-32420</v>
      </c>
      <c r="AD50" s="426"/>
      <c r="AE50" s="417">
        <v>-4378</v>
      </c>
      <c r="AF50" s="417">
        <v>0</v>
      </c>
      <c r="AG50" s="417">
        <v>-30322.5</v>
      </c>
      <c r="AH50" s="417"/>
      <c r="AI50" s="417">
        <v>0</v>
      </c>
      <c r="AJ50" s="317">
        <f>SUM(OPX_LE3!$AC50:$AI50)</f>
        <v>-67120.5</v>
      </c>
      <c r="AK50" s="424">
        <v>0</v>
      </c>
      <c r="AL50" s="276">
        <f>SUM(OPX_LE3!$J50,OPX_LE3!$AB50,OPX_LE3!$S50,OPX_LE3!$AJ50,OPX_LE3!$R50,OPX_LE3!$AK50)</f>
        <v>-552512.5</v>
      </c>
      <c r="AM50" s="427">
        <v>0</v>
      </c>
      <c r="AN50" s="427">
        <v>0</v>
      </c>
    </row>
    <row r="51" spans="1:41" ht="15">
      <c r="A51" s="325" t="s">
        <v>106</v>
      </c>
      <c r="B51" s="322" t="str">
        <f>VLOOKUP(OPX_LE3!$A51,Tableau106[],3,FALSE)</f>
        <v>F069</v>
      </c>
      <c r="C51" s="322" t="str">
        <f>VLOOKUP(OPX_LE3!$A51,Tableau106[],2,FALSE)</f>
        <v>FR20E01E</v>
      </c>
      <c r="D51" s="322" t="str">
        <f>VLOOKUP(OPX_LE3!$A51,Tableau106[],8,FALSE)</f>
        <v>EOLIEN</v>
      </c>
      <c r="E51" s="324">
        <f>VLOOKUP(OPX_LE3!$A51,Tableau106[],4,FALSE)</f>
        <v>6</v>
      </c>
      <c r="F51" s="322" t="str">
        <f>VLOOKUP(OPX_LE3!$A51,Tableau106[],5,FALSE)</f>
        <v>CORS</v>
      </c>
      <c r="G51" s="322" t="str">
        <f>VLOOKUP(OPX_LE3!$A51,Tableau106[],7,FALSE)</f>
        <v>FUTUREN</v>
      </c>
      <c r="H51" s="322" t="str">
        <f>VLOOKUP(OPX_LE3!$A51,Tableau106[],6,FALSE)</f>
        <v>S</v>
      </c>
      <c r="I51" s="322" t="str">
        <f>VLOOKUP(OPX_LE3!$A51,Tableau106[],9,FALSE)</f>
        <v>SaH</v>
      </c>
      <c r="J51" s="254"/>
      <c r="K51" s="228">
        <v>0</v>
      </c>
      <c r="L51" s="228"/>
      <c r="M51" s="229">
        <v>0</v>
      </c>
      <c r="N51" s="229">
        <v>0</v>
      </c>
      <c r="O51" s="229">
        <v>0</v>
      </c>
      <c r="P51" s="229">
        <v>0</v>
      </c>
      <c r="Q51" s="229">
        <f>-250*OPX_LE3!$E51</f>
        <v>-1500</v>
      </c>
      <c r="R51" s="311">
        <f>SUM(OPX_LE3!$K51:$Q51)</f>
        <v>-1500</v>
      </c>
      <c r="S51" s="337">
        <f>-350585-10000</f>
        <v>-360585</v>
      </c>
      <c r="T51" s="361">
        <v>-2000</v>
      </c>
      <c r="U51" s="362">
        <v>0</v>
      </c>
      <c r="V51" s="361">
        <v>-6000</v>
      </c>
      <c r="W51" s="361">
        <f>-12000-1500-27600</f>
        <v>-41100</v>
      </c>
      <c r="X51" s="361">
        <v>0</v>
      </c>
      <c r="Y51" s="361">
        <v>0</v>
      </c>
      <c r="Z51" s="264">
        <v>-1500</v>
      </c>
      <c r="AA51" s="423"/>
      <c r="AB51" s="273">
        <f>SUM(OPX_LE3!$T51:$AA51)</f>
        <v>-50600</v>
      </c>
      <c r="AC51" s="426"/>
      <c r="AD51" s="426"/>
      <c r="AE51" s="417">
        <v>0</v>
      </c>
      <c r="AF51" s="417">
        <v>0</v>
      </c>
      <c r="AG51" s="417">
        <v>0</v>
      </c>
      <c r="AH51" s="417">
        <v>0</v>
      </c>
      <c r="AI51" s="417">
        <v>0</v>
      </c>
      <c r="AJ51" s="317">
        <f>SUM(OPX_LE3!$AC51:$AI51)</f>
        <v>0</v>
      </c>
      <c r="AK51" s="424">
        <v>0</v>
      </c>
      <c r="AL51" s="276">
        <f>SUM(OPX_LE3!$J51,OPX_LE3!$AB51,OPX_LE3!$S51,OPX_LE3!$AJ51,OPX_LE3!$R51,OPX_LE3!$AK51)</f>
        <v>-412685</v>
      </c>
      <c r="AM51" s="427">
        <v>0</v>
      </c>
      <c r="AN51" s="427">
        <v>0</v>
      </c>
    </row>
    <row r="52" spans="1:41" ht="15">
      <c r="A52" s="244" t="s">
        <v>443</v>
      </c>
      <c r="B52" s="232" t="str">
        <f>VLOOKUP(OPX_LE3!$A52,Tableau106[],3,FALSE)</f>
        <v>A051</v>
      </c>
      <c r="C52" s="232" t="str">
        <f>VLOOKUP(OPX_LE3!$A52,Tableau106[],2,FALSE)</f>
        <v>FR85E99E</v>
      </c>
      <c r="D52" s="232" t="str">
        <f>VLOOKUP(OPX_LE3!$A52,Tableau106[],8,FALSE)</f>
        <v>EOLIEN</v>
      </c>
      <c r="E52" s="233">
        <f>VLOOKUP(OPX_LE3!$A52,Tableau106[],4,FALSE)</f>
        <v>12</v>
      </c>
      <c r="F52" s="232" t="str">
        <f>VLOOKUP(OPX_LE3!$A52,Tableau106[],5,FALSE)</f>
        <v>JADE</v>
      </c>
      <c r="G52" s="232" t="str">
        <f>VLOOKUP(OPX_LE3!$A52,Tableau106[],7,FALSE)</f>
        <v>GROUPE</v>
      </c>
      <c r="H52" s="232" t="str">
        <f>VLOOKUP(OPX_LE3!$A52,Tableau106[],6,FALSE)</f>
        <v>N</v>
      </c>
      <c r="I52" s="232" t="str">
        <f>VLOOKUP(OPX_LE3!$A52,Tableau106[],9,FALSE)</f>
        <v>AyB</v>
      </c>
      <c r="J52" s="254">
        <v>0</v>
      </c>
      <c r="K52" s="228">
        <v>0</v>
      </c>
      <c r="L52" s="228"/>
      <c r="M52" s="229">
        <v>0</v>
      </c>
      <c r="N52" s="229">
        <v>0</v>
      </c>
      <c r="O52" s="229">
        <v>0</v>
      </c>
      <c r="P52" s="229">
        <f>-440*Tableau16[[#This Row],[MW]]</f>
        <v>-5280</v>
      </c>
      <c r="Q52" s="229">
        <f>-250*OPX_LE3!$E52</f>
        <v>-3000</v>
      </c>
      <c r="R52" s="311">
        <f>SUM(OPX_LE3!$K52:$Q52)</f>
        <v>-8280</v>
      </c>
      <c r="S52" s="337">
        <f>-111390*1.1</f>
        <v>-122529.00000000001</v>
      </c>
      <c r="T52" s="361">
        <v>-5000</v>
      </c>
      <c r="U52" s="362">
        <f>-364000-22000-20000</f>
        <v>-406000</v>
      </c>
      <c r="V52" s="361">
        <v>-15000</v>
      </c>
      <c r="W52" s="361">
        <v>0</v>
      </c>
      <c r="X52" s="361">
        <v>0</v>
      </c>
      <c r="Y52" s="361">
        <v>0</v>
      </c>
      <c r="Z52" s="264">
        <f>-250*Tableau16[[#This Row],[MW]]</f>
        <v>-3000</v>
      </c>
      <c r="AA52" s="423"/>
      <c r="AB52" s="273">
        <f>SUM(OPX_LE3!$T52:$AA52)</f>
        <v>-429000</v>
      </c>
      <c r="AC52" s="426"/>
      <c r="AD52" s="426"/>
      <c r="AE52" s="417">
        <v>0</v>
      </c>
      <c r="AF52" s="417">
        <v>-9720</v>
      </c>
      <c r="AG52" s="417">
        <v>-23436</v>
      </c>
      <c r="AH52" s="417">
        <v>0</v>
      </c>
      <c r="AI52" s="417">
        <v>0</v>
      </c>
      <c r="AJ52" s="317">
        <f>SUM(OPX_LE3!$AC52:$AI52)</f>
        <v>-33156</v>
      </c>
      <c r="AK52" s="424">
        <v>0</v>
      </c>
      <c r="AL52" s="276">
        <f>SUM(OPX_LE3!$J52,OPX_LE3!$AB52,OPX_LE3!$S52,OPX_LE3!$AJ52,OPX_LE3!$R52,OPX_LE3!$AK52)</f>
        <v>-592965</v>
      </c>
      <c r="AM52" s="427">
        <v>0</v>
      </c>
      <c r="AN52" s="427">
        <v>0</v>
      </c>
    </row>
    <row r="53" spans="1:41" ht="15">
      <c r="A53" s="325" t="s">
        <v>620</v>
      </c>
      <c r="B53" s="322" t="str">
        <f>VLOOKUP(OPX_LE3!$A53,Tableau106[],3,FALSE)</f>
        <v>A541</v>
      </c>
      <c r="C53" s="322" t="str">
        <f>VLOOKUP(OPX_LE3!$A53,Tableau106[],2,FALSE)</f>
        <v>FR55E02E</v>
      </c>
      <c r="D53" s="322" t="str">
        <f>VLOOKUP(OPX_LE3!$A53,Tableau106[],8,FALSE)</f>
        <v>EOLIEN</v>
      </c>
      <c r="E53" s="324">
        <f>VLOOKUP(OPX_LE3!$A53,Tableau106[],4,FALSE)</f>
        <v>12</v>
      </c>
      <c r="F53" s="322" t="str">
        <f>VLOOKUP(OPX_LE3!$A53,Tableau106[],5,FALSE)</f>
        <v>COUR</v>
      </c>
      <c r="G53" s="322" t="str">
        <f>VLOOKUP(OPX_LE3!$A53,Tableau106[],7,FALSE)</f>
        <v>EGM</v>
      </c>
      <c r="H53" s="322" t="str">
        <f>VLOOKUP(OPX_LE3!$A53,Tableau106[],6,FALSE)</f>
        <v>N</v>
      </c>
      <c r="I53" s="322" t="str">
        <f>VLOOKUP(OPX_LE3!$A53,Tableau106[],9,FALSE)</f>
        <v>BaB</v>
      </c>
      <c r="J53" s="254">
        <v>-309548</v>
      </c>
      <c r="K53" s="228">
        <v>-151460</v>
      </c>
      <c r="L53" s="228"/>
      <c r="M53" s="229">
        <v>0</v>
      </c>
      <c r="N53" s="229">
        <v>-3221</v>
      </c>
      <c r="O53" s="229">
        <v>0</v>
      </c>
      <c r="P53" s="229">
        <v>-4200</v>
      </c>
      <c r="Q53" s="229">
        <f>-250*OPX_LE3!$E53</f>
        <v>-3000</v>
      </c>
      <c r="R53" s="311">
        <f>SUM(OPX_LE3!$K53:$Q53)</f>
        <v>-161881</v>
      </c>
      <c r="S53" s="337">
        <v>0</v>
      </c>
      <c r="T53" s="361">
        <v>0</v>
      </c>
      <c r="U53" s="362">
        <v>-147980</v>
      </c>
      <c r="V53" s="361">
        <v>-45549</v>
      </c>
      <c r="W53" s="361">
        <v>0</v>
      </c>
      <c r="X53" s="361">
        <v>0</v>
      </c>
      <c r="Y53" s="361">
        <v>0</v>
      </c>
      <c r="Z53" s="264">
        <v>-3000</v>
      </c>
      <c r="AA53" s="423"/>
      <c r="AB53" s="273">
        <f>SUM(OPX_LE3!$T53:$AA53)</f>
        <v>-196529</v>
      </c>
      <c r="AC53" s="426"/>
      <c r="AD53" s="426"/>
      <c r="AE53" s="417">
        <v>0</v>
      </c>
      <c r="AF53" s="417">
        <v>0</v>
      </c>
      <c r="AG53" s="417">
        <v>0</v>
      </c>
      <c r="AH53" s="417">
        <v>0</v>
      </c>
      <c r="AI53" s="417">
        <v>0</v>
      </c>
      <c r="AJ53" s="317">
        <f>SUM(OPX_LE3!$AC53:$AI53)</f>
        <v>0</v>
      </c>
      <c r="AK53" s="424">
        <v>0</v>
      </c>
      <c r="AL53" s="276">
        <f>SUM(OPX_LE3!$J53,OPX_LE3!$AB53,OPX_LE3!$S53,OPX_LE3!$AJ53,OPX_LE3!$R53,OPX_LE3!$AK53)</f>
        <v>-667958</v>
      </c>
      <c r="AM53" s="427">
        <v>0</v>
      </c>
      <c r="AN53" s="427">
        <v>-75000</v>
      </c>
      <c r="AO53" s="6" t="s">
        <v>725</v>
      </c>
    </row>
    <row r="54" spans="1:41" ht="15">
      <c r="A54" s="244" t="s">
        <v>486</v>
      </c>
      <c r="B54" s="232" t="str">
        <f>VLOOKUP(OPX_LE3!$A54,Tableau106[],3,FALSE)</f>
        <v>A290</v>
      </c>
      <c r="C54" s="232" t="str">
        <f>VLOOKUP(OPX_LE3!$A54,Tableau106[],2,FALSE)</f>
        <v>FR38S07E</v>
      </c>
      <c r="D54" s="232" t="str">
        <f>VLOOKUP(OPX_LE3!$A54,Tableau106[],8,FALSE)</f>
        <v>SOLAIRE</v>
      </c>
      <c r="E54" s="233">
        <f>VLOOKUP(OPX_LE3!$A54,Tableau106[],4,FALSE)</f>
        <v>10.8</v>
      </c>
      <c r="F54" s="232" t="str">
        <f>VLOOKUP(OPX_LE3!$A54,Tableau106[],5,FALSE)</f>
        <v>CRMA</v>
      </c>
      <c r="G54" s="232" t="str">
        <f>VLOOKUP(OPX_LE3!$A54,Tableau106[],7,FALSE)</f>
        <v>GROUPE</v>
      </c>
      <c r="H54" s="232" t="str">
        <f>VLOOKUP(OPX_LE3!$A54,Tableau106[],6,FALSE)</f>
        <v>S</v>
      </c>
      <c r="I54" s="232" t="str">
        <f>VLOOKUP(OPX_LE3!$A54,Tableau106[],9,FALSE)</f>
        <v>ZaA</v>
      </c>
      <c r="J54" s="254">
        <v>-75355</v>
      </c>
      <c r="K54" s="228">
        <v>0</v>
      </c>
      <c r="L54" s="228"/>
      <c r="M54" s="229">
        <v>0</v>
      </c>
      <c r="N54" s="229">
        <v>0</v>
      </c>
      <c r="O54" s="229">
        <v>0</v>
      </c>
      <c r="P54" s="229">
        <v>0</v>
      </c>
      <c r="Q54" s="229">
        <f>0.1*Tableau16[[#This Row],[Contrat Groupe EDF Re : (WTG + PDL)]]</f>
        <v>-7535.5</v>
      </c>
      <c r="R54" s="311">
        <f>SUM(OPX_LE3!$K54:$Q54)</f>
        <v>-7535.5</v>
      </c>
      <c r="S54" s="337">
        <v>0</v>
      </c>
      <c r="T54" s="361">
        <v>0</v>
      </c>
      <c r="U54" s="362">
        <v>0</v>
      </c>
      <c r="V54" s="361">
        <v>0</v>
      </c>
      <c r="W54" s="361">
        <v>0</v>
      </c>
      <c r="X54" s="361">
        <v>0</v>
      </c>
      <c r="Y54" s="361">
        <v>0</v>
      </c>
      <c r="Z54" s="264">
        <f>-300*Tableau16[[#This Row],[MW]]</f>
        <v>-3240</v>
      </c>
      <c r="AA54" s="423"/>
      <c r="AB54" s="273">
        <f>SUM(OPX_LE3!$T54:$AA54)</f>
        <v>-3240</v>
      </c>
      <c r="AC54" s="426"/>
      <c r="AD54" s="426">
        <v>0</v>
      </c>
      <c r="AE54" s="417">
        <v>0</v>
      </c>
      <c r="AF54" s="417">
        <v>0</v>
      </c>
      <c r="AG54" s="417">
        <v>0</v>
      </c>
      <c r="AH54" s="417">
        <v>-7944</v>
      </c>
      <c r="AI54" s="417">
        <v>0</v>
      </c>
      <c r="AJ54" s="317">
        <f>SUM(OPX_LE3!$AC54:$AI54)</f>
        <v>-7944</v>
      </c>
      <c r="AK54" s="424">
        <v>0</v>
      </c>
      <c r="AL54" s="276">
        <f>SUM(OPX_LE3!$J54,OPX_LE3!$AB54,OPX_LE3!$S54,OPX_LE3!$AJ54,OPX_LE3!$R54,OPX_LE3!$AK54)</f>
        <v>-94074.5</v>
      </c>
      <c r="AM54" s="427">
        <v>0</v>
      </c>
      <c r="AN54" s="427">
        <v>0</v>
      </c>
    </row>
    <row r="55" spans="1:41" ht="15">
      <c r="A55" s="325" t="s">
        <v>487</v>
      </c>
      <c r="B55" s="322" t="str">
        <f>VLOOKUP(OPX_LE3!$A55,Tableau106[],3,FALSE)</f>
        <v>A385</v>
      </c>
      <c r="C55" s="322" t="str">
        <f>VLOOKUP(OPX_LE3!$A55,Tableau106[],2,FALSE)</f>
        <v>FR28S02E</v>
      </c>
      <c r="D55" s="322" t="str">
        <f>VLOOKUP(OPX_LE3!$A55,Tableau106[],8,FALSE)</f>
        <v>SOLAIRE</v>
      </c>
      <c r="E55" s="324">
        <f>VLOOKUP(OPX_LE3!$A55,Tableau106[],4,FALSE)</f>
        <v>36</v>
      </c>
      <c r="F55" s="322" t="str">
        <f>VLOOKUP(OPX_LE3!$A55,Tableau106[],5,FALSE)</f>
        <v>CY11, CY12, CY13</v>
      </c>
      <c r="G55" s="322" t="str">
        <f>VLOOKUP(OPX_LE3!$A55,Tableau106[],7,FALSE)</f>
        <v>GROUPE</v>
      </c>
      <c r="H55" s="322" t="str">
        <f>VLOOKUP(OPX_LE3!$A55,Tableau106[],6,FALSE)</f>
        <v>N</v>
      </c>
      <c r="I55" s="322" t="str">
        <f>VLOOKUP(OPX_LE3!$A55,Tableau106[],9,FALSE)</f>
        <v>LoG</v>
      </c>
      <c r="J55" s="254">
        <v>-795942</v>
      </c>
      <c r="K55" s="228">
        <v>-79030</v>
      </c>
      <c r="L55" s="228"/>
      <c r="M55" s="229"/>
      <c r="N55" s="229">
        <v>0</v>
      </c>
      <c r="O55" s="229">
        <v>0</v>
      </c>
      <c r="P55" s="229">
        <v>0</v>
      </c>
      <c r="Q55" s="229">
        <f>-250*OPX_LE3!$E55-20000</f>
        <v>-29000</v>
      </c>
      <c r="R55" s="311">
        <f>SUM(OPX_LE3!$K55:$Q55)</f>
        <v>-108030</v>
      </c>
      <c r="S55" s="337">
        <v>0</v>
      </c>
      <c r="T55" s="361">
        <v>0</v>
      </c>
      <c r="U55" s="362">
        <v>0</v>
      </c>
      <c r="V55" s="361">
        <f>-48600-200000</f>
        <v>-248600</v>
      </c>
      <c r="W55" s="361">
        <v>0</v>
      </c>
      <c r="X55" s="361">
        <v>0</v>
      </c>
      <c r="Y55" s="361">
        <v>0</v>
      </c>
      <c r="Z55" s="264">
        <v>-9000</v>
      </c>
      <c r="AA55" s="423"/>
      <c r="AB55" s="273">
        <f>SUM(OPX_LE3!$T55:$AA55)</f>
        <v>-257600</v>
      </c>
      <c r="AC55" s="426"/>
      <c r="AD55" s="426">
        <v>0</v>
      </c>
      <c r="AE55" s="417">
        <v>-4000</v>
      </c>
      <c r="AF55" s="417">
        <v>0</v>
      </c>
      <c r="AG55" s="417">
        <v>0</v>
      </c>
      <c r="AH55" s="417">
        <v>-4326</v>
      </c>
      <c r="AI55" s="417">
        <v>-3900</v>
      </c>
      <c r="AJ55" s="317">
        <f>SUM(OPX_LE3!$AC55:$AI55)</f>
        <v>-12226</v>
      </c>
      <c r="AK55" s="424">
        <v>-48000</v>
      </c>
      <c r="AL55" s="276">
        <f>SUM(OPX_LE3!$J55,OPX_LE3!$AB55,OPX_LE3!$S55,OPX_LE3!$AJ55,OPX_LE3!$R55,OPX_LE3!$AK55)</f>
        <v>-1221798</v>
      </c>
      <c r="AM55" s="427">
        <v>0</v>
      </c>
      <c r="AN55" s="427">
        <v>0</v>
      </c>
    </row>
    <row r="56" spans="1:41" ht="15">
      <c r="A56" s="244" t="s">
        <v>118</v>
      </c>
      <c r="B56" s="232" t="str">
        <f>VLOOKUP(OPX_LE3!$A56,Tableau106[],3,FALSE)</f>
        <v>F142</v>
      </c>
      <c r="C56" s="232" t="str">
        <f>VLOOKUP(OPX_LE3!$A56,Tableau106[],2,FALSE)</f>
        <v>FR55E14E</v>
      </c>
      <c r="D56" s="232" t="str">
        <f>VLOOKUP(OPX_LE3!$A56,Tableau106[],8,FALSE)</f>
        <v>EOLIEN</v>
      </c>
      <c r="E56" s="233">
        <f>VLOOKUP(OPX_LE3!$A56,Tableau106[],4,FALSE)</f>
        <v>19.8</v>
      </c>
      <c r="F56" s="232" t="str">
        <f>VLOOKUP(OPX_LE3!$A56,Tableau106[],5,FALSE)</f>
        <v>DEM1, DEM2</v>
      </c>
      <c r="G56" s="232" t="str">
        <f>VLOOKUP(OPX_LE3!$A56,Tableau106[],7,FALSE)</f>
        <v>FUTUREN</v>
      </c>
      <c r="H56" s="232" t="str">
        <f>VLOOKUP(OPX_LE3!$A56,Tableau106[],6,FALSE)</f>
        <v>N</v>
      </c>
      <c r="I56" s="232" t="str">
        <f>VLOOKUP(OPX_LE3!$A56,Tableau106[],9,FALSE)</f>
        <v>NiL</v>
      </c>
      <c r="J56" s="254">
        <v>-12533</v>
      </c>
      <c r="K56" s="228">
        <v>-4320</v>
      </c>
      <c r="L56" s="228"/>
      <c r="M56" s="229">
        <v>0</v>
      </c>
      <c r="N56" s="229">
        <v>0</v>
      </c>
      <c r="O56" s="229">
        <v>0</v>
      </c>
      <c r="P56" s="229">
        <f>-440*Tableau16[[#This Row],[MW]]/2</f>
        <v>-4356</v>
      </c>
      <c r="Q56" s="229">
        <f>-250*OPX_LE3!$E56</f>
        <v>-4950</v>
      </c>
      <c r="R56" s="311">
        <f>SUM(OPX_LE3!$K56:$Q56)</f>
        <v>-13626</v>
      </c>
      <c r="S56" s="337">
        <v>-331854</v>
      </c>
      <c r="T56" s="361">
        <v>0</v>
      </c>
      <c r="U56" s="362">
        <v>0</v>
      </c>
      <c r="V56" s="361">
        <v>-3600</v>
      </c>
      <c r="W56" s="361">
        <f>-3256-(450*9)</f>
        <v>-7306</v>
      </c>
      <c r="X56" s="361">
        <v>0</v>
      </c>
      <c r="Y56" s="361">
        <v>-500</v>
      </c>
      <c r="Z56" s="264">
        <f>-250*OPX_LE3!$E56</f>
        <v>-4950</v>
      </c>
      <c r="AA56" s="423"/>
      <c r="AB56" s="273">
        <f>SUM(OPX_LE3!$T56:$AA56)</f>
        <v>-16356</v>
      </c>
      <c r="AC56" s="426"/>
      <c r="AD56" s="426"/>
      <c r="AE56" s="417">
        <v>0</v>
      </c>
      <c r="AF56" s="417">
        <v>0</v>
      </c>
      <c r="AG56" s="417">
        <v>0</v>
      </c>
      <c r="AH56" s="417">
        <v>0</v>
      </c>
      <c r="AI56" s="417">
        <v>0</v>
      </c>
      <c r="AJ56" s="317">
        <f>SUM(OPX_LE3!$AC56:$AI56)</f>
        <v>0</v>
      </c>
      <c r="AK56" s="424">
        <v>0</v>
      </c>
      <c r="AL56" s="276">
        <f>SUM(OPX_LE3!$J56,OPX_LE3!$AB56,OPX_LE3!$S56,OPX_LE3!$AJ56,OPX_LE3!$R56,OPX_LE3!$AK56)</f>
        <v>-374369</v>
      </c>
      <c r="AM56" s="427">
        <v>-15000</v>
      </c>
      <c r="AN56" s="427">
        <v>0</v>
      </c>
    </row>
    <row r="57" spans="1:41" ht="15">
      <c r="A57" s="325" t="s">
        <v>636</v>
      </c>
      <c r="B57" s="322" t="str">
        <f>VLOOKUP(OPX_LE3!$A57,Tableau106[],3,FALSE)</f>
        <v>A955</v>
      </c>
      <c r="C57" s="322" t="str">
        <f>VLOOKUP(OPX_LE3!$A57,Tableau106[],2,FALSE)</f>
        <v>FR01S08E</v>
      </c>
      <c r="D57" s="322" t="str">
        <f>VLOOKUP(OPX_LE3!$A57,Tableau106[],8,FALSE)</f>
        <v>SOLAIRE</v>
      </c>
      <c r="E57" s="233">
        <f>VLOOKUP(OPX_LE3!$A57,Tableau106[],4,FALSE)</f>
        <v>2.2000000000000002</v>
      </c>
      <c r="F57" s="322" t="str">
        <f>VLOOKUP(OPX_LE3!$A57,Tableau106[],5,FALSE)</f>
        <v>DROM</v>
      </c>
      <c r="G57" s="322" t="str">
        <f>VLOOKUP(OPX_LE3!$A57,Tableau106[],7,FALSE)</f>
        <v>GROUPE</v>
      </c>
      <c r="H57" s="322" t="str">
        <f>VLOOKUP(OPX_LE3!$A57,Tableau106[],6,FALSE)</f>
        <v>S</v>
      </c>
      <c r="I57" s="322" t="e">
        <f>VLOOKUP(OPX_LE3!$A57,Tableau106[],9,FALSE)</f>
        <v>#N/A</v>
      </c>
      <c r="J57" s="254">
        <v>-16000</v>
      </c>
      <c r="K57" s="228">
        <v>0</v>
      </c>
      <c r="L57" s="228"/>
      <c r="M57" s="229">
        <v>0</v>
      </c>
      <c r="N57" s="229">
        <v>0</v>
      </c>
      <c r="O57" s="229">
        <v>0</v>
      </c>
      <c r="P57" s="229">
        <v>0</v>
      </c>
      <c r="Q57" s="229">
        <f>-250*OPX_LE3!$E57-1600</f>
        <v>-2150</v>
      </c>
      <c r="R57" s="311">
        <f>SUM(OPX_LE3!$K57:$Q57)</f>
        <v>-2150</v>
      </c>
      <c r="S57" s="337"/>
      <c r="T57" s="361">
        <v>0</v>
      </c>
      <c r="U57" s="362">
        <v>0</v>
      </c>
      <c r="V57" s="361">
        <v>0</v>
      </c>
      <c r="W57" s="361">
        <v>0</v>
      </c>
      <c r="X57" s="361">
        <v>0</v>
      </c>
      <c r="Y57" s="361">
        <v>0</v>
      </c>
      <c r="Z57" s="264">
        <v>-550</v>
      </c>
      <c r="AA57" s="423"/>
      <c r="AB57" s="273">
        <f>SUM(OPX_LE3!$T57:$AA57)</f>
        <v>-550</v>
      </c>
      <c r="AC57" s="426"/>
      <c r="AD57" s="426">
        <v>0</v>
      </c>
      <c r="AE57" s="417">
        <v>0</v>
      </c>
      <c r="AF57" s="417">
        <v>0</v>
      </c>
      <c r="AG57" s="417">
        <v>0</v>
      </c>
      <c r="AH57" s="417">
        <v>0</v>
      </c>
      <c r="AI57" s="417">
        <v>0</v>
      </c>
      <c r="AJ57" s="317">
        <f>SUM(OPX_LE3!$AC57:$AI57)</f>
        <v>0</v>
      </c>
      <c r="AK57" s="424">
        <v>0</v>
      </c>
      <c r="AL57" s="276">
        <f>SUM(OPX_LE3!$J57,OPX_LE3!$AB57,OPX_LE3!$S57,OPX_LE3!$AJ57,OPX_LE3!$R57,OPX_LE3!$AK57)</f>
        <v>-18700</v>
      </c>
      <c r="AM57" s="427">
        <v>0</v>
      </c>
      <c r="AN57" s="427">
        <v>0</v>
      </c>
    </row>
    <row r="58" spans="1:41" ht="15">
      <c r="A58" s="244" t="s">
        <v>541</v>
      </c>
      <c r="B58" s="232" t="str">
        <f>VLOOKUP(OPX_LE3!$A58,Tableau106[],3,FALSE)</f>
        <v>A900</v>
      </c>
      <c r="C58" s="232" t="str">
        <f>VLOOKUP(OPX_LE3!$A58,Tableau106[],2,FALSE)</f>
        <v>FR66E99E</v>
      </c>
      <c r="D58" s="232" t="str">
        <f>VLOOKUP(OPX_LE3!$A58,Tableau106[],8,FALSE)</f>
        <v>EOLIEN</v>
      </c>
      <c r="E58" s="233">
        <f>VLOOKUP(OPX_LE3!$A58,Tableau106[],4,FALSE)</f>
        <v>96</v>
      </c>
      <c r="F58" s="232" t="str">
        <f>VLOOKUP(OPX_LE3!$A58,Tableau106[],5,FALSE)</f>
        <v>PEZI</v>
      </c>
      <c r="G58" s="232" t="str">
        <f>VLOOKUP(OPX_LE3!$A58,Tableau106[],7,FALSE)</f>
        <v>GROUPE</v>
      </c>
      <c r="H58" s="232" t="str">
        <f>VLOOKUP(OPX_LE3!$A58,Tableau106[],6,FALSE)</f>
        <v>S</v>
      </c>
      <c r="I58" s="232" t="str">
        <f>VLOOKUP(OPX_LE3!$A58,Tableau106[],9,FALSE)</f>
        <v>PiM</v>
      </c>
      <c r="J58" s="254">
        <v>-2521859</v>
      </c>
      <c r="K58" s="228">
        <v>-144120</v>
      </c>
      <c r="L58" s="228"/>
      <c r="M58" s="229">
        <v>0</v>
      </c>
      <c r="N58" s="229">
        <v>0</v>
      </c>
      <c r="O58" s="229">
        <v>-3188.7</v>
      </c>
      <c r="P58" s="229">
        <v>-42240</v>
      </c>
      <c r="Q58" s="229">
        <f>-250*OPX_LE3!$E58</f>
        <v>-24000</v>
      </c>
      <c r="R58" s="311">
        <f>SUM(OPX_LE3!$K58:$Q58)</f>
        <v>-213548.7</v>
      </c>
      <c r="S58" s="337">
        <f>-4000-3552.5-6426.58</f>
        <v>-13979.08</v>
      </c>
      <c r="T58" s="361"/>
      <c r="U58" s="362">
        <v>-1500</v>
      </c>
      <c r="V58" s="361">
        <f>-15000-15000-15000</f>
        <v>-45000</v>
      </c>
      <c r="W58" s="361">
        <v>0</v>
      </c>
      <c r="X58" s="361">
        <v>-9000</v>
      </c>
      <c r="Y58" s="361">
        <f>-15393.47-15203.45</f>
        <v>-30596.92</v>
      </c>
      <c r="Z58" s="264">
        <f>-250*Tableau16[[#This Row],[MW]]</f>
        <v>-24000</v>
      </c>
      <c r="AA58" s="423">
        <f>-192000-30000-4000</f>
        <v>-226000</v>
      </c>
      <c r="AB58" s="273">
        <f>SUM(OPX_LE3!$T58:$AA58)</f>
        <v>-336096.92</v>
      </c>
      <c r="AC58" s="426"/>
      <c r="AD58" s="426"/>
      <c r="AE58" s="417">
        <v>0</v>
      </c>
      <c r="AF58" s="417">
        <v>-35000</v>
      </c>
      <c r="AG58" s="417">
        <v>-70000</v>
      </c>
      <c r="AH58" s="417">
        <v>-13000</v>
      </c>
      <c r="AI58" s="417">
        <v>-10000</v>
      </c>
      <c r="AJ58" s="317">
        <f>SUM(OPX_LE3!$AC58:$AI58)</f>
        <v>-128000</v>
      </c>
      <c r="AK58" s="435">
        <v>-30000</v>
      </c>
      <c r="AL58" s="276">
        <f>SUM(OPX_LE3!$J58,OPX_LE3!$AB58,OPX_LE3!$S58,OPX_LE3!$AJ58,OPX_LE3!$R58,OPX_LE3!$AK58)</f>
        <v>-3243483.7</v>
      </c>
      <c r="AM58" s="427">
        <v>-67967.839999999997</v>
      </c>
      <c r="AN58" s="427">
        <v>0</v>
      </c>
    </row>
    <row r="59" spans="1:41" ht="15">
      <c r="A59" s="325" t="s">
        <v>491</v>
      </c>
      <c r="B59" s="322" t="str">
        <f>VLOOKUP(OPX_LE3!$A59,Tableau106[],3,FALSE)</f>
        <v>A266</v>
      </c>
      <c r="C59" s="322" t="str">
        <f>VLOOKUP(OPX_LE3!$A59,Tableau106[],2,FALSE)</f>
        <v>FR71S05E</v>
      </c>
      <c r="D59" s="322" t="str">
        <f>VLOOKUP(OPX_LE3!$A59,Tableau106[],8,FALSE)</f>
        <v>SOLAIRE</v>
      </c>
      <c r="E59" s="324">
        <f>VLOOKUP(OPX_LE3!$A59,Tableau106[],4,FALSE)</f>
        <v>3.1</v>
      </c>
      <c r="F59" s="322" t="str">
        <f>VLOOKUP(OPX_LE3!$A59,Tableau106[],5,FALSE)</f>
        <v>EPIN</v>
      </c>
      <c r="G59" s="322" t="str">
        <f>VLOOKUP(OPX_LE3!$A59,Tableau106[],7,FALSE)</f>
        <v>GROUPE</v>
      </c>
      <c r="H59" s="322" t="str">
        <f>VLOOKUP(OPX_LE3!$A59,Tableau106[],6,FALSE)</f>
        <v>N</v>
      </c>
      <c r="I59" s="322" t="str">
        <f>VLOOKUP(OPX_LE3!$A59,Tableau106[],9,FALSE)</f>
        <v>LoG</v>
      </c>
      <c r="J59" s="254">
        <f>-8000*3.1/2</f>
        <v>-12400</v>
      </c>
      <c r="K59" s="228">
        <v>0</v>
      </c>
      <c r="L59" s="228"/>
      <c r="M59" s="229">
        <v>0</v>
      </c>
      <c r="N59" s="229">
        <v>0</v>
      </c>
      <c r="O59" s="229">
        <v>0</v>
      </c>
      <c r="P59" s="229">
        <v>0</v>
      </c>
      <c r="Q59" s="229">
        <f>-250*OPX_LE3!$E59-0.1*12400</f>
        <v>-2015</v>
      </c>
      <c r="R59" s="311">
        <f>SUM(OPX_LE3!$K59:$Q59)</f>
        <v>-2015</v>
      </c>
      <c r="S59" s="337"/>
      <c r="T59" s="361">
        <v>0</v>
      </c>
      <c r="U59" s="362">
        <v>0</v>
      </c>
      <c r="V59" s="361">
        <v>0</v>
      </c>
      <c r="W59" s="361">
        <v>0</v>
      </c>
      <c r="X59" s="361">
        <v>0</v>
      </c>
      <c r="Y59" s="361">
        <v>0</v>
      </c>
      <c r="Z59" s="264"/>
      <c r="AA59" s="423"/>
      <c r="AB59" s="273">
        <f>SUM(OPX_LE3!$T59:$AA59)</f>
        <v>0</v>
      </c>
      <c r="AC59" s="426"/>
      <c r="AD59" s="426">
        <v>0</v>
      </c>
      <c r="AE59" s="417">
        <v>0</v>
      </c>
      <c r="AF59" s="417">
        <v>0</v>
      </c>
      <c r="AG59" s="417">
        <v>0</v>
      </c>
      <c r="AH59" s="417">
        <v>0</v>
      </c>
      <c r="AI59" s="417">
        <v>0</v>
      </c>
      <c r="AJ59" s="317">
        <f>SUM(OPX_LE3!$AC59:$AI59)</f>
        <v>0</v>
      </c>
      <c r="AK59" s="424">
        <v>0</v>
      </c>
      <c r="AL59" s="276">
        <f>SUM(OPX_LE3!$J59,OPX_LE3!$AB59,OPX_LE3!$S59,OPX_LE3!$AJ59,OPX_LE3!$R59,OPX_LE3!$AK59)</f>
        <v>-14415</v>
      </c>
      <c r="AM59" s="427">
        <v>0</v>
      </c>
      <c r="AN59" s="427">
        <v>0</v>
      </c>
    </row>
    <row r="60" spans="1:41" ht="15">
      <c r="A60" s="244" t="s">
        <v>506</v>
      </c>
      <c r="B60" s="232" t="str">
        <f>VLOOKUP(OPX_LE3!$A60,Tableau106[],3,FALSE)</f>
        <v>A541</v>
      </c>
      <c r="C60" s="232" t="str">
        <f>VLOOKUP(OPX_LE3!$A60,Tableau106[],2,FALSE)</f>
        <v>FR55E03E</v>
      </c>
      <c r="D60" s="232" t="str">
        <f>VLOOKUP(OPX_LE3!$A60,Tableau106[],8,FALSE)</f>
        <v>EOLIEN</v>
      </c>
      <c r="E60" s="233">
        <f>VLOOKUP(OPX_LE3!$A60,Tableau106[],4,FALSE)</f>
        <v>11.5</v>
      </c>
      <c r="F60" s="232" t="str">
        <f>VLOOKUP(OPX_LE3!$A60,Tableau106[],5,FALSE)</f>
        <v>ERIZ</v>
      </c>
      <c r="G60" s="232" t="str">
        <f>VLOOKUP(OPX_LE3!$A60,Tableau106[],7,FALSE)</f>
        <v>EGM</v>
      </c>
      <c r="H60" s="232" t="str">
        <f>VLOOKUP(OPX_LE3!$A60,Tableau106[],6,FALSE)</f>
        <v>N</v>
      </c>
      <c r="I60" s="232" t="str">
        <f>VLOOKUP(OPX_LE3!$A60,Tableau106[],9,FALSE)</f>
        <v>MaA</v>
      </c>
      <c r="J60" s="254">
        <v>-309548</v>
      </c>
      <c r="K60" s="228">
        <v>-165000</v>
      </c>
      <c r="L60" s="228"/>
      <c r="M60" s="229">
        <v>0</v>
      </c>
      <c r="N60" s="229">
        <v>0</v>
      </c>
      <c r="O60" s="229">
        <v>0</v>
      </c>
      <c r="P60" s="229">
        <v>-4025</v>
      </c>
      <c r="Q60" s="229">
        <f>-250*OPX_LE3!$E60</f>
        <v>-2875</v>
      </c>
      <c r="R60" s="311">
        <f>SUM(OPX_LE3!$K60:$Q60)</f>
        <v>-171900</v>
      </c>
      <c r="S60" s="337">
        <v>0</v>
      </c>
      <c r="T60" s="361">
        <v>0</v>
      </c>
      <c r="U60" s="362">
        <v>0</v>
      </c>
      <c r="V60" s="361">
        <f>-2000-1190</f>
        <v>-3190</v>
      </c>
      <c r="W60" s="361">
        <v>0</v>
      </c>
      <c r="X60" s="361">
        <v>0</v>
      </c>
      <c r="Y60" s="361">
        <v>0</v>
      </c>
      <c r="Z60" s="264">
        <v>-2875</v>
      </c>
      <c r="AA60" s="423"/>
      <c r="AB60" s="273">
        <f>SUM(OPX_LE3!$T60:$AA60)</f>
        <v>-6065</v>
      </c>
      <c r="AC60" s="426"/>
      <c r="AD60" s="426"/>
      <c r="AE60" s="417">
        <v>0</v>
      </c>
      <c r="AF60" s="417">
        <v>0</v>
      </c>
      <c r="AG60" s="417">
        <v>0</v>
      </c>
      <c r="AH60" s="417">
        <v>0</v>
      </c>
      <c r="AI60" s="417">
        <v>0</v>
      </c>
      <c r="AJ60" s="317">
        <f>SUM(OPX_LE3!$AC60:$AI60)</f>
        <v>0</v>
      </c>
      <c r="AK60" s="424">
        <v>-13580</v>
      </c>
      <c r="AL60" s="276">
        <f>SUM(OPX_LE3!$J60,OPX_LE3!$AB60,OPX_LE3!$S60,OPX_LE3!$AJ60,OPX_LE3!$R60,OPX_LE3!$AK60)</f>
        <v>-501093</v>
      </c>
      <c r="AM60" s="427">
        <v>0</v>
      </c>
      <c r="AN60" s="427">
        <v>-120000</v>
      </c>
      <c r="AO60" s="6" t="s">
        <v>1541</v>
      </c>
    </row>
    <row r="61" spans="1:41" ht="15">
      <c r="A61" s="325" t="s">
        <v>526</v>
      </c>
      <c r="B61" s="322" t="str">
        <f>VLOOKUP(OPX_LE3!$A61,Tableau106[],3,FALSE)</f>
        <v>A967</v>
      </c>
      <c r="C61" s="322" t="str">
        <f>VLOOKUP(OPX_LE3!$A61,Tableau106[],2,FALSE)</f>
        <v>FR28E97E</v>
      </c>
      <c r="D61" s="322" t="str">
        <f>VLOOKUP(OPX_LE3!$A61,Tableau106[],8,FALSE)</f>
        <v>EOLIEN</v>
      </c>
      <c r="E61" s="324">
        <f>VLOOKUP(OPX_LE3!$A61,Tableau106[],4,FALSE)</f>
        <v>17</v>
      </c>
      <c r="F61" s="322" t="str">
        <f>VLOOKUP(OPX_LE3!$A61,Tableau106[],5,FALSE)</f>
        <v>ESPS</v>
      </c>
      <c r="G61" s="322" t="str">
        <f>VLOOKUP(OPX_LE3!$A61,Tableau106[],7,FALSE)</f>
        <v>FUTUREN</v>
      </c>
      <c r="H61" s="322" t="str">
        <f>VLOOKUP(OPX_LE3!$A61,Tableau106[],6,FALSE)</f>
        <v>N</v>
      </c>
      <c r="I61" s="322" t="str">
        <f>VLOOKUP(OPX_LE3!$A61,Tableau106[],9,FALSE)</f>
        <v>AlY</v>
      </c>
      <c r="J61" s="254">
        <v>-23738</v>
      </c>
      <c r="K61" s="228">
        <v>-5200</v>
      </c>
      <c r="L61" s="228"/>
      <c r="M61" s="229">
        <v>0</v>
      </c>
      <c r="N61" s="229">
        <v>0</v>
      </c>
      <c r="O61" s="229">
        <v>0</v>
      </c>
      <c r="P61" s="229">
        <v>-6300</v>
      </c>
      <c r="Q61" s="229">
        <f>-250*OPX_LE3!$E61</f>
        <v>-4250</v>
      </c>
      <c r="R61" s="311">
        <f>SUM(OPX_LE3!$K61:$Q61)</f>
        <v>-15750</v>
      </c>
      <c r="S61" s="337">
        <v>-281447</v>
      </c>
      <c r="T61" s="377">
        <v>0</v>
      </c>
      <c r="U61" s="362">
        <v>0</v>
      </c>
      <c r="V61" s="361">
        <f>-1800-750-600</f>
        <v>-3150</v>
      </c>
      <c r="W61" s="377">
        <v>-3600</v>
      </c>
      <c r="X61" s="361">
        <v>0</v>
      </c>
      <c r="Y61" s="361">
        <v>0</v>
      </c>
      <c r="Z61" s="264">
        <v>-4250</v>
      </c>
      <c r="AA61" s="423"/>
      <c r="AB61" s="273">
        <f>SUM(OPX_LE3!$T61:$AA61)</f>
        <v>-11000</v>
      </c>
      <c r="AC61" s="426"/>
      <c r="AD61" s="426"/>
      <c r="AE61" s="417">
        <v>-3343.2</v>
      </c>
      <c r="AF61" s="417">
        <v>0</v>
      </c>
      <c r="AG61" s="417"/>
      <c r="AH61" s="417"/>
      <c r="AI61" s="417">
        <v>-4200</v>
      </c>
      <c r="AJ61" s="317">
        <f>SUM(OPX_LE3!$AC61:$AI61)</f>
        <v>-7543.2</v>
      </c>
      <c r="AK61" s="424">
        <f>-9153-21176</f>
        <v>-30329</v>
      </c>
      <c r="AL61" s="276">
        <f>SUM(OPX_LE3!$J61,OPX_LE3!$AB61,OPX_LE3!$S61,OPX_LE3!$AJ61,OPX_LE3!$R61,OPX_LE3!$AK61)</f>
        <v>-369807.2</v>
      </c>
      <c r="AM61" s="427">
        <v>-57700</v>
      </c>
      <c r="AN61" s="427">
        <v>0</v>
      </c>
    </row>
    <row r="62" spans="1:41" ht="15">
      <c r="A62" s="244" t="s">
        <v>493</v>
      </c>
      <c r="B62" s="232" t="str">
        <f>VLOOKUP(OPX_LE3!$A62,Tableau106[],3,FALSE)</f>
        <v>A353</v>
      </c>
      <c r="C62" s="232" t="str">
        <f>VLOOKUP(OPX_LE3!$A62,Tableau106[],2,FALSE)</f>
        <v>FR13S08E</v>
      </c>
      <c r="D62" s="232" t="str">
        <f>VLOOKUP(OPX_LE3!$A62,Tableau106[],8,FALSE)</f>
        <v>SOLAIRE</v>
      </c>
      <c r="E62" s="233">
        <f>VLOOKUP(OPX_LE3!$A62,Tableau106[],4,FALSE)</f>
        <v>10.4</v>
      </c>
      <c r="F62" s="232" t="str">
        <f>VLOOKUP(OPX_LE3!$A62,Tableau106[],5,FALSE)</f>
        <v>EYGU</v>
      </c>
      <c r="G62" s="232" t="str">
        <f>VLOOKUP(OPX_LE3!$A62,Tableau106[],7,FALSE)</f>
        <v>GROUPE</v>
      </c>
      <c r="H62" s="232" t="str">
        <f>VLOOKUP(OPX_LE3!$A62,Tableau106[],6,FALSE)</f>
        <v>S</v>
      </c>
      <c r="I62" s="232" t="str">
        <f>VLOOKUP(OPX_LE3!$A62,Tableau106[],9,FALSE)</f>
        <v>ArB</v>
      </c>
      <c r="J62" s="254">
        <v>-54778</v>
      </c>
      <c r="K62" s="228">
        <v>-10000</v>
      </c>
      <c r="L62" s="228"/>
      <c r="M62" s="229">
        <v>0</v>
      </c>
      <c r="N62" s="229">
        <v>0</v>
      </c>
      <c r="O62" s="229">
        <v>0</v>
      </c>
      <c r="P62" s="229">
        <v>0</v>
      </c>
      <c r="Q62" s="229">
        <f>-250*OPX_LE3!$E62</f>
        <v>-2600</v>
      </c>
      <c r="R62" s="311">
        <f>SUM(OPX_LE3!$K62:$Q62)</f>
        <v>-12600</v>
      </c>
      <c r="S62" s="337">
        <v>0</v>
      </c>
      <c r="T62" s="361">
        <v>0</v>
      </c>
      <c r="U62" s="362">
        <v>0</v>
      </c>
      <c r="V62" s="361">
        <v>0</v>
      </c>
      <c r="W62" s="361">
        <v>0</v>
      </c>
      <c r="X62" s="361">
        <v>0</v>
      </c>
      <c r="Y62" s="361">
        <v>0</v>
      </c>
      <c r="Z62" s="264">
        <v>-2600</v>
      </c>
      <c r="AA62" s="423">
        <v>-5000</v>
      </c>
      <c r="AB62" s="273">
        <f>SUM(OPX_LE3!$T62:$AA62)</f>
        <v>-7600</v>
      </c>
      <c r="AC62" s="426"/>
      <c r="AD62" s="426">
        <v>0</v>
      </c>
      <c r="AE62" s="417">
        <v>0</v>
      </c>
      <c r="AF62" s="417">
        <v>0</v>
      </c>
      <c r="AG62" s="417">
        <v>0</v>
      </c>
      <c r="AH62" s="417">
        <v>-13450</v>
      </c>
      <c r="AI62" s="417">
        <v>0</v>
      </c>
      <c r="AJ62" s="317">
        <f>SUM(OPX_LE3!$AC62:$AI62)</f>
        <v>-13450</v>
      </c>
      <c r="AK62" s="424">
        <v>0</v>
      </c>
      <c r="AL62" s="276">
        <f>SUM(OPX_LE3!$J62,OPX_LE3!$AB62,OPX_LE3!$S62,OPX_LE3!$AJ62,OPX_LE3!$R62,OPX_LE3!$AK62)</f>
        <v>-88428</v>
      </c>
      <c r="AM62" s="427">
        <v>0</v>
      </c>
      <c r="AN62" s="427">
        <v>0</v>
      </c>
    </row>
    <row r="63" spans="1:41" ht="15">
      <c r="A63" s="325" t="s">
        <v>616</v>
      </c>
      <c r="B63" s="322" t="str">
        <f>VLOOKUP(OPX_LE3!$A63,Tableau106[],3,FALSE)</f>
        <v>A895</v>
      </c>
      <c r="C63" s="322" t="str">
        <f>VLOOKUP(OPX_LE3!$A63,Tableau106[],2,FALSE)</f>
        <v>FR76E99E</v>
      </c>
      <c r="D63" s="322" t="str">
        <f>VLOOKUP(OPX_LE3!$A63,Tableau106[],8,FALSE)</f>
        <v>EOLIEN</v>
      </c>
      <c r="E63" s="324">
        <f>VLOOKUP(OPX_LE3!$A63,Tableau106[],4,FALSE)</f>
        <v>4.5</v>
      </c>
      <c r="F63" s="322" t="str">
        <f>VLOOKUP(OPX_LE3!$A63,Tableau106[],5,FALSE)</f>
        <v>FECA</v>
      </c>
      <c r="G63" s="322" t="str">
        <f>VLOOKUP(OPX_LE3!$A63,Tableau106[],7,FALSE)</f>
        <v>GROUPE</v>
      </c>
      <c r="H63" s="322" t="str">
        <f>VLOOKUP(OPX_LE3!$A63,Tableau106[],6,FALSE)</f>
        <v>N</v>
      </c>
      <c r="I63" s="322" t="str">
        <f>VLOOKUP(OPX_LE3!$A63,Tableau106[],9,FALSE)</f>
        <v>AnN</v>
      </c>
      <c r="J63" s="254">
        <v>-78469</v>
      </c>
      <c r="K63" s="228">
        <v>-195310</v>
      </c>
      <c r="L63" s="228"/>
      <c r="M63" s="229">
        <v>0</v>
      </c>
      <c r="N63" s="229">
        <v>0</v>
      </c>
      <c r="O63" s="229">
        <v>0</v>
      </c>
      <c r="P63" s="229">
        <v>0</v>
      </c>
      <c r="Q63" s="229">
        <f>-250*OPX_LE3!$E63</f>
        <v>-1125</v>
      </c>
      <c r="R63" s="311">
        <f>SUM(OPX_LE3!$K63:$Q63)</f>
        <v>-196435</v>
      </c>
      <c r="S63" s="337">
        <v>0</v>
      </c>
      <c r="T63" s="361"/>
      <c r="U63" s="362">
        <v>0</v>
      </c>
      <c r="V63" s="361">
        <v>-1000</v>
      </c>
      <c r="W63" s="361">
        <v>-10000</v>
      </c>
      <c r="X63" s="361">
        <v>0</v>
      </c>
      <c r="Y63" s="361">
        <v>0</v>
      </c>
      <c r="Z63" s="264">
        <f>-1125-3750</f>
        <v>-4875</v>
      </c>
      <c r="AA63" s="423"/>
      <c r="AB63" s="273">
        <f>SUM(OPX_LE3!$T63:$AA63)</f>
        <v>-15875</v>
      </c>
      <c r="AC63" s="426"/>
      <c r="AD63" s="426"/>
      <c r="AE63" s="417">
        <v>0</v>
      </c>
      <c r="AF63" s="417">
        <v>0</v>
      </c>
      <c r="AG63" s="417">
        <v>0</v>
      </c>
      <c r="AH63" s="417">
        <v>0</v>
      </c>
      <c r="AI63" s="417">
        <v>0</v>
      </c>
      <c r="AJ63" s="317">
        <f>SUM(OPX_LE3!$AC63:$AI63)</f>
        <v>0</v>
      </c>
      <c r="AK63" s="424">
        <v>0</v>
      </c>
      <c r="AL63" s="276">
        <f>SUM(OPX_LE3!$J63,OPX_LE3!$AB63,OPX_LE3!$S63,OPX_LE3!$AJ63,OPX_LE3!$R63,OPX_LE3!$AK63)</f>
        <v>-290779</v>
      </c>
      <c r="AM63" s="427">
        <v>0</v>
      </c>
      <c r="AN63" s="427">
        <v>0</v>
      </c>
    </row>
    <row r="64" spans="1:41" ht="15">
      <c r="A64" s="244" t="s">
        <v>131</v>
      </c>
      <c r="B64" s="232" t="str">
        <f>VLOOKUP(OPX_LE3!$A64,Tableau106[],3,FALSE)</f>
        <v>A257</v>
      </c>
      <c r="C64" s="232" t="str">
        <f>VLOOKUP(OPX_LE3!$A64,Tableau106[],2,FALSE)</f>
        <v>FR11S07E</v>
      </c>
      <c r="D64" s="232" t="str">
        <f>VLOOKUP(OPX_LE3!$A64,Tableau106[],8,FALSE)</f>
        <v>SOLAIRE</v>
      </c>
      <c r="E64" s="233">
        <f>VLOOKUP(OPX_LE3!$A64,Tableau106[],4,FALSE)</f>
        <v>5</v>
      </c>
      <c r="F64" s="232" t="str">
        <f>VLOOKUP(OPX_LE3!$A64,Tableau106[],5,FALSE)</f>
        <v>FEND</v>
      </c>
      <c r="G64" s="232" t="str">
        <f>VLOOKUP(OPX_LE3!$A64,Tableau106[],7,FALSE)</f>
        <v>GROUPE</v>
      </c>
      <c r="H64" s="232" t="str">
        <f>VLOOKUP(OPX_LE3!$A64,Tableau106[],6,FALSE)</f>
        <v>S</v>
      </c>
      <c r="I64" s="232" t="str">
        <f>VLOOKUP(OPX_LE3!$A64,Tableau106[],9,FALSE)</f>
        <v>BaA</v>
      </c>
      <c r="J64" s="254">
        <v>-25303</v>
      </c>
      <c r="K64" s="228">
        <v>-4630</v>
      </c>
      <c r="L64" s="228"/>
      <c r="M64" s="229">
        <v>0</v>
      </c>
      <c r="N64" s="229">
        <v>0</v>
      </c>
      <c r="O64" s="229">
        <v>0</v>
      </c>
      <c r="P64" s="229">
        <v>0</v>
      </c>
      <c r="Q64" s="229">
        <f>-250*OPX_LE3!$E64</f>
        <v>-1250</v>
      </c>
      <c r="R64" s="311">
        <f>SUM(OPX_LE3!$K64:$Q64)</f>
        <v>-5880</v>
      </c>
      <c r="S64" s="337">
        <v>0</v>
      </c>
      <c r="T64" s="361">
        <v>0</v>
      </c>
      <c r="U64" s="362">
        <v>0</v>
      </c>
      <c r="V64" s="361">
        <v>-1050</v>
      </c>
      <c r="W64" s="361">
        <v>0</v>
      </c>
      <c r="X64" s="361">
        <v>0</v>
      </c>
      <c r="Y64" s="361">
        <v>0</v>
      </c>
      <c r="Z64" s="264">
        <v>-18000</v>
      </c>
      <c r="AA64" s="423"/>
      <c r="AB64" s="273">
        <f>SUM(OPX_LE3!$T64:$AA64)</f>
        <v>-19050</v>
      </c>
      <c r="AC64" s="426"/>
      <c r="AD64" s="426">
        <v>0</v>
      </c>
      <c r="AE64" s="417">
        <v>0</v>
      </c>
      <c r="AF64" s="417">
        <v>0</v>
      </c>
      <c r="AG64" s="417">
        <v>0</v>
      </c>
      <c r="AH64" s="417">
        <v>-2160</v>
      </c>
      <c r="AI64" s="417">
        <v>0</v>
      </c>
      <c r="AJ64" s="317">
        <f>SUM(OPX_LE3!$AC64:$AI64)</f>
        <v>-2160</v>
      </c>
      <c r="AK64" s="424">
        <v>0</v>
      </c>
      <c r="AL64" s="276">
        <f>SUM(OPX_LE3!$J64,OPX_LE3!$AB64,OPX_LE3!$S64,OPX_LE3!$AJ64,OPX_LE3!$R64,OPX_LE3!$AK64)</f>
        <v>-52393</v>
      </c>
      <c r="AM64" s="427">
        <v>0</v>
      </c>
      <c r="AN64" s="427">
        <v>0</v>
      </c>
    </row>
    <row r="65" spans="1:41" ht="15">
      <c r="A65" s="325" t="s">
        <v>586</v>
      </c>
      <c r="B65" s="322" t="str">
        <f>VLOOKUP(OPX_LE3!$A65,Tableau106[],3,FALSE)</f>
        <v>A053</v>
      </c>
      <c r="C65" s="322" t="str">
        <f>VLOOKUP(OPX_LE3!$A65,Tableau106[],2,FALSE)</f>
        <v>FR62E99E</v>
      </c>
      <c r="D65" s="322" t="str">
        <f>VLOOKUP(OPX_LE3!$A65,Tableau106[],8,FALSE)</f>
        <v>EOLIEN</v>
      </c>
      <c r="E65" s="324">
        <f>VLOOKUP(OPX_LE3!$A65,Tableau106[],4,FALSE)</f>
        <v>11.5</v>
      </c>
      <c r="F65" s="322" t="str">
        <f>VLOOKUP(OPX_LE3!$A65,Tableau106[],5,FALSE)</f>
        <v>FIEN</v>
      </c>
      <c r="G65" s="322" t="str">
        <f>VLOOKUP(OPX_LE3!$A65,Tableau106[],7,FALSE)</f>
        <v>GROUPE</v>
      </c>
      <c r="H65" s="322" t="str">
        <f>VLOOKUP(OPX_LE3!$A65,Tableau106[],6,FALSE)</f>
        <v>N</v>
      </c>
      <c r="I65" s="322" t="str">
        <f>VLOOKUP(OPX_LE3!$A65,Tableau106[],9,FALSE)</f>
        <v>MéS</v>
      </c>
      <c r="J65" s="254">
        <v>-6676</v>
      </c>
      <c r="K65" s="228">
        <v>-5880</v>
      </c>
      <c r="L65" s="228"/>
      <c r="M65" s="229">
        <v>0</v>
      </c>
      <c r="N65" s="229">
        <v>0</v>
      </c>
      <c r="O65" s="229">
        <v>-1417.2</v>
      </c>
      <c r="P65" s="229">
        <f>-440*Tableau16[[#This Row],[MW]]</f>
        <v>-5060</v>
      </c>
      <c r="Q65" s="229">
        <f>-250*OPX_LE3!$E65</f>
        <v>-2875</v>
      </c>
      <c r="R65" s="311">
        <f>SUM(OPX_LE3!$K65:$Q65)</f>
        <v>-15232.2</v>
      </c>
      <c r="S65" s="337">
        <v>-352374</v>
      </c>
      <c r="T65" s="379">
        <f>-459.14</f>
        <v>-459.14</v>
      </c>
      <c r="U65" s="362">
        <v>0</v>
      </c>
      <c r="V65" s="379">
        <f>-1100</f>
        <v>-1100</v>
      </c>
      <c r="W65" s="361">
        <v>0</v>
      </c>
      <c r="X65" s="361">
        <v>0</v>
      </c>
      <c r="Y65" s="361">
        <v>0</v>
      </c>
      <c r="Z65" s="264">
        <v>-2875</v>
      </c>
      <c r="AA65" s="423"/>
      <c r="AB65" s="273">
        <f>SUM(OPX_LE3!$T65:$AA65)</f>
        <v>-4434.1399999999994</v>
      </c>
      <c r="AC65" s="426"/>
      <c r="AD65" s="426"/>
      <c r="AE65" s="417">
        <v>0</v>
      </c>
      <c r="AF65" s="417">
        <v>0</v>
      </c>
      <c r="AG65" s="417">
        <v>0</v>
      </c>
      <c r="AH65" s="417">
        <v>0</v>
      </c>
      <c r="AI65" s="417">
        <v>-50000</v>
      </c>
      <c r="AJ65" s="317">
        <f>SUM(OPX_LE3!$AC65:$AI65)</f>
        <v>-50000</v>
      </c>
      <c r="AK65" s="424">
        <v>0</v>
      </c>
      <c r="AL65" s="276">
        <f>SUM(OPX_LE3!$J65,OPX_LE3!$AB65,OPX_LE3!$S65,OPX_LE3!$AJ65,OPX_LE3!$R65,OPX_LE3!$AK65)</f>
        <v>-428716.34</v>
      </c>
      <c r="AM65" s="427">
        <v>0</v>
      </c>
      <c r="AN65" s="427">
        <v>0</v>
      </c>
    </row>
    <row r="66" spans="1:41" ht="15">
      <c r="A66" s="244" t="s">
        <v>484</v>
      </c>
      <c r="B66" s="232" t="str">
        <f>VLOOKUP(OPX_LE3!$A66,Tableau106[],3,FALSE)</f>
        <v>A542</v>
      </c>
      <c r="C66" s="232" t="str">
        <f>VLOOKUP(OPX_LE3!$A66,Tableau106[],2,FALSE)</f>
        <v>FR11E03E</v>
      </c>
      <c r="D66" s="232" t="str">
        <f>VLOOKUP(OPX_LE3!$A66,Tableau106[],8,FALSE)</f>
        <v>EOLIEN</v>
      </c>
      <c r="E66" s="233">
        <f>VLOOKUP(OPX_LE3!$A66,Tableau106[],4,FALSE)</f>
        <v>11.7</v>
      </c>
      <c r="F66" s="232" t="str">
        <f>VLOOKUP(OPX_LE3!$A66,Tableau106[],5,FALSE)</f>
        <v>FITO</v>
      </c>
      <c r="G66" s="232" t="str">
        <f>VLOOKUP(OPX_LE3!$A66,Tableau106[],7,FALSE)</f>
        <v>EGM</v>
      </c>
      <c r="H66" s="232" t="str">
        <f>VLOOKUP(OPX_LE3!$A66,Tableau106[],6,FALSE)</f>
        <v>S</v>
      </c>
      <c r="I66" s="232" t="str">
        <f>VLOOKUP(OPX_LE3!$A66,Tableau106[],9,FALSE)</f>
        <v>StE</v>
      </c>
      <c r="J66" s="337">
        <f>-313441-11000</f>
        <v>-324441</v>
      </c>
      <c r="K66" s="228">
        <v>-105350.00000000001</v>
      </c>
      <c r="L66" s="228"/>
      <c r="M66" s="229">
        <v>0</v>
      </c>
      <c r="N66" s="229">
        <v>0</v>
      </c>
      <c r="O66" s="229">
        <v>0</v>
      </c>
      <c r="P66" s="229">
        <v>-5148</v>
      </c>
      <c r="Q66" s="229">
        <f>-250*OPX_LE3!$E66</f>
        <v>-2925</v>
      </c>
      <c r="R66" s="311">
        <f>SUM(OPX_LE3!$K66:$Q66)</f>
        <v>-113423.00000000001</v>
      </c>
      <c r="S66" s="392"/>
      <c r="T66" s="361"/>
      <c r="U66" s="362"/>
      <c r="V66" s="361">
        <v>-20000</v>
      </c>
      <c r="W66" s="361"/>
      <c r="X66" s="361">
        <v>0</v>
      </c>
      <c r="Y66" s="361">
        <v>-5123</v>
      </c>
      <c r="Z66" s="264">
        <v>-2925</v>
      </c>
      <c r="AA66" s="423">
        <v>-2000</v>
      </c>
      <c r="AB66" s="273">
        <f>SUM(OPX_LE3!$T66:$AA66)</f>
        <v>-30048</v>
      </c>
      <c r="AC66" s="426"/>
      <c r="AD66" s="426">
        <f t="shared" ref="AD66" si="2">-4924*1.03</f>
        <v>-5071.72</v>
      </c>
      <c r="AE66" s="417">
        <v>0</v>
      </c>
      <c r="AF66" s="417">
        <v>0</v>
      </c>
      <c r="AG66" s="417">
        <v>0</v>
      </c>
      <c r="AH66" s="417">
        <v>0</v>
      </c>
      <c r="AI66" s="417">
        <v>0</v>
      </c>
      <c r="AJ66" s="317">
        <f>SUM(OPX_LE3!$AC66:$AI66)</f>
        <v>-5071.72</v>
      </c>
      <c r="AK66" s="424">
        <v>0</v>
      </c>
      <c r="AL66" s="276" t="e">
        <f>SUM(OPX_LE3!#REF!,OPX_LE3!$AB66,OPX_LE3!$J66,OPX_LE3!$AJ66,OPX_LE3!$R66,OPX_LE3!$AK66)</f>
        <v>#REF!</v>
      </c>
      <c r="AM66" s="427">
        <v>0</v>
      </c>
      <c r="AN66" s="427">
        <v>-80000</v>
      </c>
      <c r="AO66" s="6" t="s">
        <v>1542</v>
      </c>
    </row>
    <row r="67" spans="1:41" ht="15">
      <c r="A67" s="325" t="s">
        <v>496</v>
      </c>
      <c r="B67" s="322" t="str">
        <f>VLOOKUP(OPX_LE3!$A67,Tableau106[],3,FALSE)</f>
        <v>F032</v>
      </c>
      <c r="C67" s="322" t="str">
        <f>VLOOKUP(OPX_LE3!$A67,Tableau106[],2,FALSE)</f>
        <v>FR80E96E</v>
      </c>
      <c r="D67" s="322" t="str">
        <f>VLOOKUP(OPX_LE3!$A67,Tableau106[],8,FALSE)</f>
        <v>EOLIEN</v>
      </c>
      <c r="E67" s="324">
        <f>VLOOKUP(OPX_LE3!$A67,Tableau106[],4,FALSE)</f>
        <v>10</v>
      </c>
      <c r="F67" s="322" t="str">
        <f>VLOOKUP(OPX_LE3!$A67,Tableau106[],5,FALSE)</f>
        <v>CEFF</v>
      </c>
      <c r="G67" s="322" t="str">
        <f>VLOOKUP(OPX_LE3!$A67,Tableau106[],7,FALSE)</f>
        <v>FUTUREN</v>
      </c>
      <c r="H67" s="322" t="str">
        <f>VLOOKUP(OPX_LE3!$A67,Tableau106[],6,FALSE)</f>
        <v>N</v>
      </c>
      <c r="I67" s="322" t="str">
        <f>VLOOKUP(OPX_LE3!$A67,Tableau106[],9,FALSE)</f>
        <v>NiD</v>
      </c>
      <c r="J67" s="254">
        <v>-257129</v>
      </c>
      <c r="K67" s="228">
        <v>-52000</v>
      </c>
      <c r="L67" s="228"/>
      <c r="M67" s="229">
        <v>0</v>
      </c>
      <c r="N67" s="229">
        <v>0</v>
      </c>
      <c r="O67" s="229">
        <v>0</v>
      </c>
      <c r="P67" s="229">
        <v>-3500</v>
      </c>
      <c r="Q67" s="229">
        <f>-250*OPX_LE3!$E67</f>
        <v>-2500</v>
      </c>
      <c r="R67" s="311">
        <f>SUM(OPX_LE3!$K67:$Q67)</f>
        <v>-58000</v>
      </c>
      <c r="S67" s="337">
        <v>0</v>
      </c>
      <c r="T67" s="361">
        <v>0</v>
      </c>
      <c r="U67" s="362">
        <v>0</v>
      </c>
      <c r="V67" s="361">
        <v>-11500</v>
      </c>
      <c r="W67" s="361">
        <v>0</v>
      </c>
      <c r="X67" s="361">
        <v>0</v>
      </c>
      <c r="Y67" s="361">
        <v>0</v>
      </c>
      <c r="Z67" s="264">
        <v>-2500</v>
      </c>
      <c r="AA67" s="423"/>
      <c r="AB67" s="273">
        <f>SUM(OPX_LE3!$T67:$AA67)</f>
        <v>-14000</v>
      </c>
      <c r="AC67" s="426"/>
      <c r="AD67" s="426"/>
      <c r="AE67" s="417">
        <v>0</v>
      </c>
      <c r="AF67" s="417">
        <v>0</v>
      </c>
      <c r="AG67" s="417">
        <v>0</v>
      </c>
      <c r="AH67" s="417">
        <v>0</v>
      </c>
      <c r="AI67" s="417">
        <v>0</v>
      </c>
      <c r="AJ67" s="317">
        <f>SUM(OPX_LE3!$AC67:$AI67)</f>
        <v>0</v>
      </c>
      <c r="AK67" s="424">
        <v>0</v>
      </c>
      <c r="AL67" s="276">
        <f>SUM(OPX_LE3!$J67,OPX_LE3!$AB67,OPX_LE3!$S67,OPX_LE3!$AJ67,OPX_LE3!$R67,OPX_LE3!$AK67)</f>
        <v>-329129</v>
      </c>
      <c r="AM67" s="427">
        <v>-200000</v>
      </c>
      <c r="AN67" s="427">
        <v>0</v>
      </c>
    </row>
    <row r="68" spans="1:41" ht="15">
      <c r="A68" s="244" t="s">
        <v>507</v>
      </c>
      <c r="B68" s="232" t="str">
        <f>VLOOKUP(OPX_LE3!$A68,Tableau106[],3,FALSE)</f>
        <v>A286</v>
      </c>
      <c r="C68" s="232" t="str">
        <f>VLOOKUP(OPX_LE3!$A68,Tableau106[],2,FALSE)</f>
        <v>FR28E03E</v>
      </c>
      <c r="D68" s="232" t="str">
        <f>VLOOKUP(OPX_LE3!$A68,Tableau106[],8,FALSE)</f>
        <v>EOLIEN</v>
      </c>
      <c r="E68" s="233">
        <f>VLOOKUP(OPX_LE3!$A68,Tableau106[],4,FALSE)</f>
        <v>13.2</v>
      </c>
      <c r="F68" s="232" t="str">
        <f>VLOOKUP(OPX_LE3!$A68,Tableau106[],5,FALSE)</f>
        <v>FOGU</v>
      </c>
      <c r="G68" s="232" t="str">
        <f>VLOOKUP(OPX_LE3!$A68,Tableau106[],7,FALSE)</f>
        <v>GROUPE</v>
      </c>
      <c r="H68" s="232" t="str">
        <f>VLOOKUP(OPX_LE3!$A68,Tableau106[],6,FALSE)</f>
        <v>N</v>
      </c>
      <c r="I68" s="232" t="str">
        <f>VLOOKUP(OPX_LE3!$A68,Tableau106[],9,FALSE)</f>
        <v>NiL</v>
      </c>
      <c r="J68" s="254">
        <v>-10387</v>
      </c>
      <c r="K68" s="228">
        <v>-5100.0000000000009</v>
      </c>
      <c r="L68" s="228"/>
      <c r="M68" s="229">
        <v>0</v>
      </c>
      <c r="N68" s="229">
        <v>0</v>
      </c>
      <c r="O68" s="229">
        <v>0</v>
      </c>
      <c r="P68" s="229">
        <f>-440*Tableau16[[#This Row],[MW]]</f>
        <v>-5808</v>
      </c>
      <c r="Q68" s="229">
        <f>-250*OPX_LE3!$E68</f>
        <v>-3300</v>
      </c>
      <c r="R68" s="311">
        <f>SUM(OPX_LE3!$K68:$Q68)</f>
        <v>-14208</v>
      </c>
      <c r="S68" s="337">
        <v>-206074</v>
      </c>
      <c r="T68" s="361">
        <v>0</v>
      </c>
      <c r="U68" s="362">
        <v>0</v>
      </c>
      <c r="V68" s="361">
        <f>-3000-10000</f>
        <v>-13000</v>
      </c>
      <c r="W68" s="361">
        <f>-450*6</f>
        <v>-2700</v>
      </c>
      <c r="X68" s="361">
        <v>0</v>
      </c>
      <c r="Y68" s="361">
        <v>0</v>
      </c>
      <c r="Z68" s="264">
        <f>-250*OPX_LE3!$E68</f>
        <v>-3300</v>
      </c>
      <c r="AA68" s="423"/>
      <c r="AB68" s="273">
        <f>SUM(OPX_LE3!$T68:$AA68)</f>
        <v>-19000</v>
      </c>
      <c r="AC68" s="426"/>
      <c r="AD68" s="426"/>
      <c r="AE68" s="417">
        <v>-4612.5</v>
      </c>
      <c r="AF68" s="417">
        <v>0</v>
      </c>
      <c r="AG68" s="417"/>
      <c r="AH68" s="417">
        <v>0</v>
      </c>
      <c r="AI68" s="417">
        <v>0</v>
      </c>
      <c r="AJ68" s="317">
        <f>SUM(OPX_LE3!$AC68:$AI68)</f>
        <v>-4612.5</v>
      </c>
      <c r="AK68" s="424">
        <v>0</v>
      </c>
      <c r="AL68" s="276">
        <f>SUM(OPX_LE3!$J68,OPX_LE3!$AB68,OPX_LE3!$S68,OPX_LE3!$AJ68,OPX_LE3!$R68,OPX_LE3!$AK68)</f>
        <v>-254281.5</v>
      </c>
      <c r="AM68" s="427">
        <v>0</v>
      </c>
      <c r="AN68" s="427">
        <v>0</v>
      </c>
    </row>
    <row r="69" spans="1:41" ht="15">
      <c r="A69" s="325" t="s">
        <v>498</v>
      </c>
      <c r="B69" s="322" t="str">
        <f>VLOOKUP(OPX_LE3!$A69,Tableau106[],3,FALSE)</f>
        <v>A037</v>
      </c>
      <c r="C69" s="322" t="str">
        <f>VLOOKUP(OPX_LE3!$A69,Tableau106[],2,FALSE)</f>
        <v>FR13S15E</v>
      </c>
      <c r="D69" s="322" t="str">
        <f>VLOOKUP(OPX_LE3!$A69,Tableau106[],8,FALSE)</f>
        <v>SOLAIRE</v>
      </c>
      <c r="E69" s="324">
        <f>VLOOKUP(OPX_LE3!$A69,Tableau106[],4,FALSE)</f>
        <v>11.9</v>
      </c>
      <c r="F69" s="322" t="str">
        <f>VLOOKUP(OPX_LE3!$A69,Tableau106[],5,FALSE)</f>
        <v>FOST</v>
      </c>
      <c r="G69" s="322" t="str">
        <f>VLOOKUP(OPX_LE3!$A69,Tableau106[],7,FALSE)</f>
        <v>GROUPE</v>
      </c>
      <c r="H69" s="322" t="str">
        <f>VLOOKUP(OPX_LE3!$A69,Tableau106[],6,FALSE)</f>
        <v>S</v>
      </c>
      <c r="I69" s="322" t="str">
        <f>VLOOKUP(OPX_LE3!$A69,Tableau106[],9,FALSE)</f>
        <v>ArB</v>
      </c>
      <c r="J69" s="254">
        <v>-135292</v>
      </c>
      <c r="K69" s="228">
        <v>-15340</v>
      </c>
      <c r="L69" s="228"/>
      <c r="M69" s="229">
        <v>0</v>
      </c>
      <c r="N69" s="229">
        <v>0</v>
      </c>
      <c r="O69" s="229">
        <v>0</v>
      </c>
      <c r="P69" s="229">
        <v>0</v>
      </c>
      <c r="Q69" s="229">
        <f>-250*OPX_LE3!$E69</f>
        <v>-2975</v>
      </c>
      <c r="R69" s="311">
        <f>SUM(OPX_LE3!$K69:$Q69)</f>
        <v>-18315</v>
      </c>
      <c r="S69" s="337">
        <v>0</v>
      </c>
      <c r="T69" s="361">
        <v>-22080</v>
      </c>
      <c r="U69" s="362">
        <v>-8000</v>
      </c>
      <c r="V69" s="361">
        <v>-15710</v>
      </c>
      <c r="W69" s="361">
        <v>0</v>
      </c>
      <c r="X69" s="361">
        <v>0</v>
      </c>
      <c r="Y69" s="361">
        <v>0</v>
      </c>
      <c r="Z69" s="264">
        <v>-2975</v>
      </c>
      <c r="AA69" s="423"/>
      <c r="AB69" s="273">
        <f>SUM(OPX_LE3!$T69:$AA69)</f>
        <v>-48765</v>
      </c>
      <c r="AC69" s="426"/>
      <c r="AD69" s="426">
        <v>0</v>
      </c>
      <c r="AE69" s="417">
        <v>0</v>
      </c>
      <c r="AF69" s="417">
        <v>0</v>
      </c>
      <c r="AG69" s="417">
        <v>0</v>
      </c>
      <c r="AH69" s="417">
        <v>0</v>
      </c>
      <c r="AI69" s="417">
        <v>0</v>
      </c>
      <c r="AJ69" s="317">
        <f>SUM(OPX_LE3!$AC69:$AI69)</f>
        <v>0</v>
      </c>
      <c r="AK69" s="424">
        <v>-5000</v>
      </c>
      <c r="AL69" s="276">
        <f>SUM(OPX_LE3!$J69,OPX_LE3!$AB69,OPX_LE3!$S69,OPX_LE3!$AJ69,OPX_LE3!$R69,OPX_LE3!$AK69)</f>
        <v>-207372</v>
      </c>
      <c r="AM69" s="427">
        <v>0</v>
      </c>
      <c r="AN69" s="427">
        <v>0</v>
      </c>
    </row>
    <row r="70" spans="1:41" ht="15">
      <c r="A70" s="244" t="s">
        <v>515</v>
      </c>
      <c r="B70" s="232" t="str">
        <f>VLOOKUP(OPX_LE3!$A70,Tableau106[],3,FALSE)</f>
        <v>A894</v>
      </c>
      <c r="C70" s="232" t="str">
        <f>VLOOKUP(OPX_LE3!$A70,Tableau106[],2,FALSE)</f>
        <v>FR07E99E</v>
      </c>
      <c r="D70" s="232" t="str">
        <f>VLOOKUP(OPX_LE3!$A70,Tableau106[],8,FALSE)</f>
        <v>EOLIEN</v>
      </c>
      <c r="E70" s="233">
        <f>VLOOKUP(OPX_LE3!$A70,Tableau106[],4,FALSE)</f>
        <v>10</v>
      </c>
      <c r="F70" s="232" t="str">
        <f>VLOOKUP(OPX_LE3!$A70,Tableau106[],5,FALSE)</f>
        <v>FREY</v>
      </c>
      <c r="G70" s="232" t="str">
        <f>VLOOKUP(OPX_LE3!$A70,Tableau106[],7,FALSE)</f>
        <v>GROUPE</v>
      </c>
      <c r="H70" s="232" t="str">
        <f>VLOOKUP(OPX_LE3!$A70,Tableau106[],6,FALSE)</f>
        <v>S</v>
      </c>
      <c r="I70" s="232" t="str">
        <f>VLOOKUP(OPX_LE3!$A70,Tableau106[],9,FALSE)</f>
        <v>ThC</v>
      </c>
      <c r="J70" s="254">
        <v>0</v>
      </c>
      <c r="K70" s="228">
        <v>0</v>
      </c>
      <c r="L70" s="228"/>
      <c r="M70" s="229">
        <v>0</v>
      </c>
      <c r="N70" s="229">
        <v>0</v>
      </c>
      <c r="O70" s="229">
        <v>0</v>
      </c>
      <c r="P70" s="229">
        <v>-4400</v>
      </c>
      <c r="Q70" s="229">
        <f>-250*OPX_LE3!$E70-2000</f>
        <v>-4500</v>
      </c>
      <c r="R70" s="311">
        <f>SUM(OPX_LE3!$K70:$Q70)</f>
        <v>-8900</v>
      </c>
      <c r="S70" s="337">
        <v>-330486</v>
      </c>
      <c r="T70" s="361">
        <v>-30000</v>
      </c>
      <c r="U70" s="362">
        <v>0</v>
      </c>
      <c r="V70" s="361">
        <v>-10000</v>
      </c>
      <c r="W70" s="361">
        <v>-3000</v>
      </c>
      <c r="X70" s="361">
        <v>0</v>
      </c>
      <c r="Y70" s="361"/>
      <c r="Z70" s="264">
        <f>-3750-2500</f>
        <v>-6250</v>
      </c>
      <c r="AA70" s="423">
        <v>-4000</v>
      </c>
      <c r="AB70" s="273">
        <f>SUM(OPX_LE3!$T70:$AA70)</f>
        <v>-53250</v>
      </c>
      <c r="AC70" s="426"/>
      <c r="AD70" s="426"/>
      <c r="AE70" s="417">
        <v>0</v>
      </c>
      <c r="AF70" s="417">
        <v>0</v>
      </c>
      <c r="AG70" s="417">
        <v>0</v>
      </c>
      <c r="AH70" s="417">
        <v>0</v>
      </c>
      <c r="AI70" s="417">
        <v>0</v>
      </c>
      <c r="AJ70" s="317">
        <f>SUM(OPX_LE3!$AC70:$AI70)</f>
        <v>0</v>
      </c>
      <c r="AK70" s="424">
        <v>0</v>
      </c>
      <c r="AL70" s="276">
        <f>SUM(OPX_LE3!$J70,OPX_LE3!$AB70,OPX_LE3!$S70,OPX_LE3!$AJ70,OPX_LE3!$R70,OPX_LE3!$AK70)</f>
        <v>-392636</v>
      </c>
      <c r="AM70" s="427">
        <v>-15000</v>
      </c>
      <c r="AN70" s="427">
        <v>0</v>
      </c>
    </row>
    <row r="71" spans="1:41" ht="15">
      <c r="A71" s="325" t="s">
        <v>500</v>
      </c>
      <c r="B71" s="322" t="str">
        <f>VLOOKUP(OPX_LE3!$A71,Tableau106[],3,FALSE)</f>
        <v>A191</v>
      </c>
      <c r="C71" s="322" t="str">
        <f>VLOOKUP(OPX_LE3!$A71,Tableau106[],2,FALSE)</f>
        <v>FR40S04E</v>
      </c>
      <c r="D71" s="322" t="str">
        <f>VLOOKUP(OPX_LE3!$A71,Tableau106[],8,FALSE)</f>
        <v>SOLAIRE</v>
      </c>
      <c r="E71" s="324">
        <f>VLOOKUP(OPX_LE3!$A71,Tableau106[],4,FALSE)</f>
        <v>11.9</v>
      </c>
      <c r="F71" s="322" t="str">
        <f>VLOOKUP(OPX_LE3!$A71,Tableau106[],5,FALSE)</f>
        <v>GAB1</v>
      </c>
      <c r="G71" s="322" t="str">
        <f>VLOOKUP(OPX_LE3!$A71,Tableau106[],7,FALSE)</f>
        <v>GROUPE</v>
      </c>
      <c r="H71" s="322" t="str">
        <f>VLOOKUP(OPX_LE3!$A71,Tableau106[],6,FALSE)</f>
        <v>S</v>
      </c>
      <c r="I71" s="322" t="str">
        <f>VLOOKUP(OPX_LE3!$A71,Tableau106[],9,FALSE)</f>
        <v>BaA</v>
      </c>
      <c r="J71" s="254">
        <v>-297387</v>
      </c>
      <c r="K71" s="228">
        <v>-6070</v>
      </c>
      <c r="L71" s="228"/>
      <c r="M71" s="229"/>
      <c r="N71" s="229">
        <v>0</v>
      </c>
      <c r="O71" s="229">
        <v>0</v>
      </c>
      <c r="P71" s="229">
        <v>0</v>
      </c>
      <c r="Q71" s="229">
        <f>-250*OPX_LE3!$E71</f>
        <v>-2975</v>
      </c>
      <c r="R71" s="311">
        <f>SUM(OPX_LE3!$K71:$Q71)</f>
        <v>-9045</v>
      </c>
      <c r="S71" s="337">
        <v>0</v>
      </c>
      <c r="T71" s="361">
        <v>0</v>
      </c>
      <c r="U71" s="362">
        <v>0</v>
      </c>
      <c r="V71" s="361">
        <v>0</v>
      </c>
      <c r="W71" s="361">
        <v>0</v>
      </c>
      <c r="X71" s="361">
        <v>0</v>
      </c>
      <c r="Y71" s="361">
        <v>0</v>
      </c>
      <c r="Z71" s="264">
        <v>-2975</v>
      </c>
      <c r="AA71" s="423"/>
      <c r="AB71" s="273">
        <f>SUM(OPX_LE3!$T71:$AA71)</f>
        <v>-2975</v>
      </c>
      <c r="AC71" s="426"/>
      <c r="AD71" s="426">
        <v>0</v>
      </c>
      <c r="AE71" s="417">
        <v>0</v>
      </c>
      <c r="AF71" s="417">
        <v>0</v>
      </c>
      <c r="AG71" s="417">
        <v>0</v>
      </c>
      <c r="AH71" s="417">
        <v>0</v>
      </c>
      <c r="AI71" s="417">
        <v>0</v>
      </c>
      <c r="AJ71" s="317">
        <f>SUM(OPX_LE3!$AC71:$AI71)</f>
        <v>0</v>
      </c>
      <c r="AK71" s="424"/>
      <c r="AL71" s="276">
        <f>SUM(OPX_LE3!$J71,OPX_LE3!$AB71,OPX_LE3!$S71,OPX_LE3!$AJ71,OPX_LE3!$R71,OPX_LE3!$AK71)</f>
        <v>-309407</v>
      </c>
      <c r="AM71" s="427">
        <v>0</v>
      </c>
      <c r="AN71" s="427">
        <v>0</v>
      </c>
    </row>
    <row r="72" spans="1:41" ht="15">
      <c r="A72" s="244" t="s">
        <v>501</v>
      </c>
      <c r="B72" s="232" t="str">
        <f>VLOOKUP(OPX_LE3!$A72,Tableau106[],3,FALSE)</f>
        <v>A194</v>
      </c>
      <c r="C72" s="232" t="str">
        <f>VLOOKUP(OPX_LE3!$A72,Tableau106[],2,FALSE)</f>
        <v>FR40S07E</v>
      </c>
      <c r="D72" s="232" t="str">
        <f>VLOOKUP(OPX_LE3!$A72,Tableau106[],8,FALSE)</f>
        <v>SOLAIRE</v>
      </c>
      <c r="E72" s="233">
        <f>VLOOKUP(OPX_LE3!$A72,Tableau106[],4,FALSE)</f>
        <v>11.89</v>
      </c>
      <c r="F72" s="232" t="str">
        <f>VLOOKUP(OPX_LE3!$A72,Tableau106[],5,FALSE)</f>
        <v>GAB4</v>
      </c>
      <c r="G72" s="232" t="str">
        <f>VLOOKUP(OPX_LE3!$A72,Tableau106[],7,FALSE)</f>
        <v>GROUPE</v>
      </c>
      <c r="H72" s="232" t="str">
        <f>VLOOKUP(OPX_LE3!$A72,Tableau106[],6,FALSE)</f>
        <v>S</v>
      </c>
      <c r="I72" s="232" t="str">
        <f>VLOOKUP(OPX_LE3!$A72,Tableau106[],9,FALSE)</f>
        <v>BaA</v>
      </c>
      <c r="J72" s="254">
        <v>-292650</v>
      </c>
      <c r="K72" s="228">
        <v>-6390.0000000000009</v>
      </c>
      <c r="L72" s="228"/>
      <c r="M72" s="229"/>
      <c r="N72" s="229">
        <v>0</v>
      </c>
      <c r="O72" s="229">
        <v>0</v>
      </c>
      <c r="P72" s="229">
        <v>0</v>
      </c>
      <c r="Q72" s="229">
        <f>-250*OPX_LE3!$E72</f>
        <v>-2972.5</v>
      </c>
      <c r="R72" s="311">
        <f>SUM(OPX_LE3!$K72:$Q72)</f>
        <v>-9362.5</v>
      </c>
      <c r="S72" s="337">
        <v>0</v>
      </c>
      <c r="T72" s="361">
        <v>0</v>
      </c>
      <c r="U72" s="362">
        <v>0</v>
      </c>
      <c r="V72" s="361">
        <v>0</v>
      </c>
      <c r="W72" s="361">
        <v>0</v>
      </c>
      <c r="X72" s="361">
        <v>0</v>
      </c>
      <c r="Y72" s="361">
        <v>0</v>
      </c>
      <c r="Z72" s="264">
        <v>-2972.5</v>
      </c>
      <c r="AA72" s="423"/>
      <c r="AB72" s="273">
        <f>SUM(OPX_LE3!$T72:$AA72)</f>
        <v>-2972.5</v>
      </c>
      <c r="AC72" s="426"/>
      <c r="AD72" s="426">
        <v>0</v>
      </c>
      <c r="AE72" s="417">
        <v>0</v>
      </c>
      <c r="AF72" s="417">
        <v>0</v>
      </c>
      <c r="AG72" s="417">
        <v>0</v>
      </c>
      <c r="AH72" s="417">
        <v>0</v>
      </c>
      <c r="AI72" s="417">
        <v>0</v>
      </c>
      <c r="AJ72" s="317">
        <f>SUM(OPX_LE3!$AC72:$AI72)</f>
        <v>0</v>
      </c>
      <c r="AK72" s="424">
        <v>-22970</v>
      </c>
      <c r="AL72" s="276">
        <f>SUM(OPX_LE3!$J72,OPX_LE3!$AB72,OPX_LE3!$S72,OPX_LE3!$AJ72,OPX_LE3!$R72,OPX_LE3!$AK72)</f>
        <v>-327955</v>
      </c>
      <c r="AM72" s="427">
        <v>0</v>
      </c>
      <c r="AN72" s="427">
        <v>0</v>
      </c>
    </row>
    <row r="73" spans="1:41" ht="15">
      <c r="A73" s="325" t="s">
        <v>502</v>
      </c>
      <c r="B73" s="322" t="str">
        <f>VLOOKUP(OPX_LE3!$A73,Tableau106[],3,FALSE)</f>
        <v>A197</v>
      </c>
      <c r="C73" s="322" t="str">
        <f>VLOOKUP(OPX_LE3!$A73,Tableau106[],2,FALSE)</f>
        <v>FR40S10E</v>
      </c>
      <c r="D73" s="322" t="str">
        <f>VLOOKUP(OPX_LE3!$A73,Tableau106[],8,FALSE)</f>
        <v>SOLAIRE</v>
      </c>
      <c r="E73" s="324">
        <f>VLOOKUP(OPX_LE3!$A73,Tableau106[],4,FALSE)</f>
        <v>2.89</v>
      </c>
      <c r="F73" s="322" t="str">
        <f>VLOOKUP(OPX_LE3!$A73,Tableau106[],5,FALSE)</f>
        <v>GAB7</v>
      </c>
      <c r="G73" s="322" t="str">
        <f>VLOOKUP(OPX_LE3!$A73,Tableau106[],7,FALSE)</f>
        <v>GROUPE</v>
      </c>
      <c r="H73" s="322" t="str">
        <f>VLOOKUP(OPX_LE3!$A73,Tableau106[],6,FALSE)</f>
        <v>S</v>
      </c>
      <c r="I73" s="322" t="str">
        <f>VLOOKUP(OPX_LE3!$A73,Tableau106[],9,FALSE)</f>
        <v>BaA</v>
      </c>
      <c r="J73" s="254">
        <v>-64139</v>
      </c>
      <c r="K73" s="228">
        <v>-3990</v>
      </c>
      <c r="L73" s="228"/>
      <c r="M73" s="229"/>
      <c r="N73" s="229">
        <v>0</v>
      </c>
      <c r="O73" s="229">
        <v>0</v>
      </c>
      <c r="P73" s="229">
        <v>0</v>
      </c>
      <c r="Q73" s="229">
        <f>-250*OPX_LE3!$E73</f>
        <v>-722.5</v>
      </c>
      <c r="R73" s="311">
        <f>SUM(OPX_LE3!$K73:$Q73)</f>
        <v>-4712.5</v>
      </c>
      <c r="S73" s="337">
        <v>0</v>
      </c>
      <c r="T73" s="361">
        <v>0</v>
      </c>
      <c r="U73" s="362">
        <v>0</v>
      </c>
      <c r="V73" s="361">
        <v>0</v>
      </c>
      <c r="W73" s="361">
        <v>0</v>
      </c>
      <c r="X73" s="361">
        <v>0</v>
      </c>
      <c r="Y73" s="361">
        <v>0</v>
      </c>
      <c r="Z73" s="264">
        <v>-723</v>
      </c>
      <c r="AA73" s="423"/>
      <c r="AB73" s="273">
        <f>SUM(OPX_LE3!$T73:$AA73)</f>
        <v>-723</v>
      </c>
      <c r="AC73" s="426"/>
      <c r="AD73" s="426">
        <v>0</v>
      </c>
      <c r="AE73" s="417">
        <v>0</v>
      </c>
      <c r="AF73" s="417">
        <v>0</v>
      </c>
      <c r="AG73" s="417">
        <v>0</v>
      </c>
      <c r="AH73" s="417">
        <v>-26490</v>
      </c>
      <c r="AI73" s="417">
        <v>0</v>
      </c>
      <c r="AJ73" s="317">
        <f>SUM(OPX_LE3!$AC73:$AI73)</f>
        <v>-26490</v>
      </c>
      <c r="AK73" s="424">
        <v>-5003</v>
      </c>
      <c r="AL73" s="276">
        <f>SUM(OPX_LE3!$J73,OPX_LE3!$AB73,OPX_LE3!$S73,OPX_LE3!$AJ73,OPX_LE3!$R73,OPX_LE3!$AK73)</f>
        <v>-101067.5</v>
      </c>
      <c r="AM73" s="427">
        <v>0</v>
      </c>
      <c r="AN73" s="427">
        <v>0</v>
      </c>
    </row>
    <row r="74" spans="1:41" ht="15">
      <c r="A74" s="244" t="s">
        <v>503</v>
      </c>
      <c r="B74" s="232" t="str">
        <f>VLOOKUP(OPX_LE3!$A74,Tableau106[],3,FALSE)</f>
        <v>A139</v>
      </c>
      <c r="C74" s="232" t="str">
        <f>VLOOKUP(OPX_LE3!$A74,Tableau106[],2,FALSE)</f>
        <v>FR40S99E</v>
      </c>
      <c r="D74" s="232" t="str">
        <f>VLOOKUP(OPX_LE3!$A74,Tableau106[],8,FALSE)</f>
        <v>SOLAIRE</v>
      </c>
      <c r="E74" s="233">
        <f>VLOOKUP(OPX_LE3!$A74,Tableau106[],4,FALSE)</f>
        <v>1.998</v>
      </c>
      <c r="F74" s="232" t="str">
        <f>VLOOKUP(OPX_LE3!$A74,Tableau106[],5,FALSE)</f>
        <v>GABT</v>
      </c>
      <c r="G74" s="232" t="str">
        <f>VLOOKUP(OPX_LE3!$A74,Tableau106[],7,FALSE)</f>
        <v>GROUPE</v>
      </c>
      <c r="H74" s="232" t="str">
        <f>VLOOKUP(OPX_LE3!$A74,Tableau106[],6,FALSE)</f>
        <v>S</v>
      </c>
      <c r="I74" s="232" t="str">
        <f>VLOOKUP(OPX_LE3!$A74,Tableau106[],9,FALSE)</f>
        <v>BaA</v>
      </c>
      <c r="J74" s="254">
        <v>-56903</v>
      </c>
      <c r="K74" s="228">
        <v>-71560</v>
      </c>
      <c r="L74" s="228"/>
      <c r="M74" s="229"/>
      <c r="N74" s="229">
        <v>0</v>
      </c>
      <c r="O74" s="229">
        <v>0</v>
      </c>
      <c r="P74" s="229">
        <v>0</v>
      </c>
      <c r="Q74" s="229">
        <f>-250*OPX_LE3!$E74</f>
        <v>-499.5</v>
      </c>
      <c r="R74" s="311">
        <f>SUM(OPX_LE3!$K74:$Q74)</f>
        <v>-72059.5</v>
      </c>
      <c r="S74" s="337">
        <v>0</v>
      </c>
      <c r="T74" s="361">
        <v>0</v>
      </c>
      <c r="U74" s="362">
        <v>0</v>
      </c>
      <c r="V74" s="361">
        <v>0</v>
      </c>
      <c r="W74" s="361">
        <v>0</v>
      </c>
      <c r="X74" s="361">
        <v>0</v>
      </c>
      <c r="Y74" s="361">
        <v>0</v>
      </c>
      <c r="Z74" s="264">
        <v>-499.5</v>
      </c>
      <c r="AA74" s="423"/>
      <c r="AB74" s="273">
        <f>SUM(OPX_LE3!$T74:$AA74)</f>
        <v>-499.5</v>
      </c>
      <c r="AC74" s="426"/>
      <c r="AD74" s="426">
        <v>0</v>
      </c>
      <c r="AE74" s="417">
        <v>0</v>
      </c>
      <c r="AF74" s="417">
        <v>0</v>
      </c>
      <c r="AG74" s="417">
        <v>0</v>
      </c>
      <c r="AH74" s="417">
        <v>0</v>
      </c>
      <c r="AI74" s="417">
        <v>0</v>
      </c>
      <c r="AJ74" s="317">
        <f>SUM(OPX_LE3!$AC74:$AI74)</f>
        <v>0</v>
      </c>
      <c r="AK74" s="424"/>
      <c r="AL74" s="276">
        <f>SUM(OPX_LE3!$J74,OPX_LE3!$AB74,OPX_LE3!$S74,OPX_LE3!$AJ74,OPX_LE3!$R74,OPX_LE3!$AK74)</f>
        <v>-129462</v>
      </c>
      <c r="AM74" s="427">
        <v>0</v>
      </c>
      <c r="AN74" s="427">
        <v>0</v>
      </c>
    </row>
    <row r="75" spans="1:41" ht="15">
      <c r="A75" s="325" t="s">
        <v>155</v>
      </c>
      <c r="B75" s="322" t="str">
        <f>VLOOKUP(OPX_LE3!$A75,Tableau106[],3,FALSE)</f>
        <v>F239</v>
      </c>
      <c r="C75" s="322" t="str">
        <f>VLOOKUP(OPX_LE3!$A75,Tableau106[],2,FALSE)</f>
        <v>FR28E91E</v>
      </c>
      <c r="D75" s="322" t="str">
        <f>VLOOKUP(OPX_LE3!$A75,Tableau106[],8,FALSE)</f>
        <v>EOLIEN</v>
      </c>
      <c r="E75" s="324">
        <f>VLOOKUP(OPX_LE3!$A75,Tableau106[],4,FALSE)</f>
        <v>18.399999999999999</v>
      </c>
      <c r="F75" s="322" t="str">
        <f>VLOOKUP(OPX_LE3!$A75,Tableau106[],5,FALSE)</f>
        <v>GAR1, GAR2</v>
      </c>
      <c r="G75" s="322" t="str">
        <f>VLOOKUP(OPX_LE3!$A75,Tableau106[],7,FALSE)</f>
        <v>FUTUREN</v>
      </c>
      <c r="H75" s="322" t="str">
        <f>VLOOKUP(OPX_LE3!$A75,Tableau106[],6,FALSE)</f>
        <v>N</v>
      </c>
      <c r="I75" s="322" t="str">
        <f>VLOOKUP(OPX_LE3!$A75,Tableau106[],9,FALSE)</f>
        <v>NoS</v>
      </c>
      <c r="J75" s="254">
        <v>-16811</v>
      </c>
      <c r="K75" s="228">
        <v>-20000</v>
      </c>
      <c r="L75" s="228"/>
      <c r="M75" s="229">
        <v>0</v>
      </c>
      <c r="N75" s="229">
        <v>0</v>
      </c>
      <c r="O75" s="229">
        <v>0</v>
      </c>
      <c r="P75" s="229">
        <v>0</v>
      </c>
      <c r="Q75" s="229">
        <f>-250*OPX_LE3!$E75</f>
        <v>-4600</v>
      </c>
      <c r="R75" s="311">
        <f>SUM(OPX_LE3!$K75:$Q75)</f>
        <v>-24600</v>
      </c>
      <c r="S75" s="337">
        <v>-547083</v>
      </c>
      <c r="T75" s="361">
        <v>-2500</v>
      </c>
      <c r="U75" s="362">
        <v>0</v>
      </c>
      <c r="V75" s="361">
        <v>-17000</v>
      </c>
      <c r="W75" s="361">
        <v>-9600</v>
      </c>
      <c r="X75" s="361">
        <v>0</v>
      </c>
      <c r="Y75" s="361">
        <v>0</v>
      </c>
      <c r="Z75" s="264">
        <v>-4600</v>
      </c>
      <c r="AA75" s="423"/>
      <c r="AB75" s="273">
        <f>SUM(OPX_LE3!$T75:$AA75)</f>
        <v>-33700</v>
      </c>
      <c r="AC75" s="426"/>
      <c r="AD75" s="426"/>
      <c r="AE75" s="417">
        <v>0</v>
      </c>
      <c r="AF75" s="417">
        <v>0</v>
      </c>
      <c r="AG75" s="417">
        <v>0</v>
      </c>
      <c r="AH75" s="417">
        <v>0</v>
      </c>
      <c r="AI75" s="417">
        <v>0</v>
      </c>
      <c r="AJ75" s="317">
        <f>SUM(OPX_LE3!$AC75:$AI75)</f>
        <v>0</v>
      </c>
      <c r="AK75" s="424">
        <v>0</v>
      </c>
      <c r="AL75" s="276">
        <f>SUM(OPX_LE3!$J75,OPX_LE3!$AB75,OPX_LE3!$S75,OPX_LE3!$AJ75,OPX_LE3!$R75,OPX_LE3!$AK75)</f>
        <v>-622194</v>
      </c>
      <c r="AM75" s="427">
        <v>-15000</v>
      </c>
      <c r="AN75" s="427">
        <v>0</v>
      </c>
    </row>
    <row r="76" spans="1:41" ht="15">
      <c r="A76" s="244" t="s">
        <v>505</v>
      </c>
      <c r="B76" s="232" t="str">
        <f>VLOOKUP(OPX_LE3!$A76,Tableau106[],3,FALSE)</f>
        <v>A237</v>
      </c>
      <c r="C76" s="232" t="str">
        <f>VLOOKUP(OPX_LE3!$A76,Tableau106[],2,FALSE)</f>
        <v>FR23S01E</v>
      </c>
      <c r="D76" s="232" t="str">
        <f>VLOOKUP(OPX_LE3!$A76,Tableau106[],8,FALSE)</f>
        <v>SOLAIRE</v>
      </c>
      <c r="E76" s="233">
        <f>VLOOKUP(OPX_LE3!$A76,Tableau106[],4,FALSE)</f>
        <v>14.7</v>
      </c>
      <c r="F76" s="232" t="str">
        <f>VLOOKUP(OPX_LE3!$A76,Tableau106[],5,FALSE)</f>
        <v>GDGT</v>
      </c>
      <c r="G76" s="232" t="str">
        <f>VLOOKUP(OPX_LE3!$A76,Tableau106[],7,FALSE)</f>
        <v>GROUPE</v>
      </c>
      <c r="H76" s="232" t="str">
        <f>VLOOKUP(OPX_LE3!$A76,Tableau106[],6,FALSE)</f>
        <v>S</v>
      </c>
      <c r="I76" s="232" t="str">
        <f>VLOOKUP(OPX_LE3!$A76,Tableau106[],9,FALSE)</f>
        <v>ArB</v>
      </c>
      <c r="J76" s="254">
        <v>0</v>
      </c>
      <c r="K76" s="228">
        <v>0</v>
      </c>
      <c r="L76" s="228"/>
      <c r="M76" s="229">
        <v>0</v>
      </c>
      <c r="N76" s="229">
        <v>0</v>
      </c>
      <c r="O76" s="229">
        <v>0</v>
      </c>
      <c r="P76" s="229">
        <v>-8200</v>
      </c>
      <c r="Q76" s="229">
        <f>-250*OPX_LE3!$E76</f>
        <v>-3675</v>
      </c>
      <c r="R76" s="311">
        <f>SUM(OPX_LE3!$K76:$Q76)</f>
        <v>-11875</v>
      </c>
      <c r="S76" s="337">
        <v>-35956</v>
      </c>
      <c r="T76" s="361">
        <v>-6000</v>
      </c>
      <c r="U76" s="362">
        <v>0</v>
      </c>
      <c r="V76" s="361">
        <v>-15000</v>
      </c>
      <c r="W76" s="361">
        <v>0</v>
      </c>
      <c r="X76" s="361">
        <v>0</v>
      </c>
      <c r="Y76" s="361">
        <v>-7500</v>
      </c>
      <c r="Z76" s="264">
        <v>-3675</v>
      </c>
      <c r="AA76" s="423">
        <v>-1800</v>
      </c>
      <c r="AB76" s="273">
        <f>SUM(OPX_LE3!$T76:$AA76)</f>
        <v>-33975</v>
      </c>
      <c r="AC76" s="426"/>
      <c r="AD76" s="426">
        <v>0</v>
      </c>
      <c r="AE76" s="417">
        <v>0</v>
      </c>
      <c r="AF76" s="417">
        <v>0</v>
      </c>
      <c r="AG76" s="417">
        <v>0</v>
      </c>
      <c r="AH76" s="417">
        <v>-3250</v>
      </c>
      <c r="AI76" s="417">
        <v>0</v>
      </c>
      <c r="AJ76" s="317">
        <f>SUM(OPX_LE3!$AC76:$AI76)</f>
        <v>-3250</v>
      </c>
      <c r="AK76" s="424">
        <v>0</v>
      </c>
      <c r="AL76" s="276">
        <f>SUM(OPX_LE3!$J76,OPX_LE3!$AB76,OPX_LE3!$S76,OPX_LE3!$AJ76,OPX_LE3!$R76,OPX_LE3!$AK76)</f>
        <v>-85056</v>
      </c>
      <c r="AM76" s="427">
        <v>0</v>
      </c>
      <c r="AN76" s="427">
        <v>0</v>
      </c>
    </row>
    <row r="77" spans="1:41" ht="15">
      <c r="A77" s="325" t="s">
        <v>565</v>
      </c>
      <c r="B77" s="322" t="str">
        <f>VLOOKUP(OPX_LE3!$A77,Tableau106[],3,FALSE)</f>
        <v>A540</v>
      </c>
      <c r="C77" s="322" t="str">
        <f>VLOOKUP(OPX_LE3!$A77,Tableau106[],2,FALSE)</f>
        <v>FR56E02E</v>
      </c>
      <c r="D77" s="322" t="str">
        <f>VLOOKUP(OPX_LE3!$A77,Tableau106[],8,FALSE)</f>
        <v>EOLIEN</v>
      </c>
      <c r="E77" s="324">
        <f>VLOOKUP(OPX_LE3!$A77,Tableau106[],4,FALSE)</f>
        <v>12</v>
      </c>
      <c r="F77" s="322" t="str">
        <f>VLOOKUP(OPX_LE3!$A77,Tableau106[],5,FALSE)</f>
        <v>GRPL</v>
      </c>
      <c r="G77" s="322" t="str">
        <f>VLOOKUP(OPX_LE3!$A77,Tableau106[],7,FALSE)</f>
        <v>EGM</v>
      </c>
      <c r="H77" s="322" t="str">
        <f>VLOOKUP(OPX_LE3!$A77,Tableau106[],6,FALSE)</f>
        <v>N</v>
      </c>
      <c r="I77" s="322" t="str">
        <f>VLOOKUP(OPX_LE3!$A77,Tableau106[],9,FALSE)</f>
        <v>MaA</v>
      </c>
      <c r="J77" s="254">
        <v>-309748</v>
      </c>
      <c r="K77" s="228">
        <v>-382000</v>
      </c>
      <c r="L77" s="228"/>
      <c r="M77" s="229">
        <v>0</v>
      </c>
      <c r="N77" s="229">
        <v>0</v>
      </c>
      <c r="O77" s="229">
        <v>-3910</v>
      </c>
      <c r="P77" s="229">
        <v>-4200</v>
      </c>
      <c r="Q77" s="229">
        <f>-250*OPX_LE3!$E77</f>
        <v>-3000</v>
      </c>
      <c r="R77" s="311">
        <f>SUM(OPX_LE3!$K77:$Q77)</f>
        <v>-393110</v>
      </c>
      <c r="S77" s="337">
        <v>0</v>
      </c>
      <c r="T77" s="361">
        <v>0</v>
      </c>
      <c r="U77" s="362">
        <v>0</v>
      </c>
      <c r="V77" s="361">
        <f>-2000-1727-29910</f>
        <v>-33637</v>
      </c>
      <c r="W77" s="361">
        <v>0</v>
      </c>
      <c r="X77" s="361">
        <v>-4000</v>
      </c>
      <c r="Y77" s="361">
        <v>0</v>
      </c>
      <c r="Z77" s="264">
        <f>-3000</f>
        <v>-3000</v>
      </c>
      <c r="AA77" s="423"/>
      <c r="AB77" s="273">
        <f>SUM(OPX_LE3!$T77:$AA77)</f>
        <v>-40637</v>
      </c>
      <c r="AC77" s="426"/>
      <c r="AD77" s="426"/>
      <c r="AE77" s="417">
        <v>0</v>
      </c>
      <c r="AF77" s="417">
        <v>0</v>
      </c>
      <c r="AG77" s="417">
        <v>0</v>
      </c>
      <c r="AH77" s="417">
        <v>0</v>
      </c>
      <c r="AI77" s="417">
        <v>0</v>
      </c>
      <c r="AJ77" s="317">
        <f>SUM(OPX_LE3!$AC77:$AI77)</f>
        <v>0</v>
      </c>
      <c r="AK77" s="424">
        <v>0</v>
      </c>
      <c r="AL77" s="276">
        <f>SUM(OPX_LE3!$J77,OPX_LE3!$AB77,OPX_LE3!$S77,OPX_LE3!$AJ77,OPX_LE3!$R77,OPX_LE3!$AK77)</f>
        <v>-743495</v>
      </c>
      <c r="AM77" s="427">
        <v>0</v>
      </c>
      <c r="AN77" s="427">
        <v>-380000</v>
      </c>
      <c r="AO77" s="6" t="s">
        <v>1546</v>
      </c>
    </row>
    <row r="78" spans="1:41" ht="15">
      <c r="A78" s="244" t="s">
        <v>467</v>
      </c>
      <c r="B78" s="232" t="str">
        <f>VLOOKUP(OPX_LE3!$A78,Tableau106[],3,FALSE)</f>
        <v>A420</v>
      </c>
      <c r="C78" s="232" t="str">
        <f>VLOOKUP(OPX_LE3!$A78,Tableau106[],2,FALSE)</f>
        <v>FR28E02E</v>
      </c>
      <c r="D78" s="232" t="str">
        <f>VLOOKUP(OPX_LE3!$A78,Tableau106[],8,FALSE)</f>
        <v>EOLIEN</v>
      </c>
      <c r="E78" s="233">
        <f>VLOOKUP(OPX_LE3!$A78,Tableau106[],4,FALSE)</f>
        <v>17.7</v>
      </c>
      <c r="F78" s="232" t="str">
        <f>VLOOKUP(OPX_LE3!$A78,Tableau106[],5,FALSE)</f>
        <v>GUIL</v>
      </c>
      <c r="G78" s="232" t="str">
        <f>VLOOKUP(OPX_LE3!$A78,Tableau106[],7,FALSE)</f>
        <v>GROUPE</v>
      </c>
      <c r="H78" s="232" t="str">
        <f>VLOOKUP(OPX_LE3!$A78,Tableau106[],6,FALSE)</f>
        <v>N</v>
      </c>
      <c r="I78" s="232" t="str">
        <f>VLOOKUP(OPX_LE3!$A78,Tableau106[],9,FALSE)</f>
        <v>AlY</v>
      </c>
      <c r="J78" s="254">
        <v>-23174</v>
      </c>
      <c r="K78" s="228">
        <v>-5190</v>
      </c>
      <c r="L78" s="228"/>
      <c r="M78" s="229">
        <v>0</v>
      </c>
      <c r="N78" s="229">
        <v>0</v>
      </c>
      <c r="O78" s="229">
        <v>0</v>
      </c>
      <c r="P78" s="229">
        <f>-440*Tableau16[[#This Row],[MW]]</f>
        <v>-7788</v>
      </c>
      <c r="Q78" s="229">
        <f>-250*OPX_LE3!$E78</f>
        <v>-4425</v>
      </c>
      <c r="R78" s="311">
        <f>SUM(OPX_LE3!$K78:$Q78)</f>
        <v>-17403</v>
      </c>
      <c r="S78" s="337">
        <v>-266064</v>
      </c>
      <c r="T78" s="377">
        <v>0</v>
      </c>
      <c r="U78" s="362">
        <v>0</v>
      </c>
      <c r="V78" s="361">
        <v>-600</v>
      </c>
      <c r="W78" s="377">
        <v>-3600</v>
      </c>
      <c r="X78" s="361">
        <v>0</v>
      </c>
      <c r="Y78" s="361">
        <v>0</v>
      </c>
      <c r="Z78" s="264">
        <v>-4425</v>
      </c>
      <c r="AA78" s="423"/>
      <c r="AB78" s="273">
        <f>SUM(OPX_LE3!$T78:$AA78)</f>
        <v>-8625</v>
      </c>
      <c r="AC78" s="426">
        <v>-12200</v>
      </c>
      <c r="AD78" s="426"/>
      <c r="AE78" s="417">
        <v>0</v>
      </c>
      <c r="AF78" s="417">
        <v>0</v>
      </c>
      <c r="AG78" s="417">
        <v>0</v>
      </c>
      <c r="AH78" s="417">
        <v>0</v>
      </c>
      <c r="AI78" s="417">
        <v>0</v>
      </c>
      <c r="AJ78" s="317">
        <f>SUM(OPX_LE3!$AC78:$AI78)</f>
        <v>-12200</v>
      </c>
      <c r="AK78" s="424">
        <v>-9235</v>
      </c>
      <c r="AL78" s="276">
        <f>SUM(OPX_LE3!$J78,OPX_LE3!$AB78,OPX_LE3!$S78,OPX_LE3!$AJ78,OPX_LE3!$R78,OPX_LE3!$AK78)</f>
        <v>-336701</v>
      </c>
      <c r="AM78" s="427">
        <v>-47700</v>
      </c>
      <c r="AN78" s="427">
        <v>0</v>
      </c>
    </row>
    <row r="79" spans="1:41" ht="15">
      <c r="A79" s="325" t="s">
        <v>547</v>
      </c>
      <c r="B79" s="322" t="str">
        <f>VLOOKUP(OPX_LE3!$A79,Tableau106[],3,FALSE)</f>
        <v>F168</v>
      </c>
      <c r="C79" s="322" t="str">
        <f>VLOOKUP(OPX_LE3!$A79,Tableau106[],2,FALSE)</f>
        <v>FR80E91E</v>
      </c>
      <c r="D79" s="322" t="str">
        <f>VLOOKUP(OPX_LE3!$A79,Tableau106[],8,FALSE)</f>
        <v>EOLIEN</v>
      </c>
      <c r="E79" s="324">
        <f>VLOOKUP(OPX_LE3!$A79,Tableau106[],4,FALSE)</f>
        <v>21</v>
      </c>
      <c r="F79" s="322" t="str">
        <f>VLOOKUP(OPX_LE3!$A79,Tableau106[],5,FALSE)</f>
        <v>HAB1, HAB2</v>
      </c>
      <c r="G79" s="322" t="str">
        <f>VLOOKUP(OPX_LE3!$A79,Tableau106[],7,FALSE)</f>
        <v>FUTUREN</v>
      </c>
      <c r="H79" s="322" t="str">
        <f>VLOOKUP(OPX_LE3!$A79,Tableau106[],6,FALSE)</f>
        <v>N</v>
      </c>
      <c r="I79" s="322" t="str">
        <f>VLOOKUP(OPX_LE3!$A79,Tableau106[],9,FALSE)</f>
        <v>NiD</v>
      </c>
      <c r="J79" s="254">
        <v>-15210</v>
      </c>
      <c r="K79" s="228">
        <v>-3300.0000000000005</v>
      </c>
      <c r="L79" s="228"/>
      <c r="M79" s="229">
        <v>0</v>
      </c>
      <c r="N79" s="229">
        <v>0</v>
      </c>
      <c r="O79" s="229">
        <v>0</v>
      </c>
      <c r="P79" s="229">
        <v>0</v>
      </c>
      <c r="Q79" s="229">
        <f>-250*OPX_LE3!$E79</f>
        <v>-5250</v>
      </c>
      <c r="R79" s="311">
        <f>SUM(OPX_LE3!$K79:$Q79)</f>
        <v>-8550</v>
      </c>
      <c r="S79" s="337">
        <v>-526334</v>
      </c>
      <c r="T79" s="361">
        <v>-6719</v>
      </c>
      <c r="U79" s="362">
        <v>0</v>
      </c>
      <c r="V79" s="361">
        <v>-2000</v>
      </c>
      <c r="W79" s="361">
        <v>-3500</v>
      </c>
      <c r="X79" s="361">
        <v>0</v>
      </c>
      <c r="Y79" s="361">
        <v>0</v>
      </c>
      <c r="Z79" s="264">
        <v>-5250</v>
      </c>
      <c r="AA79" s="423"/>
      <c r="AB79" s="273">
        <f>SUM(OPX_LE3!$T79:$AA79)</f>
        <v>-17469</v>
      </c>
      <c r="AC79" s="426"/>
      <c r="AD79" s="426"/>
      <c r="AE79" s="417">
        <v>0</v>
      </c>
      <c r="AF79" s="417">
        <v>0</v>
      </c>
      <c r="AG79" s="417">
        <v>0</v>
      </c>
      <c r="AH79" s="417">
        <v>0</v>
      </c>
      <c r="AI79" s="417">
        <v>0</v>
      </c>
      <c r="AJ79" s="317">
        <f>SUM(OPX_LE3!$AC79:$AI79)</f>
        <v>0</v>
      </c>
      <c r="AK79" s="424">
        <v>-713</v>
      </c>
      <c r="AL79" s="276">
        <f>SUM(OPX_LE3!$J79,OPX_LE3!$AB79,OPX_LE3!$S79,OPX_LE3!$AJ79,OPX_LE3!$R79,OPX_LE3!$AK79)</f>
        <v>-568276</v>
      </c>
      <c r="AM79" s="427">
        <v>-24000</v>
      </c>
      <c r="AN79" s="427">
        <v>0</v>
      </c>
    </row>
    <row r="80" spans="1:41" ht="15">
      <c r="A80" s="244" t="s">
        <v>477</v>
      </c>
      <c r="B80" s="232" t="str">
        <f>VLOOKUP(OPX_LE3!$A80,Tableau106[],3,FALSE)</f>
        <v>A531</v>
      </c>
      <c r="C80" s="232" t="str">
        <f>VLOOKUP(OPX_LE3!$A80,Tableau106[],2,FALSE)</f>
        <v>FR62E01E</v>
      </c>
      <c r="D80" s="232" t="str">
        <f>VLOOKUP(OPX_LE3!$A80,Tableau106[],8,FALSE)</f>
        <v>EOLIEN</v>
      </c>
      <c r="E80" s="233">
        <f>VLOOKUP(OPX_LE3!$A80,Tableau106[],4,FALSE)</f>
        <v>6</v>
      </c>
      <c r="F80" s="232" t="str">
        <f>VLOOKUP(OPX_LE3!$A80,Tableau106[],5,FALSE)</f>
        <v>HENI</v>
      </c>
      <c r="G80" s="232" t="str">
        <f>VLOOKUP(OPX_LE3!$A80,Tableau106[],7,FALSE)</f>
        <v>GROUPE</v>
      </c>
      <c r="H80" s="232" t="str">
        <f>VLOOKUP(OPX_LE3!$A80,Tableau106[],6,FALSE)</f>
        <v>N</v>
      </c>
      <c r="I80" s="232" t="str">
        <f>VLOOKUP(OPX_LE3!$A80,Tableau106[],9,FALSE)</f>
        <v>NiL</v>
      </c>
      <c r="J80" s="254">
        <v>-9220</v>
      </c>
      <c r="K80" s="228">
        <v>-13050</v>
      </c>
      <c r="L80" s="228"/>
      <c r="M80" s="229">
        <v>0</v>
      </c>
      <c r="N80" s="229">
        <v>0</v>
      </c>
      <c r="O80" s="229">
        <v>0</v>
      </c>
      <c r="P80" s="229">
        <f>-440*Tableau16[[#This Row],[MW]]</f>
        <v>-2640</v>
      </c>
      <c r="Q80" s="229">
        <f>-250*OPX_LE3!$E80</f>
        <v>-1500</v>
      </c>
      <c r="R80" s="311">
        <f>SUM(OPX_LE3!$K80:$Q80)</f>
        <v>-17190</v>
      </c>
      <c r="S80" s="337">
        <v>-197309</v>
      </c>
      <c r="T80" s="361">
        <v>0</v>
      </c>
      <c r="U80" s="362">
        <v>0</v>
      </c>
      <c r="V80" s="361">
        <v>-600</v>
      </c>
      <c r="W80" s="361">
        <f>-450*3</f>
        <v>-1350</v>
      </c>
      <c r="X80" s="361">
        <v>0</v>
      </c>
      <c r="Y80" s="361">
        <v>0</v>
      </c>
      <c r="Z80" s="264">
        <f>(-250*OPX_LE3!$E80)-1600-1600-2730</f>
        <v>-7430</v>
      </c>
      <c r="AA80" s="423"/>
      <c r="AB80" s="273">
        <f>SUM(OPX_LE3!$T80:$AA80)</f>
        <v>-9380</v>
      </c>
      <c r="AC80" s="426"/>
      <c r="AD80" s="426"/>
      <c r="AE80" s="417">
        <v>0</v>
      </c>
      <c r="AF80" s="417">
        <v>-8411</v>
      </c>
      <c r="AG80" s="417">
        <v>-32435</v>
      </c>
      <c r="AH80" s="417">
        <v>0</v>
      </c>
      <c r="AI80" s="417">
        <v>0</v>
      </c>
      <c r="AJ80" s="317">
        <f>SUM(OPX_LE3!$AC80:$AI80)</f>
        <v>-40846</v>
      </c>
      <c r="AK80" s="424">
        <v>0</v>
      </c>
      <c r="AL80" s="276">
        <f>SUM(OPX_LE3!$J80,OPX_LE3!$AB80,OPX_LE3!$S80,OPX_LE3!$AJ80,OPX_LE3!$R80,OPX_LE3!$AK80)</f>
        <v>-273945</v>
      </c>
      <c r="AM80" s="427">
        <v>0</v>
      </c>
      <c r="AN80" s="427">
        <v>0</v>
      </c>
    </row>
    <row r="81" spans="1:41" ht="15">
      <c r="A81" s="325" t="s">
        <v>458</v>
      </c>
      <c r="B81" s="322" t="str">
        <f>VLOOKUP(OPX_LE3!$A81,Tableau106[],3,FALSE)</f>
        <v>A540</v>
      </c>
      <c r="C81" s="322" t="str">
        <f>VLOOKUP(OPX_LE3!$A81,Tableau106[],2,FALSE)</f>
        <v>FR14E03E</v>
      </c>
      <c r="D81" s="322" t="str">
        <f>VLOOKUP(OPX_LE3!$A81,Tableau106[],8,FALSE)</f>
        <v>EOLIEN</v>
      </c>
      <c r="E81" s="324">
        <f>VLOOKUP(OPX_LE3!$A81,Tableau106[],4,FALSE)</f>
        <v>8</v>
      </c>
      <c r="F81" s="322" t="str">
        <f>VLOOKUP(OPX_LE3!$A81,Tableau106[],5,FALSE)</f>
        <v>HERO</v>
      </c>
      <c r="G81" s="322" t="str">
        <f>VLOOKUP(OPX_LE3!$A81,Tableau106[],7,FALSE)</f>
        <v>EGM</v>
      </c>
      <c r="H81" s="322" t="str">
        <f>VLOOKUP(OPX_LE3!$A81,Tableau106[],6,FALSE)</f>
        <v>N</v>
      </c>
      <c r="I81" s="322" t="str">
        <f>VLOOKUP(OPX_LE3!$A81,Tableau106[],9,FALSE)</f>
        <v>DeN</v>
      </c>
      <c r="J81" s="254">
        <v>-206499</v>
      </c>
      <c r="K81" s="228">
        <v>-120000</v>
      </c>
      <c r="L81" s="228"/>
      <c r="M81" s="229"/>
      <c r="N81" s="229">
        <v>0</v>
      </c>
      <c r="O81" s="229">
        <v>0</v>
      </c>
      <c r="P81" s="229">
        <v>-2800</v>
      </c>
      <c r="Q81" s="229">
        <f>-250*OPX_LE3!$E81</f>
        <v>-2000</v>
      </c>
      <c r="R81" s="311">
        <f>SUM(OPX_LE3!$K81:$Q81)</f>
        <v>-124800</v>
      </c>
      <c r="S81" s="337">
        <v>0</v>
      </c>
      <c r="T81" s="361">
        <v>0</v>
      </c>
      <c r="U81" s="362"/>
      <c r="V81" s="361">
        <f>-1000-1987.2-27447.2</f>
        <v>-30434.400000000001</v>
      </c>
      <c r="W81" s="361">
        <v>0</v>
      </c>
      <c r="X81" s="361">
        <v>0</v>
      </c>
      <c r="Y81" s="361">
        <v>0</v>
      </c>
      <c r="Z81" s="264">
        <f>-2000</f>
        <v>-2000</v>
      </c>
      <c r="AA81" s="423"/>
      <c r="AB81" s="273">
        <f>SUM(OPX_LE3!$T81:$AA81)</f>
        <v>-32434.400000000001</v>
      </c>
      <c r="AC81" s="426"/>
      <c r="AD81" s="426"/>
      <c r="AE81" s="417">
        <v>0</v>
      </c>
      <c r="AF81" s="417">
        <v>-5000</v>
      </c>
      <c r="AG81" s="417">
        <v>0</v>
      </c>
      <c r="AH81" s="417">
        <v>0</v>
      </c>
      <c r="AI81" s="417">
        <v>0</v>
      </c>
      <c r="AJ81" s="317">
        <f>SUM(OPX_LE3!$AC81:$AI81)</f>
        <v>-5000</v>
      </c>
      <c r="AK81" s="424">
        <v>0</v>
      </c>
      <c r="AL81" s="276">
        <f>SUM(OPX_LE3!$J81,OPX_LE3!$AB81,OPX_LE3!$S81,OPX_LE3!$AJ81,OPX_LE3!$R81,OPX_LE3!$AK81)</f>
        <v>-368733.4</v>
      </c>
      <c r="AM81" s="427">
        <v>0</v>
      </c>
      <c r="AN81" s="427">
        <v>-113000</v>
      </c>
      <c r="AO81" s="6" t="s">
        <v>725</v>
      </c>
    </row>
    <row r="82" spans="1:41" ht="15">
      <c r="A82" s="244" t="s">
        <v>464</v>
      </c>
      <c r="B82" s="232" t="str">
        <f>VLOOKUP(OPX_LE3!$A82,Tableau106[],3,FALSE)</f>
        <v>A281</v>
      </c>
      <c r="C82" s="232" t="str">
        <f>VLOOKUP(OPX_LE3!$A82,Tableau106[],2,FALSE)</f>
        <v>FR86E05E</v>
      </c>
      <c r="D82" s="232" t="str">
        <f>VLOOKUP(OPX_LE3!$A82,Tableau106[],8,FALSE)</f>
        <v>EOLIEN</v>
      </c>
      <c r="E82" s="233">
        <f>VLOOKUP(OPX_LE3!$A82,Tableau106[],4,FALSE)</f>
        <v>15</v>
      </c>
      <c r="F82" s="232" t="str">
        <f>VLOOKUP(OPX_LE3!$A82,Tableau106[],5,FALSE)</f>
        <v>JAVI</v>
      </c>
      <c r="G82" s="232" t="str">
        <f>VLOOKUP(OPX_LE3!$A82,Tableau106[],7,FALSE)</f>
        <v>PARTNER</v>
      </c>
      <c r="H82" s="232" t="str">
        <f>VLOOKUP(OPX_LE3!$A82,Tableau106[],6,FALSE)</f>
        <v>S</v>
      </c>
      <c r="I82" s="232" t="str">
        <f>VLOOKUP(OPX_LE3!$A82,Tableau106[],9,FALSE)</f>
        <v>PiM</v>
      </c>
      <c r="J82" s="254">
        <v>0</v>
      </c>
      <c r="K82" s="228">
        <v>0</v>
      </c>
      <c r="L82" s="228"/>
      <c r="M82" s="229">
        <v>0</v>
      </c>
      <c r="N82" s="229">
        <v>-19009.41</v>
      </c>
      <c r="O82" s="229">
        <v>0</v>
      </c>
      <c r="P82" s="229">
        <v>-6600</v>
      </c>
      <c r="Q82" s="229">
        <f>-250*OPX_LE3!$E82</f>
        <v>-3750</v>
      </c>
      <c r="R82" s="311">
        <f>SUM(OPX_LE3!$K82:$Q82)</f>
        <v>-29359.41</v>
      </c>
      <c r="S82" s="337">
        <v>-275627</v>
      </c>
      <c r="T82" s="361">
        <f>-2000-10000</f>
        <v>-12000</v>
      </c>
      <c r="U82" s="362">
        <v>0</v>
      </c>
      <c r="V82" s="361">
        <f>-3000</f>
        <v>-3000</v>
      </c>
      <c r="W82" s="361">
        <f>-2250-14400-1300-4000</f>
        <v>-21950</v>
      </c>
      <c r="X82" s="361">
        <v>0</v>
      </c>
      <c r="Y82" s="361">
        <v>0</v>
      </c>
      <c r="Z82" s="264">
        <f>-250*Tableau16[[#This Row],[MW]]-1600-800-800-5000-1500</f>
        <v>-13450</v>
      </c>
      <c r="AA82" s="423"/>
      <c r="AB82" s="273">
        <f>SUM(OPX_LE3!$T82:$AA82)</f>
        <v>-50400</v>
      </c>
      <c r="AC82" s="426"/>
      <c r="AD82" s="426"/>
      <c r="AE82" s="417">
        <v>-18850.8</v>
      </c>
      <c r="AF82" s="417">
        <v>-10283.969999999999</v>
      </c>
      <c r="AG82" s="417">
        <v>-45647.83</v>
      </c>
      <c r="AH82" s="417">
        <v>0</v>
      </c>
      <c r="AI82" s="417">
        <f>-12500</f>
        <v>-12500</v>
      </c>
      <c r="AJ82" s="317">
        <f>SUM(OPX_LE3!$AC82:$AI82)</f>
        <v>-87282.6</v>
      </c>
      <c r="AK82" s="435">
        <v>-5100</v>
      </c>
      <c r="AL82" s="276">
        <f>SUM(OPX_LE3!$J82,OPX_LE3!$AB82,OPX_LE3!$S82,OPX_LE3!$AJ82,OPX_LE3!$R82,OPX_LE3!$AK82)</f>
        <v>-447769.00999999995</v>
      </c>
      <c r="AM82" s="427">
        <v>0</v>
      </c>
      <c r="AN82" s="427">
        <v>0</v>
      </c>
    </row>
    <row r="83" spans="1:41" ht="15">
      <c r="A83" s="325" t="s">
        <v>549</v>
      </c>
      <c r="B83" s="322" t="str">
        <f>VLOOKUP(OPX_LE3!$A83,Tableau106[],3,FALSE)</f>
        <v>F156</v>
      </c>
      <c r="C83" s="322" t="str">
        <f>VLOOKUP(OPX_LE3!$A83,Tableau106[],2,FALSE)</f>
        <v>FR34E10E</v>
      </c>
      <c r="D83" s="322" t="str">
        <f>VLOOKUP(OPX_LE3!$A83,Tableau106[],8,FALSE)</f>
        <v>EOLIEN</v>
      </c>
      <c r="E83" s="324">
        <f>VLOOKUP(OPX_LE3!$A83,Tableau106[],4,FALSE)</f>
        <v>6.3</v>
      </c>
      <c r="F83" s="322" t="str">
        <f>VLOOKUP(OPX_LE3!$A83,Tableau106[],5,FALSE)</f>
        <v>JON2</v>
      </c>
      <c r="G83" s="322" t="str">
        <f>VLOOKUP(OPX_LE3!$A83,Tableau106[],7,FALSE)</f>
        <v>FUTUREN</v>
      </c>
      <c r="H83" s="322" t="str">
        <f>VLOOKUP(OPX_LE3!$A83,Tableau106[],6,FALSE)</f>
        <v>S</v>
      </c>
      <c r="I83" s="322" t="str">
        <f>VLOOKUP(OPX_LE3!$A83,Tableau106[],9,FALSE)</f>
        <v>KéC</v>
      </c>
      <c r="J83" s="254">
        <v>-10147</v>
      </c>
      <c r="K83" s="228">
        <v>-18210</v>
      </c>
      <c r="L83" s="228"/>
      <c r="M83" s="229">
        <v>0</v>
      </c>
      <c r="N83" s="229">
        <v>0</v>
      </c>
      <c r="O83" s="229">
        <v>0</v>
      </c>
      <c r="P83" s="229">
        <v>-2226</v>
      </c>
      <c r="Q83" s="229">
        <f>-250*OPX_LE3!$E83</f>
        <v>-1575</v>
      </c>
      <c r="R83" s="311">
        <f>SUM(OPX_LE3!$K83:$Q83)</f>
        <v>-22011</v>
      </c>
      <c r="S83" s="395">
        <f>-79416*1.03</f>
        <v>-81798.48</v>
      </c>
      <c r="T83" s="361">
        <v>0</v>
      </c>
      <c r="U83" s="362">
        <v>0</v>
      </c>
      <c r="V83" s="433">
        <v>-7592</v>
      </c>
      <c r="W83" s="361">
        <v>0</v>
      </c>
      <c r="X83" s="361">
        <v>0</v>
      </c>
      <c r="Y83" s="361">
        <f>-7756.25-792</f>
        <v>-8548.25</v>
      </c>
      <c r="Z83" s="264">
        <v>-1575</v>
      </c>
      <c r="AA83" s="423">
        <f>-0.002*'CA_BN+1'!M73</f>
        <v>-2282.7256298492061</v>
      </c>
      <c r="AB83" s="273">
        <f>SUM(OPX_LE3!$T83:$AA83)</f>
        <v>-19997.975629849207</v>
      </c>
      <c r="AC83" s="426">
        <f>-51644.88</f>
        <v>-51644.88</v>
      </c>
      <c r="AD83" s="426"/>
      <c r="AE83" s="417">
        <f>-5775-783</f>
        <v>-6558</v>
      </c>
      <c r="AF83" s="417">
        <v>0</v>
      </c>
      <c r="AG83" s="417">
        <v>0</v>
      </c>
      <c r="AH83" s="417">
        <v>0</v>
      </c>
      <c r="AI83" s="417"/>
      <c r="AJ83" s="317">
        <f>SUM(OPX_LE3!$AC83:$AI83)</f>
        <v>-58202.879999999997</v>
      </c>
      <c r="AK83" s="424">
        <f>-6000</f>
        <v>-6000</v>
      </c>
      <c r="AL83" s="276">
        <f>SUM(OPX_LE3!$J83,OPX_LE3!$AB83,OPX_LE3!$S83,OPX_LE3!$AJ83,OPX_LE3!$R83,OPX_LE3!$AK83)</f>
        <v>-198157.3356298492</v>
      </c>
      <c r="AM83" s="427">
        <v>-15000</v>
      </c>
      <c r="AN83" s="427">
        <v>0</v>
      </c>
    </row>
    <row r="84" spans="1:41" ht="15">
      <c r="A84" s="244" t="s">
        <v>568</v>
      </c>
      <c r="B84" s="232" t="str">
        <f>VLOOKUP(OPX_LE3!$A84,Tableau106[],3,FALSE)</f>
        <v>A100</v>
      </c>
      <c r="C84" s="232" t="str">
        <f>VLOOKUP(OPX_LE3!$A84,Tableau106[],2,FALSE)</f>
        <v>FR34E05E</v>
      </c>
      <c r="D84" s="232" t="str">
        <f>VLOOKUP(OPX_LE3!$A84,Tableau106[],8,FALSE)</f>
        <v>EOLIEN</v>
      </c>
      <c r="E84" s="233">
        <f>VLOOKUP(OPX_LE3!$A84,Tableau106[],4,FALSE)</f>
        <v>14.5</v>
      </c>
      <c r="F84" s="232" t="str">
        <f>VLOOKUP(OPX_LE3!$A84,Tableau106[],5,FALSE)</f>
        <v>JONC</v>
      </c>
      <c r="G84" s="232" t="str">
        <f>VLOOKUP(OPX_LE3!$A84,Tableau106[],7,FALSE)</f>
        <v>GROUPE</v>
      </c>
      <c r="H84" s="232" t="str">
        <f>VLOOKUP(OPX_LE3!$A84,Tableau106[],6,FALSE)</f>
        <v>S</v>
      </c>
      <c r="I84" s="232" t="str">
        <f>VLOOKUP(OPX_LE3!$A84,Tableau106[],9,FALSE)</f>
        <v>KéC</v>
      </c>
      <c r="J84" s="254">
        <v>-11154</v>
      </c>
      <c r="K84" s="228">
        <v>-10260</v>
      </c>
      <c r="L84" s="228"/>
      <c r="M84" s="229">
        <v>0</v>
      </c>
      <c r="N84" s="229">
        <v>0</v>
      </c>
      <c r="O84" s="229">
        <v>0</v>
      </c>
      <c r="P84" s="229">
        <v>-5236</v>
      </c>
      <c r="Q84" s="229">
        <f>-250*OPX_LE3!$E84</f>
        <v>-3625</v>
      </c>
      <c r="R84" s="311">
        <f>SUM(OPX_LE3!$K84:$Q84)</f>
        <v>-19121</v>
      </c>
      <c r="S84" s="337">
        <f>-462931</f>
        <v>-462931</v>
      </c>
      <c r="T84" s="361">
        <v>0</v>
      </c>
      <c r="U84" s="362">
        <v>0</v>
      </c>
      <c r="V84" s="361">
        <f>-15000-1000-2500</f>
        <v>-18500</v>
      </c>
      <c r="W84" s="361">
        <v>0</v>
      </c>
      <c r="X84" s="361">
        <v>0</v>
      </c>
      <c r="Y84" s="361">
        <v>0</v>
      </c>
      <c r="Z84" s="264">
        <v>-3625</v>
      </c>
      <c r="AA84" s="423">
        <f>-0.002*'CA_BN+1'!M100</f>
        <v>-5187.4964877075045</v>
      </c>
      <c r="AB84" s="273">
        <f>SUM(OPX_LE3!$T84:$AA84)</f>
        <v>-27312.496487707504</v>
      </c>
      <c r="AC84" s="426">
        <f>-106000-13300</f>
        <v>-119300</v>
      </c>
      <c r="AD84" s="426">
        <f>-4924</f>
        <v>-4924</v>
      </c>
      <c r="AE84" s="417">
        <v>-14075</v>
      </c>
      <c r="AF84" s="417">
        <v>0</v>
      </c>
      <c r="AG84" s="417">
        <v>-58128.93</v>
      </c>
      <c r="AH84" s="417"/>
      <c r="AI84" s="417">
        <v>-10000</v>
      </c>
      <c r="AJ84" s="317">
        <f>SUM(OPX_LE3!$AC84:$AI84)</f>
        <v>-206427.93</v>
      </c>
      <c r="AK84" s="424">
        <v>0</v>
      </c>
      <c r="AL84" s="276">
        <f>SUM(OPX_LE3!$J84,OPX_LE3!$AB84,OPX_LE3!$S84,OPX_LE3!$AJ84,OPX_LE3!$R84,OPX_LE3!$AK84)</f>
        <v>-726946.42648770753</v>
      </c>
      <c r="AM84" s="427">
        <v>0</v>
      </c>
      <c r="AN84" s="427">
        <v>0</v>
      </c>
    </row>
    <row r="85" spans="1:41" ht="15">
      <c r="A85" s="325" t="s">
        <v>601</v>
      </c>
      <c r="B85" s="322" t="str">
        <f>VLOOKUP(OPX_LE3!$A85,Tableau106[],3,FALSE)</f>
        <v>A936</v>
      </c>
      <c r="C85" s="322" t="str">
        <f>VLOOKUP(OPX_LE3!$A85,Tableau106[],2,FALSE)</f>
        <v>FR34E83E</v>
      </c>
      <c r="D85" s="322" t="str">
        <f>VLOOKUP(OPX_LE3!$A85,Tableau106[],8,FALSE)</f>
        <v>EOLIEN</v>
      </c>
      <c r="E85" s="324">
        <f>VLOOKUP(OPX_LE3!$A85,Tableau106[],4,FALSE)</f>
        <v>8</v>
      </c>
      <c r="F85" s="322" t="str">
        <f>VLOOKUP(OPX_LE3!$A85,Tableau106[],5,FALSE)</f>
        <v>LAPI</v>
      </c>
      <c r="G85" s="322" t="str">
        <f>VLOOKUP(OPX_LE3!$A85,Tableau106[],7,FALSE)</f>
        <v>FUTUREN</v>
      </c>
      <c r="H85" s="322" t="str">
        <f>VLOOKUP(OPX_LE3!$A85,Tableau106[],6,FALSE)</f>
        <v>S</v>
      </c>
      <c r="I85" s="322" t="str">
        <f>VLOOKUP(OPX_LE3!$A85,Tableau106[],9,FALSE)</f>
        <v>KéD</v>
      </c>
      <c r="J85" s="254">
        <v>-249008</v>
      </c>
      <c r="K85" s="228">
        <v>-45010</v>
      </c>
      <c r="L85" s="228"/>
      <c r="M85" s="229">
        <v>0</v>
      </c>
      <c r="N85" s="229">
        <v>0</v>
      </c>
      <c r="O85" s="229">
        <v>0</v>
      </c>
      <c r="P85" s="229">
        <v>-2800</v>
      </c>
      <c r="Q85" s="229">
        <f>-250*OPX_LE3!$E85</f>
        <v>-2000</v>
      </c>
      <c r="R85" s="311">
        <f>SUM(OPX_LE3!$K85:$Q85)</f>
        <v>-49810</v>
      </c>
      <c r="S85" s="337">
        <v>0</v>
      </c>
      <c r="T85" s="361">
        <v>0</v>
      </c>
      <c r="U85" s="362">
        <v>0</v>
      </c>
      <c r="V85" s="361">
        <f>-(4650+5000)</f>
        <v>-9650</v>
      </c>
      <c r="W85" s="361">
        <v>0</v>
      </c>
      <c r="X85" s="361">
        <v>0</v>
      </c>
      <c r="Y85" s="361">
        <v>0</v>
      </c>
      <c r="Z85" s="264">
        <v>-2000</v>
      </c>
      <c r="AA85" s="423"/>
      <c r="AB85" s="273">
        <f>SUM(OPX_LE3!$T85:$AA85)</f>
        <v>-11650</v>
      </c>
      <c r="AC85" s="231">
        <f>-((6184*4)+1500)</f>
        <v>-26236</v>
      </c>
      <c r="AD85" s="426"/>
      <c r="AE85" s="417">
        <v>-2920</v>
      </c>
      <c r="AF85" s="417">
        <v>0</v>
      </c>
      <c r="AG85" s="417">
        <v>-20214</v>
      </c>
      <c r="AH85" s="417"/>
      <c r="AI85" s="417">
        <v>-37282</v>
      </c>
      <c r="AJ85" s="317">
        <f>SUM(OPX_LE3!$AC85:$AI85)</f>
        <v>-86652</v>
      </c>
      <c r="AK85" s="424">
        <v>0</v>
      </c>
      <c r="AL85" s="276">
        <f>SUM(OPX_LE3!$J85,OPX_LE3!$AB85,OPX_LE3!$S85,OPX_LE3!$AJ85,OPX_LE3!$R85,OPX_LE3!$AK85)</f>
        <v>-397120</v>
      </c>
      <c r="AM85" s="427">
        <v>0</v>
      </c>
      <c r="AN85" s="427">
        <v>0</v>
      </c>
    </row>
    <row r="86" spans="1:41" ht="15">
      <c r="A86" s="244" t="s">
        <v>519</v>
      </c>
      <c r="B86" s="232" t="str">
        <f>VLOOKUP(OPX_LE3!$A86,Tableau106[],3,FALSE)</f>
        <v>A071</v>
      </c>
      <c r="C86" s="232" t="str">
        <f>VLOOKUP(OPX_LE3!$A86,Tableau106[],2,FALSE)</f>
        <v>FR97S87E</v>
      </c>
      <c r="D86" s="232" t="str">
        <f>VLOOKUP(OPX_LE3!$A86,Tableau106[],8,FALSE)</f>
        <v>SOLAIRE DOM</v>
      </c>
      <c r="E86" s="233">
        <f>VLOOKUP(OPX_LE3!$A86,Tableau106[],4,FALSE)</f>
        <v>10.452</v>
      </c>
      <c r="F86" s="232" t="str">
        <f>VLOOKUP(OPX_LE3!$A86,Tableau106[],5,FALSE)</f>
        <v>ROSE</v>
      </c>
      <c r="G86" s="232" t="str">
        <f>VLOOKUP(OPX_LE3!$A86,Tableau106[],7,FALSE)</f>
        <v>GROUPE</v>
      </c>
      <c r="H86" s="232" t="str">
        <f>VLOOKUP(OPX_LE3!$A86,Tableau106[],6,FALSE)</f>
        <v>DOM</v>
      </c>
      <c r="I86" s="232" t="str">
        <f>VLOOKUP(OPX_LE3!$A86,Tableau106[],9,FALSE)</f>
        <v>BéK</v>
      </c>
      <c r="J86" s="254">
        <v>0</v>
      </c>
      <c r="K86" s="228">
        <v>0</v>
      </c>
      <c r="L86" s="228"/>
      <c r="M86" s="229">
        <v>0</v>
      </c>
      <c r="N86" s="229">
        <v>0</v>
      </c>
      <c r="O86" s="229">
        <v>0</v>
      </c>
      <c r="P86" s="229">
        <v>0</v>
      </c>
      <c r="Q86" s="229">
        <f>-250*OPX_LE3!$E86</f>
        <v>-2613</v>
      </c>
      <c r="R86" s="311">
        <f>SUM(OPX_LE3!$K86:$Q86)</f>
        <v>-2613</v>
      </c>
      <c r="S86" s="337">
        <v>-496936</v>
      </c>
      <c r="T86" s="361">
        <v>0</v>
      </c>
      <c r="U86" s="362">
        <v>0</v>
      </c>
      <c r="V86" s="361">
        <v>-30000</v>
      </c>
      <c r="W86" s="361"/>
      <c r="X86" s="361"/>
      <c r="Y86" s="361"/>
      <c r="Z86" s="264">
        <v>-40000</v>
      </c>
      <c r="AA86" s="423">
        <v>-11000</v>
      </c>
      <c r="AB86" s="273">
        <f>SUM(OPX_LE3!$T86:$AA86)</f>
        <v>-81000</v>
      </c>
      <c r="AC86" s="426"/>
      <c r="AD86" s="426">
        <v>0</v>
      </c>
      <c r="AE86" s="417">
        <v>0</v>
      </c>
      <c r="AF86" s="417">
        <v>0</v>
      </c>
      <c r="AG86" s="417">
        <v>0</v>
      </c>
      <c r="AH86" s="417">
        <v>0</v>
      </c>
      <c r="AI86" s="417">
        <v>0</v>
      </c>
      <c r="AJ86" s="317">
        <f>SUM(OPX_LE3!$AC86:$AI86)</f>
        <v>0</v>
      </c>
      <c r="AK86" s="424">
        <v>0</v>
      </c>
      <c r="AL86" s="276">
        <f>SUM(OPX_LE3!$J86,OPX_LE3!$AB86,OPX_LE3!$S86,OPX_LE3!$AJ86,OPX_LE3!$R86,OPX_LE3!$AK86)</f>
        <v>-580549</v>
      </c>
      <c r="AM86" s="427">
        <v>-190000</v>
      </c>
      <c r="AN86" s="427">
        <v>0</v>
      </c>
      <c r="AO86" s="6" t="s">
        <v>872</v>
      </c>
    </row>
    <row r="87" spans="1:41" ht="15">
      <c r="A87" s="325" t="s">
        <v>520</v>
      </c>
      <c r="B87" s="322" t="str">
        <f>VLOOKUP(OPX_LE3!$A87,Tableau106[],3,FALSE)</f>
        <v>A257</v>
      </c>
      <c r="C87" s="322" t="str">
        <f>VLOOKUP(OPX_LE3!$A87,Tableau106[],2,FALSE)</f>
        <v>FR01S06E</v>
      </c>
      <c r="D87" s="322" t="str">
        <f>VLOOKUP(OPX_LE3!$A87,Tableau106[],8,FALSE)</f>
        <v>SOLAIRE</v>
      </c>
      <c r="E87" s="324">
        <f>VLOOKUP(OPX_LE3!$A87,Tableau106[],4,FALSE)</f>
        <v>2.9</v>
      </c>
      <c r="F87" s="322" t="str">
        <f>VLOOKUP(OPX_LE3!$A87,Tableau106[],5,FALSE)</f>
        <v>LAGN</v>
      </c>
      <c r="G87" s="322" t="str">
        <f>VLOOKUP(OPX_LE3!$A87,Tableau106[],7,FALSE)</f>
        <v>GROUPE</v>
      </c>
      <c r="H87" s="322" t="str">
        <f>VLOOKUP(OPX_LE3!$A87,Tableau106[],6,FALSE)</f>
        <v>S</v>
      </c>
      <c r="I87" s="322" t="str">
        <f>VLOOKUP(OPX_LE3!$A87,Tableau106[],9,FALSE)</f>
        <v>ArB</v>
      </c>
      <c r="J87" s="254">
        <v>0</v>
      </c>
      <c r="K87" s="228">
        <v>0</v>
      </c>
      <c r="L87" s="228"/>
      <c r="M87" s="229">
        <v>0</v>
      </c>
      <c r="N87" s="229">
        <v>0</v>
      </c>
      <c r="O87" s="229">
        <v>0</v>
      </c>
      <c r="P87" s="229">
        <v>0</v>
      </c>
      <c r="Q87" s="229">
        <f>-250*OPX_LE3!$E87</f>
        <v>-725</v>
      </c>
      <c r="R87" s="311">
        <f>SUM(OPX_LE3!$K87:$Q87)</f>
        <v>-725</v>
      </c>
      <c r="S87" s="337">
        <v>-19280</v>
      </c>
      <c r="T87" s="361">
        <v>-1500</v>
      </c>
      <c r="U87" s="362">
        <v>0</v>
      </c>
      <c r="V87" s="361">
        <v>-2405</v>
      </c>
      <c r="W87" s="361">
        <v>0</v>
      </c>
      <c r="X87" s="361">
        <v>0</v>
      </c>
      <c r="Y87" s="361">
        <v>0</v>
      </c>
      <c r="Z87" s="264">
        <v>-725</v>
      </c>
      <c r="AA87" s="423">
        <v>-400</v>
      </c>
      <c r="AB87" s="273">
        <f>SUM(OPX_LE3!$T87:$AA87)</f>
        <v>-5030</v>
      </c>
      <c r="AC87" s="426"/>
      <c r="AD87" s="426">
        <v>0</v>
      </c>
      <c r="AE87" s="417">
        <v>0</v>
      </c>
      <c r="AF87" s="417">
        <v>0</v>
      </c>
      <c r="AG87" s="417">
        <v>0</v>
      </c>
      <c r="AH87" s="417">
        <v>-6987.5</v>
      </c>
      <c r="AI87" s="417">
        <v>0</v>
      </c>
      <c r="AJ87" s="317">
        <f>SUM(OPX_LE3!$AC87:$AI87)</f>
        <v>-6987.5</v>
      </c>
      <c r="AK87" s="424">
        <v>0</v>
      </c>
      <c r="AL87" s="276">
        <f>SUM(OPX_LE3!$J87,OPX_LE3!$AB87,OPX_LE3!$S87,OPX_LE3!$AJ87,OPX_LE3!$R87,OPX_LE3!$AK87)</f>
        <v>-32022.5</v>
      </c>
      <c r="AM87" s="427">
        <v>0</v>
      </c>
      <c r="AN87" s="427">
        <v>0</v>
      </c>
    </row>
    <row r="88" spans="1:41" ht="15">
      <c r="A88" s="244" t="s">
        <v>499</v>
      </c>
      <c r="B88" s="232" t="str">
        <f>VLOOKUP(OPX_LE3!$A88,Tableau106[],3,FALSE)</f>
        <v>A540</v>
      </c>
      <c r="C88" s="232" t="str">
        <f>VLOOKUP(OPX_LE3!$A88,Tableau106[],2,FALSE)</f>
        <v>FR22E03E</v>
      </c>
      <c r="D88" s="232" t="str">
        <f>VLOOKUP(OPX_LE3!$A88,Tableau106[],8,FALSE)</f>
        <v>EOLIEN</v>
      </c>
      <c r="E88" s="233">
        <f>VLOOKUP(OPX_LE3!$A88,Tableau106[],4,FALSE)</f>
        <v>10</v>
      </c>
      <c r="F88" s="232" t="str">
        <f>VLOOKUP(OPX_LE3!$A88,Tableau106[],5,FALSE)</f>
        <v>LDTE</v>
      </c>
      <c r="G88" s="232" t="str">
        <f>VLOOKUP(OPX_LE3!$A88,Tableau106[],7,FALSE)</f>
        <v>EGM</v>
      </c>
      <c r="H88" s="232" t="str">
        <f>VLOOKUP(OPX_LE3!$A88,Tableau106[],6,FALSE)</f>
        <v>N</v>
      </c>
      <c r="I88" s="232" t="str">
        <f>VLOOKUP(OPX_LE3!$A88,Tableau106[],9,FALSE)</f>
        <v>BoK</v>
      </c>
      <c r="J88" s="254">
        <v>-258123</v>
      </c>
      <c r="K88" s="228">
        <v>-251000</v>
      </c>
      <c r="L88" s="228"/>
      <c r="M88" s="229">
        <v>0</v>
      </c>
      <c r="N88" s="229">
        <v>0</v>
      </c>
      <c r="O88" s="229">
        <v>-3188.7</v>
      </c>
      <c r="P88" s="229">
        <v>-3500</v>
      </c>
      <c r="Q88" s="229">
        <f>-250*OPX_LE3!$E88</f>
        <v>-2500</v>
      </c>
      <c r="R88" s="311">
        <f>SUM(OPX_LE3!$K88:$Q88)</f>
        <v>-260188.7</v>
      </c>
      <c r="S88" s="337">
        <v>0</v>
      </c>
      <c r="T88" s="361">
        <v>0</v>
      </c>
      <c r="U88" s="362">
        <v>0</v>
      </c>
      <c r="V88" s="361">
        <v>-2000</v>
      </c>
      <c r="W88" s="361">
        <v>0</v>
      </c>
      <c r="X88" s="361">
        <v>-4000</v>
      </c>
      <c r="Y88" s="361">
        <v>0</v>
      </c>
      <c r="Z88" s="264">
        <f>-2500-3750</f>
        <v>-6250</v>
      </c>
      <c r="AA88" s="423"/>
      <c r="AB88" s="273">
        <f>SUM(OPX_LE3!$T88:$AA88)</f>
        <v>-12250</v>
      </c>
      <c r="AC88" s="426"/>
      <c r="AD88" s="426"/>
      <c r="AE88" s="417">
        <v>0</v>
      </c>
      <c r="AF88" s="417">
        <v>0</v>
      </c>
      <c r="AG88" s="417">
        <v>0</v>
      </c>
      <c r="AH88" s="417">
        <v>0</v>
      </c>
      <c r="AI88" s="417">
        <v>0</v>
      </c>
      <c r="AJ88" s="317">
        <f>SUM(OPX_LE3!$AC88:$AI88)</f>
        <v>0</v>
      </c>
      <c r="AK88" s="424">
        <v>0</v>
      </c>
      <c r="AL88" s="276">
        <f>SUM(OPX_LE3!$J88,OPX_LE3!$AB88,OPX_LE3!$S88,OPX_LE3!$AJ88,OPX_LE3!$R88,OPX_LE3!$AK88)</f>
        <v>-530561.69999999995</v>
      </c>
      <c r="AM88" s="427">
        <v>-66000</v>
      </c>
      <c r="AN88" s="427">
        <v>-178000</v>
      </c>
      <c r="AO88" s="6" t="s">
        <v>1526</v>
      </c>
    </row>
    <row r="89" spans="1:41" ht="15">
      <c r="A89" s="325" t="s">
        <v>546</v>
      </c>
      <c r="B89" s="322" t="str">
        <f>VLOOKUP(OPX_LE3!$A89,Tableau106[],3,FALSE)</f>
        <v>A541</v>
      </c>
      <c r="C89" s="322" t="str">
        <f>VLOOKUP(OPX_LE3!$A89,Tableau106[],2,FALSE)</f>
        <v>FR55E04E</v>
      </c>
      <c r="D89" s="322" t="str">
        <f>VLOOKUP(OPX_LE3!$A89,Tableau106[],8,FALSE)</f>
        <v>EOLIEN</v>
      </c>
      <c r="E89" s="324">
        <f>VLOOKUP(OPX_LE3!$A89,Tableau106[],4,FALSE)</f>
        <v>11.5</v>
      </c>
      <c r="F89" s="322" t="str">
        <f>VLOOKUP(OPX_LE3!$A89,Tableau106[],5,FALSE)</f>
        <v>LANE</v>
      </c>
      <c r="G89" s="322" t="str">
        <f>VLOOKUP(OPX_LE3!$A89,Tableau106[],7,FALSE)</f>
        <v>EGM</v>
      </c>
      <c r="H89" s="322" t="str">
        <f>VLOOKUP(OPX_LE3!$A89,Tableau106[],6,FALSE)</f>
        <v>N</v>
      </c>
      <c r="I89" s="322" t="str">
        <f>VLOOKUP(OPX_LE3!$A89,Tableau106[],9,FALSE)</f>
        <v>MaA</v>
      </c>
      <c r="J89" s="254">
        <v>-258123</v>
      </c>
      <c r="K89" s="228">
        <v>-504630</v>
      </c>
      <c r="L89" s="228"/>
      <c r="M89" s="229">
        <v>0</v>
      </c>
      <c r="N89" s="229">
        <v>0</v>
      </c>
      <c r="O89" s="229">
        <v>-3000</v>
      </c>
      <c r="P89" s="229">
        <f>-4025-10754</f>
        <v>-14779</v>
      </c>
      <c r="Q89" s="229">
        <f>-250*OPX_LE3!$E89</f>
        <v>-2875</v>
      </c>
      <c r="R89" s="311">
        <f>SUM(OPX_LE3!$K89:$Q89)</f>
        <v>-525284</v>
      </c>
      <c r="S89" s="337">
        <v>-31123</v>
      </c>
      <c r="T89" s="361">
        <v>0</v>
      </c>
      <c r="U89" s="362">
        <v>0</v>
      </c>
      <c r="V89" s="361">
        <v>-2000</v>
      </c>
      <c r="W89" s="361">
        <v>0</v>
      </c>
      <c r="X89" s="361">
        <v>-4000</v>
      </c>
      <c r="Y89" s="361">
        <v>0</v>
      </c>
      <c r="Z89" s="264">
        <f>-2875- 23750-1400</f>
        <v>-28025</v>
      </c>
      <c r="AA89" s="423"/>
      <c r="AB89" s="273">
        <f>SUM(OPX_LE3!$T89:$AA89)</f>
        <v>-34025</v>
      </c>
      <c r="AC89" s="426"/>
      <c r="AD89" s="426"/>
      <c r="AE89" s="417">
        <v>0</v>
      </c>
      <c r="AF89" s="417">
        <v>0</v>
      </c>
      <c r="AG89" s="417">
        <v>0</v>
      </c>
      <c r="AH89" s="417">
        <v>0</v>
      </c>
      <c r="AI89" s="417">
        <v>0</v>
      </c>
      <c r="AJ89" s="317">
        <f>SUM(OPX_LE3!$AC89:$AI89)</f>
        <v>0</v>
      </c>
      <c r="AK89" s="424">
        <v>0</v>
      </c>
      <c r="AL89" s="276">
        <f>SUM(OPX_LE3!$J89,OPX_LE3!$AB89,OPX_LE3!$S89,OPX_LE3!$AJ89,OPX_LE3!$R89,OPX_LE3!$AK89)</f>
        <v>-848555</v>
      </c>
      <c r="AM89" s="427">
        <v>0</v>
      </c>
      <c r="AN89" s="427">
        <f>(113466+341500)*-1</f>
        <v>-454966</v>
      </c>
      <c r="AO89" s="6" t="s">
        <v>725</v>
      </c>
    </row>
    <row r="90" spans="1:41" ht="15">
      <c r="A90" s="244" t="s">
        <v>522</v>
      </c>
      <c r="B90" s="232" t="str">
        <f>VLOOKUP(OPX_LE3!$A90,Tableau106[],3,FALSE)</f>
        <v>A258</v>
      </c>
      <c r="C90" s="232" t="str">
        <f>VLOOKUP(OPX_LE3!$A90,Tableau106[],2,FALSE)</f>
        <v>FR05S02E</v>
      </c>
      <c r="D90" s="232" t="str">
        <f>VLOOKUP(OPX_LE3!$A90,Tableau106[],8,FALSE)</f>
        <v>SOLAIRE</v>
      </c>
      <c r="E90" s="233">
        <f>VLOOKUP(OPX_LE3!$A90,Tableau106[],4,FALSE)</f>
        <v>19.8</v>
      </c>
      <c r="F90" s="232" t="str">
        <f>VLOOKUP(OPX_LE3!$A90,Tableau106[],5,FALSE)</f>
        <v>LAZE</v>
      </c>
      <c r="G90" s="232" t="str">
        <f>VLOOKUP(OPX_LE3!$A90,Tableau106[],7,FALSE)</f>
        <v>GROUPE</v>
      </c>
      <c r="H90" s="232" t="str">
        <f>VLOOKUP(OPX_LE3!$A90,Tableau106[],6,FALSE)</f>
        <v>S</v>
      </c>
      <c r="I90" s="232" t="str">
        <f>VLOOKUP(OPX_LE3!$A90,Tableau106[],9,FALSE)</f>
        <v>ArB</v>
      </c>
      <c r="J90" s="254">
        <v>-80000</v>
      </c>
      <c r="K90" s="228">
        <v>0</v>
      </c>
      <c r="L90" s="228"/>
      <c r="M90" s="229">
        <v>0</v>
      </c>
      <c r="N90" s="229">
        <v>0</v>
      </c>
      <c r="O90" s="229">
        <v>0</v>
      </c>
      <c r="P90" s="229">
        <v>0</v>
      </c>
      <c r="Q90" s="229">
        <f>-250*OPX_LE3!$E90</f>
        <v>-4950</v>
      </c>
      <c r="R90" s="311">
        <f>SUM(OPX_LE3!$K90:$Q90)</f>
        <v>-4950</v>
      </c>
      <c r="S90" s="337"/>
      <c r="T90" s="361">
        <v>0</v>
      </c>
      <c r="U90" s="362">
        <v>0</v>
      </c>
      <c r="V90" s="361">
        <v>0</v>
      </c>
      <c r="W90" s="361">
        <v>0</v>
      </c>
      <c r="X90" s="361">
        <v>0</v>
      </c>
      <c r="Y90" s="361">
        <v>0</v>
      </c>
      <c r="Z90" s="264">
        <v>-4950</v>
      </c>
      <c r="AA90" s="423">
        <v>-8000</v>
      </c>
      <c r="AB90" s="273">
        <f>SUM(OPX_LE3!$T90:$AA90)</f>
        <v>-12950</v>
      </c>
      <c r="AC90" s="426"/>
      <c r="AD90" s="426">
        <v>0</v>
      </c>
      <c r="AE90" s="417">
        <v>0</v>
      </c>
      <c r="AF90" s="417">
        <v>0</v>
      </c>
      <c r="AG90" s="417">
        <v>0</v>
      </c>
      <c r="AH90" s="417">
        <v>0</v>
      </c>
      <c r="AI90" s="417">
        <v>0</v>
      </c>
      <c r="AJ90" s="317">
        <f>SUM(OPX_LE3!$AC90:$AI90)</f>
        <v>0</v>
      </c>
      <c r="AK90" s="424">
        <v>0</v>
      </c>
      <c r="AL90" s="276">
        <f>SUM(OPX_LE3!$J90,OPX_LE3!$AB90,OPX_LE3!$S90,OPX_LE3!$AJ90,OPX_LE3!$R90,OPX_LE3!$AK90)</f>
        <v>-97900</v>
      </c>
      <c r="AM90" s="427">
        <v>-50000</v>
      </c>
      <c r="AN90" s="427">
        <v>0</v>
      </c>
      <c r="AO90" s="6" t="s">
        <v>873</v>
      </c>
    </row>
    <row r="91" spans="1:41" ht="15">
      <c r="A91" s="325" t="s">
        <v>523</v>
      </c>
      <c r="B91" s="322" t="str">
        <f>VLOOKUP(OPX_LE3!$A91,Tableau106[],3,FALSE)</f>
        <v>A272</v>
      </c>
      <c r="C91" s="322" t="str">
        <f>VLOOKUP(OPX_LE3!$A91,Tableau106[],2,FALSE)</f>
        <v>FR07S04E</v>
      </c>
      <c r="D91" s="322" t="str">
        <f>VLOOKUP(OPX_LE3!$A91,Tableau106[],8,FALSE)</f>
        <v>SOLAIRE</v>
      </c>
      <c r="E91" s="324">
        <f>VLOOKUP(OPX_LE3!$A91,Tableau106[],4,FALSE)</f>
        <v>8.1999999999999993</v>
      </c>
      <c r="F91" s="322" t="str">
        <f>VLOOKUP(OPX_LE3!$A91,Tableau106[],5,FALSE)</f>
        <v>PZIN</v>
      </c>
      <c r="G91" s="322" t="str">
        <f>VLOOKUP(OPX_LE3!$A91,Tableau106[],7,FALSE)</f>
        <v>GROUPE</v>
      </c>
      <c r="H91" s="322" t="str">
        <f>VLOOKUP(OPX_LE3!$A91,Tableau106[],6,FALSE)</f>
        <v>S</v>
      </c>
      <c r="I91" s="322" t="str">
        <f>VLOOKUP(OPX_LE3!$A91,Tableau106[],9,FALSE)</f>
        <v>ArB</v>
      </c>
      <c r="J91" s="359">
        <v>-37806</v>
      </c>
      <c r="K91" s="228">
        <v>-28040</v>
      </c>
      <c r="L91" s="228"/>
      <c r="M91" s="229">
        <v>0</v>
      </c>
      <c r="N91" s="229">
        <v>0</v>
      </c>
      <c r="O91" s="229">
        <v>0</v>
      </c>
      <c r="P91" s="229">
        <v>0</v>
      </c>
      <c r="Q91" s="229">
        <f>-250*OPX_LE3!$E91</f>
        <v>-2050</v>
      </c>
      <c r="R91" s="311">
        <f>SUM(OPX_LE3!$K91:$Q91)</f>
        <v>-30090</v>
      </c>
      <c r="S91" s="337">
        <v>0</v>
      </c>
      <c r="T91" s="361">
        <v>0</v>
      </c>
      <c r="U91" s="362">
        <v>0</v>
      </c>
      <c r="V91" s="361">
        <v>0</v>
      </c>
      <c r="W91" s="361">
        <v>0</v>
      </c>
      <c r="X91" s="361">
        <v>0</v>
      </c>
      <c r="Y91" s="361">
        <v>0</v>
      </c>
      <c r="Z91" s="264">
        <v>-2050</v>
      </c>
      <c r="AA91" s="423">
        <v>-3400</v>
      </c>
      <c r="AB91" s="273">
        <f>SUM(OPX_LE3!$T91:$AA91)</f>
        <v>-5450</v>
      </c>
      <c r="AC91" s="426"/>
      <c r="AD91" s="426">
        <v>0</v>
      </c>
      <c r="AE91" s="417">
        <v>0</v>
      </c>
      <c r="AF91" s="417">
        <v>0</v>
      </c>
      <c r="AG91" s="417">
        <v>0</v>
      </c>
      <c r="AH91" s="417">
        <v>-4950</v>
      </c>
      <c r="AI91" s="417">
        <v>0</v>
      </c>
      <c r="AJ91" s="317">
        <f>SUM(OPX_LE3!$AC91:$AI91)</f>
        <v>-4950</v>
      </c>
      <c r="AK91" s="424">
        <v>0</v>
      </c>
      <c r="AL91" s="276">
        <f>SUM(OPX_LE3!$J91,OPX_LE3!$AB91,OPX_LE3!$S91,OPX_LE3!$AJ91,OPX_LE3!$R91,OPX_LE3!$AK91)</f>
        <v>-78296</v>
      </c>
      <c r="AM91" s="427">
        <v>0</v>
      </c>
      <c r="AN91" s="427">
        <v>0</v>
      </c>
    </row>
    <row r="92" spans="1:41" ht="15">
      <c r="A92" s="244" t="s">
        <v>606</v>
      </c>
      <c r="B92" s="232" t="str">
        <f>VLOOKUP(OPX_LE3!$A92,Tableau106[],3,FALSE)</f>
        <v>A540</v>
      </c>
      <c r="C92" s="232" t="str">
        <f>VLOOKUP(OPX_LE3!$A92,Tableau106[],2,FALSE)</f>
        <v>FR56E03E</v>
      </c>
      <c r="D92" s="232" t="str">
        <f>VLOOKUP(OPX_LE3!$A92,Tableau106[],8,FALSE)</f>
        <v>EOLIEN</v>
      </c>
      <c r="E92" s="233">
        <f>VLOOKUP(OPX_LE3!$A92,Tableau106[],4,FALSE)</f>
        <v>4.8499999999999996</v>
      </c>
      <c r="F92" s="232" t="str">
        <f>VLOOKUP(OPX_LE3!$A92,Tableau106[],5,FALSE)</f>
        <v>LERO</v>
      </c>
      <c r="G92" s="232" t="str">
        <f>VLOOKUP(OPX_LE3!$A92,Tableau106[],7,FALSE)</f>
        <v>EGM</v>
      </c>
      <c r="H92" s="232" t="str">
        <f>VLOOKUP(OPX_LE3!$A92,Tableau106[],6,FALSE)</f>
        <v>N</v>
      </c>
      <c r="I92" s="232" t="str">
        <f>VLOOKUP(OPX_LE3!$A92,Tableau106[],9,FALSE)</f>
        <v>DeN</v>
      </c>
      <c r="J92" s="254">
        <v>-135355</v>
      </c>
      <c r="K92" s="228">
        <v>-27150.000000000004</v>
      </c>
      <c r="L92" s="228"/>
      <c r="M92" s="229">
        <v>0</v>
      </c>
      <c r="N92" s="229">
        <v>0</v>
      </c>
      <c r="O92" s="229">
        <v>0</v>
      </c>
      <c r="P92" s="229">
        <v>-1697.5</v>
      </c>
      <c r="Q92" s="229">
        <f>-250*OPX_LE3!$E92</f>
        <v>-1212.5</v>
      </c>
      <c r="R92" s="311">
        <f>SUM(OPX_LE3!$K92:$Q92)</f>
        <v>-30060.000000000004</v>
      </c>
      <c r="S92" s="337">
        <v>0</v>
      </c>
      <c r="T92" s="361">
        <v>0</v>
      </c>
      <c r="U92" s="362">
        <v>0</v>
      </c>
      <c r="V92" s="361">
        <v>-1000</v>
      </c>
      <c r="W92" s="361">
        <v>0</v>
      </c>
      <c r="X92" s="361">
        <v>0</v>
      </c>
      <c r="Y92" s="361">
        <v>0</v>
      </c>
      <c r="Z92" s="264">
        <v>-1212.5</v>
      </c>
      <c r="AA92" s="423"/>
      <c r="AB92" s="273">
        <f>SUM(OPX_LE3!$T92:$AA92)</f>
        <v>-2212.5</v>
      </c>
      <c r="AC92" s="426"/>
      <c r="AD92" s="426"/>
      <c r="AE92" s="417">
        <v>0</v>
      </c>
      <c r="AF92" s="417">
        <v>0</v>
      </c>
      <c r="AG92" s="417">
        <v>0</v>
      </c>
      <c r="AH92" s="417">
        <v>0</v>
      </c>
      <c r="AI92" s="417">
        <v>0</v>
      </c>
      <c r="AJ92" s="317">
        <f>SUM(OPX_LE3!$AC92:$AI92)</f>
        <v>0</v>
      </c>
      <c r="AK92" s="424">
        <v>0</v>
      </c>
      <c r="AL92" s="276">
        <f>SUM(OPX_LE3!$J92,OPX_LE3!$AB92,OPX_LE3!$S92,OPX_LE3!$AJ92,OPX_LE3!$R92,OPX_LE3!$AK92)</f>
        <v>-167627.5</v>
      </c>
      <c r="AM92" s="427">
        <v>0</v>
      </c>
      <c r="AN92" s="427">
        <v>-22000</v>
      </c>
      <c r="AO92" s="6" t="s">
        <v>725</v>
      </c>
    </row>
    <row r="93" spans="1:41" ht="15">
      <c r="A93" s="325" t="s">
        <v>192</v>
      </c>
      <c r="B93" s="322" t="str">
        <f>VLOOKUP(OPX_LE3!$A93,Tableau106[],3,FALSE)</f>
        <v>F247</v>
      </c>
      <c r="C93" s="322" t="str">
        <f>VLOOKUP(OPX_LE3!$A93,Tableau106[],2,FALSE)</f>
        <v>FR10E02E</v>
      </c>
      <c r="D93" s="322" t="str">
        <f>VLOOKUP(OPX_LE3!$A93,Tableau106[],8,FALSE)</f>
        <v>EOLIEN</v>
      </c>
      <c r="E93" s="324">
        <f>VLOOKUP(OPX_LE3!$A93,Tableau106[],4,FALSE)</f>
        <v>37.950000000000003</v>
      </c>
      <c r="F93" s="322" t="str">
        <f>VLOOKUP(OPX_LE3!$A93,Tableau106[],5,FALSE)</f>
        <v>COT1, COT2, COT3, COT4</v>
      </c>
      <c r="G93" s="322" t="str">
        <f>VLOOKUP(OPX_LE3!$A93,Tableau106[],7,FALSE)</f>
        <v>FUTUREN</v>
      </c>
      <c r="H93" s="322" t="str">
        <f>VLOOKUP(OPX_LE3!$A93,Tableau106[],6,FALSE)</f>
        <v>N</v>
      </c>
      <c r="I93" s="322" t="str">
        <f>VLOOKUP(OPX_LE3!$A93,Tableau106[],9,FALSE)</f>
        <v>MéS</v>
      </c>
      <c r="J93" s="254">
        <v>-628318</v>
      </c>
      <c r="K93" s="228">
        <v>-22980</v>
      </c>
      <c r="L93" s="228"/>
      <c r="M93" s="229">
        <v>0</v>
      </c>
      <c r="N93" s="229">
        <v>0</v>
      </c>
      <c r="O93" s="229">
        <v>0</v>
      </c>
      <c r="P93" s="229">
        <f>-440*Tableau16[[#This Row],[MW]]</f>
        <v>-16698</v>
      </c>
      <c r="Q93" s="229">
        <f>-250*OPX_LE3!$E93</f>
        <v>-9487.5</v>
      </c>
      <c r="R93" s="311">
        <f>SUM(OPX_LE3!$K93:$Q93)</f>
        <v>-49165.5</v>
      </c>
      <c r="S93" s="337">
        <v>0</v>
      </c>
      <c r="T93" s="378">
        <f>-2*1026-2536</f>
        <v>-4588</v>
      </c>
      <c r="U93" s="362">
        <v>0</v>
      </c>
      <c r="V93" s="379">
        <v>-5800</v>
      </c>
      <c r="W93" s="361">
        <v>0</v>
      </c>
      <c r="X93" s="361">
        <v>0</v>
      </c>
      <c r="Y93" s="361">
        <v>0</v>
      </c>
      <c r="Z93" s="264">
        <v>-9487.5</v>
      </c>
      <c r="AA93" s="423"/>
      <c r="AB93" s="273">
        <f>SUM(OPX_LE3!$T93:$AA93)</f>
        <v>-19875.5</v>
      </c>
      <c r="AC93" s="426"/>
      <c r="AD93" s="426"/>
      <c r="AE93" s="417">
        <v>-3250</v>
      </c>
      <c r="AF93" s="417">
        <v>-4583</v>
      </c>
      <c r="AG93" s="417">
        <v>0</v>
      </c>
      <c r="AH93" s="417">
        <v>0</v>
      </c>
      <c r="AI93" s="417">
        <f>-6483-539</f>
        <v>-7022</v>
      </c>
      <c r="AJ93" s="317">
        <f>SUM(OPX_LE3!$AC93:$AI93)</f>
        <v>-14855</v>
      </c>
      <c r="AK93" s="403">
        <v>-15938</v>
      </c>
      <c r="AL93" s="276">
        <f>SUM(OPX_LE3!$J93,OPX_LE3!$AB93,OPX_LE3!$S93,OPX_LE3!$AJ93,OPX_LE3!$R93,OPX_LE3!$AK93)</f>
        <v>-728152</v>
      </c>
      <c r="AM93" s="427">
        <v>0</v>
      </c>
      <c r="AN93" s="427">
        <v>0</v>
      </c>
    </row>
    <row r="94" spans="1:41" ht="15">
      <c r="A94" s="244" t="s">
        <v>194</v>
      </c>
      <c r="B94" s="232" t="str">
        <f>VLOOKUP(OPX_LE3!$A94,Tableau106[],3,FALSE)</f>
        <v>F046</v>
      </c>
      <c r="C94" s="232" t="str">
        <f>VLOOKUP(OPX_LE3!$A94,Tableau106[],2,FALSE)</f>
        <v>FR10E03E</v>
      </c>
      <c r="D94" s="232" t="str">
        <f>VLOOKUP(OPX_LE3!$A94,Tableau106[],8,FALSE)</f>
        <v>EOLIEN</v>
      </c>
      <c r="E94" s="233">
        <f>VLOOKUP(OPX_LE3!$A94,Tableau106[],4,FALSE)</f>
        <v>13.2</v>
      </c>
      <c r="F94" s="232" t="str">
        <f>VLOOKUP(OPX_LE3!$A94,Tableau106[],5,FALSE)</f>
        <v>LEMO</v>
      </c>
      <c r="G94" s="232" t="str">
        <f>VLOOKUP(OPX_LE3!$A94,Tableau106[],7,FALSE)</f>
        <v>FUTUREN</v>
      </c>
      <c r="H94" s="232" t="str">
        <f>VLOOKUP(OPX_LE3!$A94,Tableau106[],6,FALSE)</f>
        <v>N</v>
      </c>
      <c r="I94" s="232" t="str">
        <f>VLOOKUP(OPX_LE3!$A94,Tableau106[],9,FALSE)</f>
        <v>MéS</v>
      </c>
      <c r="J94" s="254">
        <v>-13037</v>
      </c>
      <c r="K94" s="228">
        <v>-2310</v>
      </c>
      <c r="L94" s="228"/>
      <c r="M94" s="229">
        <v>0</v>
      </c>
      <c r="N94" s="229">
        <v>0</v>
      </c>
      <c r="O94" s="229">
        <v>0</v>
      </c>
      <c r="P94" s="229">
        <f>-440*Tableau16[[#This Row],[MW]]/2</f>
        <v>-2904</v>
      </c>
      <c r="Q94" s="229">
        <f>-250*OPX_LE3!$E94</f>
        <v>-3300</v>
      </c>
      <c r="R94" s="311">
        <f>SUM(OPX_LE3!$K94:$Q94)</f>
        <v>-8514</v>
      </c>
      <c r="S94" s="337">
        <v>-252488</v>
      </c>
      <c r="T94" s="404">
        <v>-684</v>
      </c>
      <c r="U94" s="362">
        <v>0</v>
      </c>
      <c r="V94" s="380">
        <v>-4600</v>
      </c>
      <c r="W94" s="405">
        <v>-1800</v>
      </c>
      <c r="X94" s="361">
        <v>0</v>
      </c>
      <c r="Y94" s="361">
        <v>0</v>
      </c>
      <c r="Z94" s="264">
        <v>-3300</v>
      </c>
      <c r="AA94" s="405">
        <v>-2100</v>
      </c>
      <c r="AB94" s="273">
        <f>SUM(OPX_LE3!$T94:$AA94)</f>
        <v>-12484</v>
      </c>
      <c r="AC94" s="426"/>
      <c r="AD94" s="426"/>
      <c r="AE94" s="417">
        <v>0</v>
      </c>
      <c r="AF94" s="417">
        <v>-1667</v>
      </c>
      <c r="AG94" s="417">
        <v>0</v>
      </c>
      <c r="AH94" s="417">
        <v>0</v>
      </c>
      <c r="AI94" s="417">
        <f>-6483-207.42</f>
        <v>-6690.42</v>
      </c>
      <c r="AJ94" s="317">
        <f>SUM(OPX_LE3!$AC94:$AI94)</f>
        <v>-8357.42</v>
      </c>
      <c r="AK94" s="406" t="s">
        <v>874</v>
      </c>
      <c r="AL94" s="276">
        <f>SUM(OPX_LE3!$J94,OPX_LE3!$AB94,OPX_LE3!$S94,OPX_LE3!$AJ94,OPX_LE3!$R94,OPX_LE3!$AK94)</f>
        <v>-294880.42</v>
      </c>
      <c r="AM94" s="427">
        <v>-15000</v>
      </c>
      <c r="AN94" s="427">
        <v>0</v>
      </c>
    </row>
    <row r="95" spans="1:41" ht="15">
      <c r="A95" s="325" t="s">
        <v>495</v>
      </c>
      <c r="B95" s="322" t="str">
        <f>VLOOKUP(OPX_LE3!$A95,Tableau106[],3,FALSE)</f>
        <v>A366</v>
      </c>
      <c r="C95" s="322" t="str">
        <f>VLOOKUP(OPX_LE3!$A95,Tableau106[],2,FALSE)</f>
        <v>FR48E96E</v>
      </c>
      <c r="D95" s="322" t="str">
        <f>VLOOKUP(OPX_LE3!$A95,Tableau106[],8,FALSE)</f>
        <v>EOLIEN</v>
      </c>
      <c r="E95" s="324">
        <f>VLOOKUP(OPX_LE3!$A95,Tableau106[],4,FALSE)</f>
        <v>27.18</v>
      </c>
      <c r="F95" s="322" t="str">
        <f>VLOOKUP(OPX_LE3!$A95,Tableau106[],5,FALSE)</f>
        <v>TAIL</v>
      </c>
      <c r="G95" s="322" t="str">
        <f>VLOOKUP(OPX_LE3!$A95,Tableau106[],7,FALSE)</f>
        <v>GROUPE</v>
      </c>
      <c r="H95" s="322" t="str">
        <f>VLOOKUP(OPX_LE3!$A95,Tableau106[],6,FALSE)</f>
        <v>S</v>
      </c>
      <c r="I95" s="322" t="str">
        <f>VLOOKUP(OPX_LE3!$A95,Tableau106[],9,FALSE)</f>
        <v>StE</v>
      </c>
      <c r="J95" s="254">
        <v>0</v>
      </c>
      <c r="K95" s="228">
        <v>0</v>
      </c>
      <c r="L95" s="228"/>
      <c r="M95" s="229">
        <v>0</v>
      </c>
      <c r="N95" s="229">
        <v>0</v>
      </c>
      <c r="O95" s="229">
        <v>-3200</v>
      </c>
      <c r="P95" s="229">
        <v>-11968</v>
      </c>
      <c r="Q95" s="229">
        <f>-250*OPX_LE3!$E95</f>
        <v>-6795</v>
      </c>
      <c r="R95" s="311">
        <f>SUM(OPX_LE3!$K95:$Q95)</f>
        <v>-21963</v>
      </c>
      <c r="S95" s="337">
        <v>-279087</v>
      </c>
      <c r="T95" s="361">
        <f>-10000-30000</f>
        <v>-40000</v>
      </c>
      <c r="U95" s="362">
        <v>0</v>
      </c>
      <c r="V95" s="361">
        <v>-9000</v>
      </c>
      <c r="W95" s="361">
        <v>-10000</v>
      </c>
      <c r="X95" s="361">
        <v>-4000</v>
      </c>
      <c r="Y95" s="361">
        <v>0</v>
      </c>
      <c r="Z95" s="264">
        <v>-15000</v>
      </c>
      <c r="AA95" s="423">
        <v>-10000</v>
      </c>
      <c r="AB95" s="273">
        <f>SUM(OPX_LE3!$T95:$AA95)</f>
        <v>-88000</v>
      </c>
      <c r="AC95" s="426">
        <f>-15000-50000</f>
        <v>-65000</v>
      </c>
      <c r="AD95" s="426">
        <f t="shared" ref="AD95" si="3">-4924*1.03</f>
        <v>-5071.72</v>
      </c>
      <c r="AE95" s="417">
        <v>0</v>
      </c>
      <c r="AF95" s="417">
        <v>-15475</v>
      </c>
      <c r="AG95" s="417">
        <v>-47516</v>
      </c>
      <c r="AH95" s="417">
        <v>0</v>
      </c>
      <c r="AI95" s="417">
        <v>0</v>
      </c>
      <c r="AJ95" s="317">
        <f>SUM(OPX_LE3!$AC95:$AI95)</f>
        <v>-133062.72</v>
      </c>
      <c r="AK95" s="424">
        <v>0</v>
      </c>
      <c r="AL95" s="276">
        <f>SUM(OPX_LE3!$J95,OPX_LE3!$AB95,OPX_LE3!$S95,OPX_LE3!$AJ95,OPX_LE3!$R95,OPX_LE3!$AK95)</f>
        <v>-522112.72</v>
      </c>
      <c r="AM95" s="427">
        <v>0</v>
      </c>
      <c r="AN95" s="427">
        <v>0</v>
      </c>
    </row>
    <row r="96" spans="1:41" ht="15">
      <c r="A96" s="244" t="s">
        <v>579</v>
      </c>
      <c r="B96" s="232" t="str">
        <f>VLOOKUP(OPX_LE3!$A96,Tableau106[],3,FALSE)</f>
        <v>A899</v>
      </c>
      <c r="C96" s="232" t="str">
        <f>VLOOKUP(OPX_LE3!$A96,Tableau106[],2,FALSE)</f>
        <v>FR25E01E</v>
      </c>
      <c r="D96" s="232" t="str">
        <f>VLOOKUP(OPX_LE3!$A96,Tableau106[],8,FALSE)</f>
        <v>EOLIEN</v>
      </c>
      <c r="E96" s="233">
        <f>VLOOKUP(OPX_LE3!$A96,Tableau106[],4,FALSE)</f>
        <v>20</v>
      </c>
      <c r="F96" s="232" t="str">
        <f>VLOOKUP(OPX_LE3!$A96,Tableau106[],5,FALSE)</f>
        <v>LOMO</v>
      </c>
      <c r="G96" s="232" t="str">
        <f>VLOOKUP(OPX_LE3!$A96,Tableau106[],7,FALSE)</f>
        <v>GROUPE</v>
      </c>
      <c r="H96" s="232" t="str">
        <f>VLOOKUP(OPX_LE3!$A96,Tableau106[],6,FALSE)</f>
        <v>N</v>
      </c>
      <c r="I96" s="232" t="str">
        <f>VLOOKUP(OPX_LE3!$A96,Tableau106[],9,FALSE)</f>
        <v>LoH</v>
      </c>
      <c r="J96" s="254">
        <v>-39060</v>
      </c>
      <c r="K96" s="228">
        <v>0</v>
      </c>
      <c r="L96" s="228"/>
      <c r="M96" s="229">
        <v>0</v>
      </c>
      <c r="N96" s="229">
        <v>0</v>
      </c>
      <c r="O96" s="229">
        <v>0</v>
      </c>
      <c r="P96" s="229">
        <f>-440*Tableau16[[#This Row],[MW]]</f>
        <v>-8800</v>
      </c>
      <c r="Q96" s="229">
        <f>-250*OPX_LE3!$E96</f>
        <v>-5000</v>
      </c>
      <c r="R96" s="311">
        <f>SUM(OPX_LE3!$K96:$Q96)</f>
        <v>-13800</v>
      </c>
      <c r="S96" s="337">
        <v>-462431</v>
      </c>
      <c r="T96" s="361">
        <v>-10500</v>
      </c>
      <c r="U96" s="362">
        <v>0</v>
      </c>
      <c r="V96" s="361">
        <v>-85400</v>
      </c>
      <c r="W96" s="361">
        <v>-4500</v>
      </c>
      <c r="X96" s="361">
        <v>0</v>
      </c>
      <c r="Y96" s="361">
        <v>-1400</v>
      </c>
      <c r="Z96" s="264">
        <f>-6300-5000</f>
        <v>-11300</v>
      </c>
      <c r="AA96" s="423"/>
      <c r="AB96" s="273">
        <f>SUM(OPX_LE3!$T96:$AA96)</f>
        <v>-113100</v>
      </c>
      <c r="AC96" s="426">
        <f>-24500</f>
        <v>-24500</v>
      </c>
      <c r="AD96" s="426"/>
      <c r="AE96" s="417">
        <v>0</v>
      </c>
      <c r="AF96" s="417">
        <v>0</v>
      </c>
      <c r="AG96" s="417">
        <v>-32880</v>
      </c>
      <c r="AH96" s="417">
        <v>0</v>
      </c>
      <c r="AI96" s="417">
        <v>0</v>
      </c>
      <c r="AJ96" s="317">
        <f>SUM(OPX_LE3!$AC96:$AI96)</f>
        <v>-57380</v>
      </c>
      <c r="AK96" s="424">
        <v>0</v>
      </c>
      <c r="AL96" s="276">
        <f>SUM(OPX_LE3!$J96,OPX_LE3!$AB96,OPX_LE3!$S96,OPX_LE3!$AJ96,OPX_LE3!$R96,OPX_LE3!$AK96)</f>
        <v>-685771</v>
      </c>
      <c r="AM96" s="427">
        <v>-200828</v>
      </c>
      <c r="AN96" s="427">
        <v>0</v>
      </c>
    </row>
    <row r="97" spans="1:41" ht="15">
      <c r="A97" s="325" t="s">
        <v>497</v>
      </c>
      <c r="B97" s="322" t="str">
        <f>VLOOKUP(OPX_LE3!$A97,Tableau106[],3,FALSE)</f>
        <v>A895</v>
      </c>
      <c r="C97" s="322" t="str">
        <f>VLOOKUP(OPX_LE3!$A97,Tableau106[],2,FALSE)</f>
        <v>FR80E97E</v>
      </c>
      <c r="D97" s="322" t="str">
        <f>VLOOKUP(OPX_LE3!$A97,Tableau106[],8,FALSE)</f>
        <v>EOLIEN</v>
      </c>
      <c r="E97" s="324">
        <f>VLOOKUP(OPX_LE3!$A97,Tableau106[],4,FALSE)</f>
        <v>10</v>
      </c>
      <c r="F97" s="322" t="str">
        <f>VLOOKUP(OPX_LE3!$A97,Tableau106[],5,FALSE)</f>
        <v>LEPI</v>
      </c>
      <c r="G97" s="322" t="str">
        <f>VLOOKUP(OPX_LE3!$A97,Tableau106[],7,FALSE)</f>
        <v>GROUPE</v>
      </c>
      <c r="H97" s="322" t="str">
        <f>VLOOKUP(OPX_LE3!$A97,Tableau106[],6,FALSE)</f>
        <v>N</v>
      </c>
      <c r="I97" s="322" t="str">
        <f>VLOOKUP(OPX_LE3!$A97,Tableau106[],9,FALSE)</f>
        <v>NiD</v>
      </c>
      <c r="J97" s="254">
        <v>-169493</v>
      </c>
      <c r="K97" s="228">
        <v>-180000</v>
      </c>
      <c r="L97" s="228"/>
      <c r="M97" s="229">
        <v>0</v>
      </c>
      <c r="N97" s="229">
        <v>0</v>
      </c>
      <c r="O97" s="229">
        <v>0</v>
      </c>
      <c r="P97" s="229">
        <v>-3500</v>
      </c>
      <c r="Q97" s="229">
        <f>-250*OPX_LE3!$E97</f>
        <v>-2500</v>
      </c>
      <c r="R97" s="311">
        <f>SUM(OPX_LE3!$K97:$Q97)</f>
        <v>-186000</v>
      </c>
      <c r="S97" s="337">
        <v>0</v>
      </c>
      <c r="T97" s="361">
        <v>0</v>
      </c>
      <c r="U97" s="362">
        <v>0</v>
      </c>
      <c r="V97" s="361">
        <v>-11500</v>
      </c>
      <c r="W97" s="361">
        <v>0</v>
      </c>
      <c r="X97" s="361">
        <v>0</v>
      </c>
      <c r="Y97" s="361">
        <v>0</v>
      </c>
      <c r="Z97" s="264">
        <f>-3750-2500</f>
        <v>-6250</v>
      </c>
      <c r="AA97" s="423"/>
      <c r="AB97" s="273">
        <f>SUM(OPX_LE3!$T97:$AA97)</f>
        <v>-17750</v>
      </c>
      <c r="AC97" s="426"/>
      <c r="AD97" s="426"/>
      <c r="AE97" s="417">
        <v>0</v>
      </c>
      <c r="AF97" s="417">
        <v>0</v>
      </c>
      <c r="AG97" s="417">
        <v>0</v>
      </c>
      <c r="AH97" s="417">
        <v>0</v>
      </c>
      <c r="AI97" s="417">
        <v>0</v>
      </c>
      <c r="AJ97" s="317">
        <f>SUM(OPX_LE3!$AC97:$AI97)</f>
        <v>0</v>
      </c>
      <c r="AK97" s="424">
        <v>0</v>
      </c>
      <c r="AL97" s="276">
        <f>SUM(OPX_LE3!$J97,OPX_LE3!$AB97,OPX_LE3!$S97,OPX_LE3!$AJ97,OPX_LE3!$R97,OPX_LE3!$AK97)</f>
        <v>-373243</v>
      </c>
      <c r="AM97" s="427">
        <v>0</v>
      </c>
      <c r="AN97" s="427">
        <v>0</v>
      </c>
    </row>
    <row r="98" spans="1:41" ht="15">
      <c r="A98" s="244" t="s">
        <v>450</v>
      </c>
      <c r="B98" s="232" t="str">
        <f>VLOOKUP(OPX_LE3!$A98,Tableau106[],3,FALSE)</f>
        <v>A279</v>
      </c>
      <c r="C98" s="232" t="str">
        <f>VLOOKUP(OPX_LE3!$A98,Tableau106[],2,FALSE)</f>
        <v>FR51E07E</v>
      </c>
      <c r="D98" s="232" t="str">
        <f>VLOOKUP(OPX_LE3!$A98,Tableau106[],8,FALSE)</f>
        <v>EOLIEN</v>
      </c>
      <c r="E98" s="233">
        <f>VLOOKUP(OPX_LE3!$A98,Tableau106[],4,FALSE)</f>
        <v>43.2</v>
      </c>
      <c r="F98" s="232" t="str">
        <f>VLOOKUP(OPX_LE3!$A98,Tableau106[],5,FALSE)</f>
        <v>LORO</v>
      </c>
      <c r="G98" s="232" t="str">
        <f>VLOOKUP(OPX_LE3!$A98,Tableau106[],7,FALSE)</f>
        <v>GROUPE</v>
      </c>
      <c r="H98" s="232" t="str">
        <f>VLOOKUP(OPX_LE3!$A98,Tableau106[],6,FALSE)</f>
        <v>N</v>
      </c>
      <c r="I98" s="232" t="str">
        <f>VLOOKUP(OPX_LE3!$A98,Tableau106[],9,FALSE)</f>
        <v>BaB</v>
      </c>
      <c r="J98" s="254">
        <v>-43472</v>
      </c>
      <c r="K98" s="228">
        <v>-41560</v>
      </c>
      <c r="L98" s="228"/>
      <c r="M98" s="229">
        <v>0</v>
      </c>
      <c r="N98" s="229">
        <v>0</v>
      </c>
      <c r="O98" s="229">
        <v>0</v>
      </c>
      <c r="P98" s="229">
        <v>-16695</v>
      </c>
      <c r="Q98" s="229">
        <f>-250*OPX_LE3!$E98</f>
        <v>-10800</v>
      </c>
      <c r="R98" s="311">
        <f>SUM(OPX_LE3!$K98:$Q98)</f>
        <v>-69055</v>
      </c>
      <c r="S98" s="337">
        <v>-574671</v>
      </c>
      <c r="T98" s="361">
        <v>0</v>
      </c>
      <c r="U98" s="362">
        <v>0</v>
      </c>
      <c r="V98" s="361">
        <v>-7247</v>
      </c>
      <c r="W98" s="361">
        <v>0</v>
      </c>
      <c r="X98" s="361">
        <v>0</v>
      </c>
      <c r="Y98" s="361">
        <v>0</v>
      </c>
      <c r="Z98" s="264">
        <v>-10800</v>
      </c>
      <c r="AA98" s="423"/>
      <c r="AB98" s="273">
        <f>SUM(OPX_LE3!$T98:$AA98)</f>
        <v>-18047</v>
      </c>
      <c r="AC98" s="426"/>
      <c r="AD98" s="426"/>
      <c r="AE98" s="417">
        <v>-17470</v>
      </c>
      <c r="AF98" s="417">
        <v>-16227.2</v>
      </c>
      <c r="AG98" s="417">
        <v>-34375</v>
      </c>
      <c r="AH98" s="417">
        <v>0</v>
      </c>
      <c r="AI98" s="417">
        <v>0</v>
      </c>
      <c r="AJ98" s="317">
        <f>SUM(OPX_LE3!$AC98:$AI98)</f>
        <v>-68072.2</v>
      </c>
      <c r="AK98" s="424">
        <v>0</v>
      </c>
      <c r="AL98" s="276">
        <f>SUM(OPX_LE3!$J98,OPX_LE3!$AB98,OPX_LE3!$S98,OPX_LE3!$AJ98,OPX_LE3!$R98,OPX_LE3!$AK98)</f>
        <v>-773317.2</v>
      </c>
      <c r="AM98" s="427">
        <v>0</v>
      </c>
      <c r="AN98" s="427">
        <v>0</v>
      </c>
    </row>
    <row r="99" spans="1:41" ht="15">
      <c r="A99" s="325" t="s">
        <v>452</v>
      </c>
      <c r="B99" s="322" t="str">
        <f>VLOOKUP(OPX_LE3!$A99,Tableau106[],3,FALSE)</f>
        <v>A896</v>
      </c>
      <c r="C99" s="322" t="str">
        <f>VLOOKUP(OPX_LE3!$A99,Tableau106[],2,FALSE)</f>
        <v>FR48E99E</v>
      </c>
      <c r="D99" s="322" t="str">
        <f>VLOOKUP(OPX_LE3!$A99,Tableau106[],8,FALSE)</f>
        <v>EOLIEN</v>
      </c>
      <c r="E99" s="324">
        <f>VLOOKUP(OPX_LE3!$A99,Tableau106[],4,FALSE)</f>
        <v>14</v>
      </c>
      <c r="F99" s="322" t="str">
        <f>VLOOKUP(OPX_LE3!$A99,Tableau106[],5,FALSE)</f>
        <v>LOPV</v>
      </c>
      <c r="G99" s="322" t="str">
        <f>VLOOKUP(OPX_LE3!$A99,Tableau106[],7,FALSE)</f>
        <v>GROUPE</v>
      </c>
      <c r="H99" s="322" t="str">
        <f>VLOOKUP(OPX_LE3!$A99,Tableau106[],6,FALSE)</f>
        <v>S</v>
      </c>
      <c r="I99" s="322" t="str">
        <f>VLOOKUP(OPX_LE3!$A99,Tableau106[],9,FALSE)</f>
        <v>ThC</v>
      </c>
      <c r="J99" s="254">
        <v>-14800</v>
      </c>
      <c r="K99" s="228">
        <v>-10510</v>
      </c>
      <c r="L99" s="228"/>
      <c r="M99" s="229">
        <v>0</v>
      </c>
      <c r="N99" s="229">
        <v>0</v>
      </c>
      <c r="O99" s="229">
        <v>-1400</v>
      </c>
      <c r="P99" s="229">
        <v>-6200</v>
      </c>
      <c r="Q99" s="229">
        <f>-250*OPX_LE3!$E99</f>
        <v>-3500</v>
      </c>
      <c r="R99" s="311">
        <f>SUM(OPX_LE3!$K99:$Q99)</f>
        <v>-21610</v>
      </c>
      <c r="S99" s="337">
        <f>(-26400*7)+(-4*25692)</f>
        <v>-287568</v>
      </c>
      <c r="T99" s="400"/>
      <c r="U99" s="361">
        <v>-60000</v>
      </c>
      <c r="V99" s="361">
        <v>-8000</v>
      </c>
      <c r="W99" s="361">
        <v>-17000</v>
      </c>
      <c r="X99" s="361">
        <v>0</v>
      </c>
      <c r="Y99" s="361"/>
      <c r="Z99" s="264">
        <f>-4000-3750</f>
        <v>-7750</v>
      </c>
      <c r="AA99" s="423">
        <v>-4000</v>
      </c>
      <c r="AB99" s="273">
        <f>SUM(OPX_LE3!$U99:$AA99)</f>
        <v>-96750</v>
      </c>
      <c r="AC99" s="426"/>
      <c r="AD99" s="426"/>
      <c r="AE99" s="417">
        <v>-30000</v>
      </c>
      <c r="AF99" s="417">
        <v>0</v>
      </c>
      <c r="AG99" s="417">
        <v>-34200</v>
      </c>
      <c r="AH99" s="417">
        <v>0</v>
      </c>
      <c r="AI99" s="417">
        <v>0</v>
      </c>
      <c r="AJ99" s="317">
        <f>SUM(OPX_LE3!$AC99:$AI99)</f>
        <v>-64200</v>
      </c>
      <c r="AK99" s="424">
        <v>0</v>
      </c>
      <c r="AL99" s="276">
        <f>SUM(OPX_LE3!$J99,OPX_LE3!$AB99,OPX_LE3!$S99,OPX_LE3!$AJ99,OPX_LE3!$R99,OPX_LE3!$AK99)</f>
        <v>-484928</v>
      </c>
      <c r="AM99" s="427">
        <v>0</v>
      </c>
      <c r="AN99" s="427">
        <v>0</v>
      </c>
    </row>
    <row r="100" spans="1:41" ht="15">
      <c r="A100" s="325" t="s">
        <v>533</v>
      </c>
      <c r="B100" s="322" t="str">
        <f>VLOOKUP(OPX_LE3!$A100,Tableau106[],3,FALSE)</f>
        <v>A257</v>
      </c>
      <c r="C100" s="322" t="str">
        <f>VLOOKUP(OPX_LE3!$A100,Tableau106[],2,FALSE)</f>
        <v>FR01S02E</v>
      </c>
      <c r="D100" s="322" t="str">
        <f>VLOOKUP(OPX_LE3!$A100,Tableau106[],8,FALSE)</f>
        <v>SOLAIRE</v>
      </c>
      <c r="E100" s="324">
        <f>VLOOKUP(OPX_LE3!$A100,Tableau106[],4,FALSE)</f>
        <v>4.8</v>
      </c>
      <c r="F100" s="322" t="str">
        <f>VLOOKUP(OPX_LE3!$A100,Tableau106[],5,FALSE)</f>
        <v>LOYE</v>
      </c>
      <c r="G100" s="322" t="str">
        <f>VLOOKUP(OPX_LE3!$A100,Tableau106[],7,FALSE)</f>
        <v>GROUPE</v>
      </c>
      <c r="H100" s="322" t="str">
        <f>VLOOKUP(OPX_LE3!$A100,Tableau106[],6,FALSE)</f>
        <v>S</v>
      </c>
      <c r="I100" s="322" t="str">
        <f>VLOOKUP(OPX_LE3!$A100,Tableau106[],9,FALSE)</f>
        <v>LoG</v>
      </c>
      <c r="J100" s="254">
        <f>-27792</f>
        <v>-27792</v>
      </c>
      <c r="K100" s="228">
        <v>-19240.000000000004</v>
      </c>
      <c r="L100" s="228"/>
      <c r="M100" s="229">
        <v>0</v>
      </c>
      <c r="N100" s="229">
        <v>0</v>
      </c>
      <c r="O100" s="229">
        <v>0</v>
      </c>
      <c r="P100" s="229">
        <v>0</v>
      </c>
      <c r="Q100" s="229">
        <f>-250*OPX_LE3!$E100-4780</f>
        <v>-5980</v>
      </c>
      <c r="R100" s="311">
        <f>SUM(OPX_LE3!$K100:$Q100)</f>
        <v>-25220.000000000004</v>
      </c>
      <c r="S100" s="337">
        <v>0</v>
      </c>
      <c r="T100" s="361">
        <v>0</v>
      </c>
      <c r="U100" s="362">
        <v>0</v>
      </c>
      <c r="V100" s="361">
        <v>-6000</v>
      </c>
      <c r="W100" s="361">
        <v>0</v>
      </c>
      <c r="X100" s="361">
        <v>0</v>
      </c>
      <c r="Y100" s="361">
        <v>0</v>
      </c>
      <c r="Z100" s="264">
        <f>-2220-3750-1200</f>
        <v>-7170</v>
      </c>
      <c r="AA100" s="423"/>
      <c r="AB100" s="273">
        <f>SUM(OPX_LE3!$T100:$AA100)</f>
        <v>-13170</v>
      </c>
      <c r="AC100" s="426"/>
      <c r="AD100" s="426">
        <v>0</v>
      </c>
      <c r="AE100" s="417">
        <v>0</v>
      </c>
      <c r="AF100" s="417">
        <v>0</v>
      </c>
      <c r="AG100" s="417">
        <v>0</v>
      </c>
      <c r="AH100" s="417">
        <v>-2937.5</v>
      </c>
      <c r="AI100" s="417">
        <v>0</v>
      </c>
      <c r="AJ100" s="317">
        <f>SUM(OPX_LE3!$AC100:$AI100)</f>
        <v>-2937.5</v>
      </c>
      <c r="AK100" s="424">
        <v>0</v>
      </c>
      <c r="AL100" s="276">
        <f>SUM(OPX_LE3!$J100,OPX_LE3!$AB100,OPX_LE3!$S100,OPX_LE3!$AJ100,OPX_LE3!$R100,OPX_LE3!$AK100)</f>
        <v>-69119.5</v>
      </c>
      <c r="AM100" s="427">
        <v>0</v>
      </c>
      <c r="AN100" s="427">
        <v>0</v>
      </c>
    </row>
    <row r="101" spans="1:41" ht="15">
      <c r="A101" s="244" t="s">
        <v>469</v>
      </c>
      <c r="B101" s="232" t="str">
        <f>VLOOKUP(OPX_LE3!$A101,Tableau106[],3,FALSE)</f>
        <v>A039</v>
      </c>
      <c r="C101" s="232" t="str">
        <f>VLOOKUP(OPX_LE3!$A101,Tableau106[],2,FALSE)</f>
        <v>FR11E99E</v>
      </c>
      <c r="D101" s="232" t="str">
        <f>VLOOKUP(OPX_LE3!$A101,Tableau106[],8,FALSE)</f>
        <v>EOLIEN</v>
      </c>
      <c r="E101" s="233">
        <f>VLOOKUP(OPX_LE3!$A101,Tableau106[],4,FALSE)</f>
        <v>12</v>
      </c>
      <c r="F101" s="232" t="str">
        <f>VLOOKUP(OPX_LE3!$A101,Tableau106[],5,FALSE)</f>
        <v>LUCO</v>
      </c>
      <c r="G101" s="232" t="str">
        <f>VLOOKUP(OPX_LE3!$A101,Tableau106[],7,FALSE)</f>
        <v>GROUPE</v>
      </c>
      <c r="H101" s="232" t="str">
        <f>VLOOKUP(OPX_LE3!$A101,Tableau106[],6,FALSE)</f>
        <v>S</v>
      </c>
      <c r="I101" s="232" t="str">
        <f>VLOOKUP(OPX_LE3!$A101,Tableau106[],9,FALSE)</f>
        <v>SaH</v>
      </c>
      <c r="J101" s="254">
        <v>-490118</v>
      </c>
      <c r="K101" s="228">
        <v>-26110</v>
      </c>
      <c r="L101" s="228"/>
      <c r="M101" s="229">
        <v>0</v>
      </c>
      <c r="N101" s="229">
        <v>-3000</v>
      </c>
      <c r="O101" s="229">
        <v>0</v>
      </c>
      <c r="P101" s="229">
        <v>-5280</v>
      </c>
      <c r="Q101" s="229">
        <f>+VLOOKUP(Tableau16[[#This Row],[CODE PI]],Tableau15[[CODE PI]:[Prestations diverses  &amp; accompagnements interne (1,6 k€ par jour d''acc)]],11,FALSE)</f>
        <v>-4200</v>
      </c>
      <c r="R101" s="311">
        <f>SUM(OPX_LE3!$K101:$Q101)</f>
        <v>-38590</v>
      </c>
      <c r="S101" s="337">
        <v>0</v>
      </c>
      <c r="T101" s="361">
        <v>0</v>
      </c>
      <c r="U101" s="362">
        <v>0</v>
      </c>
      <c r="V101" s="361">
        <v>-8000</v>
      </c>
      <c r="W101" s="361">
        <f>-5400-6300</f>
        <v>-11700</v>
      </c>
      <c r="X101" s="361">
        <v>0</v>
      </c>
      <c r="Y101" s="361">
        <f>-700-5000</f>
        <v>-5700</v>
      </c>
      <c r="Z101" s="264">
        <f>-4260-3000</f>
        <v>-7260</v>
      </c>
      <c r="AA101" s="423">
        <v>-1000</v>
      </c>
      <c r="AB101" s="273">
        <f>SUM(OPX_LE3!$T101:$AA101)</f>
        <v>-33660</v>
      </c>
      <c r="AC101" s="426"/>
      <c r="AD101" s="426"/>
      <c r="AE101" s="417">
        <v>0</v>
      </c>
      <c r="AF101" s="417">
        <v>0</v>
      </c>
      <c r="AG101" s="417">
        <v>0</v>
      </c>
      <c r="AH101" s="417">
        <v>0</v>
      </c>
      <c r="AI101" s="417">
        <v>0</v>
      </c>
      <c r="AJ101" s="317">
        <f>SUM(OPX_LE3!$AC101:$AI101)</f>
        <v>0</v>
      </c>
      <c r="AK101" s="424">
        <v>0</v>
      </c>
      <c r="AL101" s="276">
        <f>SUM(OPX_LE3!$J101,OPX_LE3!$AB101,OPX_LE3!$S101,OPX_LE3!$AJ101,OPX_LE3!$R101,OPX_LE3!$AK101)</f>
        <v>-562368</v>
      </c>
      <c r="AM101" s="427">
        <v>0</v>
      </c>
      <c r="AN101" s="427">
        <v>0</v>
      </c>
    </row>
    <row r="102" spans="1:41" ht="15">
      <c r="A102" s="325" t="s">
        <v>400</v>
      </c>
      <c r="B102" s="322" t="str">
        <f>VLOOKUP(OPX_LE3!$A102,Tableau106[],3,FALSE)</f>
        <v>A272</v>
      </c>
      <c r="C102" s="322" t="str">
        <f>VLOOKUP(OPX_LE3!$A102,Tableau106[],2,FALSE)</f>
        <v>FR21S02E</v>
      </c>
      <c r="D102" s="322" t="str">
        <f>VLOOKUP(OPX_LE3!$A102,Tableau106[],8,FALSE)</f>
        <v>SOLAIRE</v>
      </c>
      <c r="E102" s="324">
        <f>VLOOKUP(OPX_LE3!$A102,Tableau106[],4,FALSE)</f>
        <v>8.4</v>
      </c>
      <c r="F102" s="322" t="str">
        <f>VLOOKUP(OPX_LE3!$A102,Tableau106[],5,FALSE)</f>
        <v>LUX1</v>
      </c>
      <c r="G102" s="322" t="str">
        <f>VLOOKUP(OPX_LE3!$A102,Tableau106[],7,FALSE)</f>
        <v>GROUPE</v>
      </c>
      <c r="H102" s="322" t="str">
        <f>VLOOKUP(OPX_LE3!$A102,Tableau106[],6,FALSE)</f>
        <v>N</v>
      </c>
      <c r="I102" s="322" t="str">
        <f>VLOOKUP(OPX_LE3!$A102,Tableau106[],9,FALSE)</f>
        <v>ZaA</v>
      </c>
      <c r="J102" s="254">
        <v>-49903</v>
      </c>
      <c r="K102" s="228">
        <v>-20150.000000000004</v>
      </c>
      <c r="L102" s="228"/>
      <c r="M102" s="229">
        <v>0</v>
      </c>
      <c r="N102" s="229">
        <v>0</v>
      </c>
      <c r="O102" s="229">
        <v>0</v>
      </c>
      <c r="P102" s="229">
        <v>0</v>
      </c>
      <c r="Q102" s="229">
        <f>0.1*-60000</f>
        <v>-6000</v>
      </c>
      <c r="R102" s="311">
        <f>SUM(OPX_LE3!$K102:$Q102)</f>
        <v>-26150.000000000004</v>
      </c>
      <c r="S102" s="337">
        <v>0</v>
      </c>
      <c r="T102" s="361">
        <v>0</v>
      </c>
      <c r="U102" s="362">
        <v>0</v>
      </c>
      <c r="V102" s="361">
        <v>0</v>
      </c>
      <c r="W102" s="361">
        <v>0</v>
      </c>
      <c r="X102" s="361">
        <v>0</v>
      </c>
      <c r="Y102" s="361">
        <v>0</v>
      </c>
      <c r="Z102" s="264">
        <f>-15000-(300*Tableau16[[#This Row],[MW]])</f>
        <v>-17520</v>
      </c>
      <c r="AA102" s="423"/>
      <c r="AB102" s="273">
        <f>SUM(OPX_LE3!$T102:$AA102)</f>
        <v>-17520</v>
      </c>
      <c r="AC102" s="426"/>
      <c r="AD102" s="426">
        <v>0</v>
      </c>
      <c r="AE102" s="417">
        <v>0</v>
      </c>
      <c r="AF102" s="417">
        <v>0</v>
      </c>
      <c r="AG102" s="417">
        <v>0</v>
      </c>
      <c r="AH102" s="417">
        <v>0</v>
      </c>
      <c r="AI102" s="417">
        <v>0</v>
      </c>
      <c r="AJ102" s="317">
        <f>SUM(OPX_LE3!$AC102:$AI102)</f>
        <v>0</v>
      </c>
      <c r="AK102" s="424">
        <v>0</v>
      </c>
      <c r="AL102" s="276">
        <f>SUM(OPX_LE3!$J102,OPX_LE3!$AB102,OPX_LE3!$S102,OPX_LE3!$AJ102,OPX_LE3!$R102,OPX_LE3!$AK102)</f>
        <v>-93573</v>
      </c>
      <c r="AM102" s="427">
        <v>-140000</v>
      </c>
      <c r="AN102" s="427">
        <v>0</v>
      </c>
    </row>
    <row r="103" spans="1:41" ht="15">
      <c r="A103" s="244" t="s">
        <v>599</v>
      </c>
      <c r="B103" s="232" t="str">
        <f>VLOOKUP(OPX_LE3!$A103,Tableau106[],3,FALSE)</f>
        <v>A541</v>
      </c>
      <c r="C103" s="232" t="str">
        <f>VLOOKUP(OPX_LE3!$A103,Tableau106[],2,FALSE)</f>
        <v>FR85E02E</v>
      </c>
      <c r="D103" s="232" t="str">
        <f>VLOOKUP(OPX_LE3!$A103,Tableau106[],8,FALSE)</f>
        <v>EOLIEN</v>
      </c>
      <c r="E103" s="233">
        <f>VLOOKUP(OPX_LE3!$A103,Tableau106[],4,FALSE)</f>
        <v>8</v>
      </c>
      <c r="F103" s="232" t="str">
        <f>VLOOKUP(OPX_LE3!$A103,Tableau106[],5,FALSE)</f>
        <v>MACH</v>
      </c>
      <c r="G103" s="232" t="str">
        <f>VLOOKUP(OPX_LE3!$A103,Tableau106[],7,FALSE)</f>
        <v>EGM</v>
      </c>
      <c r="H103" s="232" t="str">
        <f>VLOOKUP(OPX_LE3!$A103,Tableau106[],6,FALSE)</f>
        <v>N</v>
      </c>
      <c r="I103" s="232" t="str">
        <f>VLOOKUP(OPX_LE3!$A103,Tableau106[],9,FALSE)</f>
        <v>BoK</v>
      </c>
      <c r="J103" s="254">
        <v>-206499</v>
      </c>
      <c r="K103" s="228">
        <v>-190000</v>
      </c>
      <c r="L103" s="228"/>
      <c r="M103" s="229">
        <v>0</v>
      </c>
      <c r="N103" s="229">
        <v>0</v>
      </c>
      <c r="O103" s="229">
        <v>0</v>
      </c>
      <c r="P103" s="229">
        <v>-2800</v>
      </c>
      <c r="Q103" s="229">
        <f>-250*OPX_LE3!$E103</f>
        <v>-2000</v>
      </c>
      <c r="R103" s="311">
        <f>SUM(OPX_LE3!$K103:$Q103)</f>
        <v>-194800</v>
      </c>
      <c r="S103" s="337">
        <v>0</v>
      </c>
      <c r="T103" s="361">
        <v>0</v>
      </c>
      <c r="U103" s="362">
        <v>0</v>
      </c>
      <c r="V103" s="361">
        <v>-2000</v>
      </c>
      <c r="W103" s="361">
        <v>0</v>
      </c>
      <c r="X103" s="361">
        <v>-30000</v>
      </c>
      <c r="Y103" s="361">
        <v>0</v>
      </c>
      <c r="Z103" s="264">
        <f>-2000</f>
        <v>-2000</v>
      </c>
      <c r="AA103" s="423"/>
      <c r="AB103" s="273">
        <f>SUM(OPX_LE3!$T103:$AA103)</f>
        <v>-34000</v>
      </c>
      <c r="AC103" s="426"/>
      <c r="AD103" s="426"/>
      <c r="AE103" s="417">
        <v>0</v>
      </c>
      <c r="AF103" s="417">
        <v>0</v>
      </c>
      <c r="AG103" s="417">
        <v>0</v>
      </c>
      <c r="AH103" s="417">
        <v>0</v>
      </c>
      <c r="AI103" s="417">
        <v>0</v>
      </c>
      <c r="AJ103" s="317">
        <f>SUM(OPX_LE3!$AC103:$AI103)</f>
        <v>0</v>
      </c>
      <c r="AK103" s="424">
        <v>0</v>
      </c>
      <c r="AL103" s="276">
        <f>SUM(OPX_LE3!$J103,OPX_LE3!$AB103,OPX_LE3!$S103,OPX_LE3!$AJ103,OPX_LE3!$R103,OPX_LE3!$AK103)</f>
        <v>-435299</v>
      </c>
      <c r="AM103" s="427">
        <v>-55000</v>
      </c>
      <c r="AN103" s="427">
        <v>-128000</v>
      </c>
      <c r="AO103" s="6" t="s">
        <v>1527</v>
      </c>
    </row>
    <row r="104" spans="1:41" ht="15">
      <c r="A104" s="325" t="s">
        <v>214</v>
      </c>
      <c r="B104" s="322" t="str">
        <f>VLOOKUP(OPX_LE3!$A104,Tableau106[],3,FALSE)</f>
        <v>F240</v>
      </c>
      <c r="C104" s="322" t="str">
        <f>VLOOKUP(OPX_LE3!$A104,Tableau106[],2,FALSE)</f>
        <v>FR80E93E</v>
      </c>
      <c r="D104" s="322" t="str">
        <f>VLOOKUP(OPX_LE3!$A104,Tableau106[],8,FALSE)</f>
        <v>EOLIEN</v>
      </c>
      <c r="E104" s="324">
        <f>VLOOKUP(OPX_LE3!$A104,Tableau106[],4,FALSE)</f>
        <v>15</v>
      </c>
      <c r="F104" s="322" t="str">
        <f>VLOOKUP(OPX_LE3!$A104,Tableau106[],5,FALSE)</f>
        <v>MAG1, MAG3</v>
      </c>
      <c r="G104" s="322" t="str">
        <f>VLOOKUP(OPX_LE3!$A104,Tableau106[],7,FALSE)</f>
        <v>FUTUREN</v>
      </c>
      <c r="H104" s="322" t="str">
        <f>VLOOKUP(OPX_LE3!$A104,Tableau106[],6,FALSE)</f>
        <v>N</v>
      </c>
      <c r="I104" s="322" t="str">
        <f>VLOOKUP(OPX_LE3!$A104,Tableau106[],9,FALSE)</f>
        <v>AlY</v>
      </c>
      <c r="J104" s="254">
        <v>-12033</v>
      </c>
      <c r="K104" s="228">
        <v>-6480</v>
      </c>
      <c r="L104" s="228"/>
      <c r="M104" s="229">
        <v>0</v>
      </c>
      <c r="N104" s="229">
        <v>0</v>
      </c>
      <c r="O104" s="229">
        <v>0</v>
      </c>
      <c r="P104" s="229">
        <f>-440*Tableau16[[#This Row],[MW]]/4</f>
        <v>-1650</v>
      </c>
      <c r="Q104" s="229">
        <f>-250*OPX_LE3!$E104</f>
        <v>-3750</v>
      </c>
      <c r="R104" s="311">
        <f>SUM(OPX_LE3!$K104:$Q104)</f>
        <v>-11880</v>
      </c>
      <c r="S104" s="337">
        <v>-218429</v>
      </c>
      <c r="T104" s="361">
        <f>-3059-1745</f>
        <v>-4804</v>
      </c>
      <c r="U104" s="362">
        <v>-2880</v>
      </c>
      <c r="V104" s="361">
        <f>-2520-42869</f>
        <v>-45389</v>
      </c>
      <c r="W104" s="361">
        <v>0</v>
      </c>
      <c r="X104" s="361">
        <v>-24000</v>
      </c>
      <c r="Y104" s="361">
        <v>0</v>
      </c>
      <c r="Z104" s="264">
        <f>-250*Tableau16[[#This Row],[MW]]</f>
        <v>-3750</v>
      </c>
      <c r="AA104" s="423"/>
      <c r="AB104" s="273">
        <f>SUM(OPX_LE3!$T104:$AA104)</f>
        <v>-80823</v>
      </c>
      <c r="AC104" s="426"/>
      <c r="AD104" s="426"/>
      <c r="AE104" s="417">
        <v>0</v>
      </c>
      <c r="AF104" s="417">
        <v>-10000</v>
      </c>
      <c r="AG104" s="417">
        <v>-10000</v>
      </c>
      <c r="AH104" s="417">
        <v>0</v>
      </c>
      <c r="AI104" s="417">
        <v>0</v>
      </c>
      <c r="AJ104" s="317">
        <f>SUM(OPX_LE3!$AC104:$AI104)</f>
        <v>-20000</v>
      </c>
      <c r="AK104" s="424">
        <v>-55700</v>
      </c>
      <c r="AL104" s="276">
        <f>SUM(OPX_LE3!$J104,OPX_LE3!$AB104,OPX_LE3!$S104,OPX_LE3!$AJ104,OPX_LE3!$R104,OPX_LE3!$AK104)</f>
        <v>-398865</v>
      </c>
      <c r="AM104" s="427">
        <v>-15000</v>
      </c>
      <c r="AN104" s="427">
        <v>0</v>
      </c>
    </row>
    <row r="105" spans="1:41" ht="15">
      <c r="A105" s="244" t="s">
        <v>637</v>
      </c>
      <c r="B105" s="232" t="str">
        <f>VLOOKUP(OPX_LE3!$A105,Tableau106[],3,FALSE)</f>
        <v>A239</v>
      </c>
      <c r="C105" s="232" t="str">
        <f>VLOOKUP(OPX_LE3!$A105,Tableau106[],2,FALSE)</f>
        <v>FR87S01E</v>
      </c>
      <c r="D105" s="232" t="str">
        <f>VLOOKUP(OPX_LE3!$A105,Tableau106[],8,FALSE)</f>
        <v>SOLAIRE</v>
      </c>
      <c r="E105" s="233">
        <f>VLOOKUP(OPX_LE3!$A105,Tableau106[],4,FALSE)</f>
        <v>5</v>
      </c>
      <c r="F105" s="232" t="str">
        <f>VLOOKUP(OPX_LE3!$A105,Tableau106[],5,FALSE)</f>
        <v>MABE</v>
      </c>
      <c r="G105" s="232" t="str">
        <f>VLOOKUP(OPX_LE3!$A105,Tableau106[],7,FALSE)</f>
        <v>GROUPE</v>
      </c>
      <c r="H105" s="232" t="str">
        <f>VLOOKUP(OPX_LE3!$A105,Tableau106[],6,FALSE)</f>
        <v>N</v>
      </c>
      <c r="I105" s="232" t="str">
        <f>VLOOKUP(OPX_LE3!$A105,Tableau106[],9,FALSE)</f>
        <v>ArB</v>
      </c>
      <c r="J105" s="254">
        <v>-40000</v>
      </c>
      <c r="K105" s="228">
        <v>0</v>
      </c>
      <c r="L105" s="228"/>
      <c r="M105" s="229">
        <v>0</v>
      </c>
      <c r="N105" s="229">
        <v>0</v>
      </c>
      <c r="O105" s="229">
        <v>0</v>
      </c>
      <c r="P105" s="229">
        <v>0</v>
      </c>
      <c r="Q105" s="229">
        <f>-250*OPX_LE3!$E105-4000</f>
        <v>-5250</v>
      </c>
      <c r="R105" s="311">
        <f>SUM(OPX_LE3!$K105:$Q105)</f>
        <v>-5250</v>
      </c>
      <c r="S105" s="337"/>
      <c r="T105" s="361">
        <v>0</v>
      </c>
      <c r="U105" s="362">
        <v>0</v>
      </c>
      <c r="V105" s="361">
        <v>0</v>
      </c>
      <c r="W105" s="361">
        <v>0</v>
      </c>
      <c r="X105" s="361">
        <v>0</v>
      </c>
      <c r="Y105" s="361">
        <v>0</v>
      </c>
      <c r="Z105" s="264">
        <v>-1250</v>
      </c>
      <c r="AA105" s="423"/>
      <c r="AB105" s="273">
        <f>SUM(OPX_LE3!$T105:$AA105)</f>
        <v>-1250</v>
      </c>
      <c r="AC105" s="426"/>
      <c r="AD105" s="426">
        <v>0</v>
      </c>
      <c r="AE105" s="417">
        <v>0</v>
      </c>
      <c r="AF105" s="417">
        <v>0</v>
      </c>
      <c r="AG105" s="417">
        <v>0</v>
      </c>
      <c r="AH105" s="417">
        <v>0</v>
      </c>
      <c r="AI105" s="417">
        <v>0</v>
      </c>
      <c r="AJ105" s="317">
        <f>SUM(OPX_LE3!$AC105:$AI105)</f>
        <v>0</v>
      </c>
      <c r="AK105" s="424">
        <v>0</v>
      </c>
      <c r="AL105" s="276">
        <f>SUM(OPX_LE3!$J105,OPX_LE3!$AB105,OPX_LE3!$S105,OPX_LE3!$AJ105,OPX_LE3!$R105,OPX_LE3!$AK105)</f>
        <v>-46500</v>
      </c>
      <c r="AM105" s="427">
        <v>0</v>
      </c>
      <c r="AN105" s="427">
        <v>0</v>
      </c>
    </row>
    <row r="106" spans="1:41" ht="15">
      <c r="A106" s="325" t="s">
        <v>536</v>
      </c>
      <c r="B106" s="322" t="str">
        <f>VLOOKUP(OPX_LE3!$A106,Tableau106[],3,FALSE)</f>
        <v>A134</v>
      </c>
      <c r="C106" s="322" t="str">
        <f>VLOOKUP(OPX_LE3!$A106,Tableau106[],2,FALSE)</f>
        <v>FR04S99E</v>
      </c>
      <c r="D106" s="322" t="str">
        <f>VLOOKUP(OPX_LE3!$A106,Tableau106[],8,FALSE)</f>
        <v>SOLAIRE</v>
      </c>
      <c r="E106" s="324">
        <f>VLOOKUP(OPX_LE3!$A106,Tableau106[],4,FALSE)</f>
        <v>4.0999999999999996</v>
      </c>
      <c r="F106" s="322" t="str">
        <f>VLOOKUP(OPX_LE3!$A106,Tableau106[],5,FALSE)</f>
        <v>MANO</v>
      </c>
      <c r="G106" s="322" t="str">
        <f>VLOOKUP(OPX_LE3!$A106,Tableau106[],7,FALSE)</f>
        <v>GROUPE</v>
      </c>
      <c r="H106" s="322" t="str">
        <f>VLOOKUP(OPX_LE3!$A106,Tableau106[],6,FALSE)</f>
        <v>S</v>
      </c>
      <c r="I106" s="322" t="str">
        <f>VLOOKUP(OPX_LE3!$A106,Tableau106[],9,FALSE)</f>
        <v>ArB</v>
      </c>
      <c r="J106" s="254">
        <v>-149990</v>
      </c>
      <c r="K106" s="228">
        <v>-14330</v>
      </c>
      <c r="L106" s="228"/>
      <c r="M106" s="229">
        <v>0</v>
      </c>
      <c r="N106" s="229">
        <v>0</v>
      </c>
      <c r="O106" s="229">
        <v>0</v>
      </c>
      <c r="P106" s="229">
        <v>0</v>
      </c>
      <c r="Q106" s="229">
        <f>-250*OPX_LE3!$E106</f>
        <v>-1025</v>
      </c>
      <c r="R106" s="311">
        <f>SUM(OPX_LE3!$K106:$Q106)</f>
        <v>-15355</v>
      </c>
      <c r="S106" s="337">
        <v>0</v>
      </c>
      <c r="T106" s="361">
        <v>0</v>
      </c>
      <c r="U106" s="362">
        <v>0</v>
      </c>
      <c r="V106" s="361">
        <v>-15000</v>
      </c>
      <c r="W106" s="361">
        <v>0</v>
      </c>
      <c r="X106" s="361">
        <v>0</v>
      </c>
      <c r="Y106" s="361">
        <v>0</v>
      </c>
      <c r="Z106" s="264">
        <v>-1025</v>
      </c>
      <c r="AA106" s="423">
        <v>-4000</v>
      </c>
      <c r="AB106" s="273">
        <f>SUM(OPX_LE3!$T106:$AA106)</f>
        <v>-20025</v>
      </c>
      <c r="AC106" s="426"/>
      <c r="AD106" s="426">
        <v>0</v>
      </c>
      <c r="AE106" s="417">
        <v>0</v>
      </c>
      <c r="AF106" s="417">
        <v>0</v>
      </c>
      <c r="AG106" s="417">
        <v>0</v>
      </c>
      <c r="AH106" s="417">
        <v>0</v>
      </c>
      <c r="AI106" s="417">
        <v>0</v>
      </c>
      <c r="AJ106" s="317">
        <f>SUM(OPX_LE3!$AC106:$AI106)</f>
        <v>0</v>
      </c>
      <c r="AK106" s="424">
        <v>-9000</v>
      </c>
      <c r="AL106" s="276">
        <f>SUM(OPX_LE3!$J106,OPX_LE3!$AB106,OPX_LE3!$S106,OPX_LE3!$AJ106,OPX_LE3!$R106,OPX_LE3!$AK106)</f>
        <v>-194370</v>
      </c>
      <c r="AM106" s="427">
        <v>0</v>
      </c>
      <c r="AN106" s="427">
        <v>0</v>
      </c>
    </row>
    <row r="107" spans="1:41" ht="15">
      <c r="A107" s="244" t="s">
        <v>537</v>
      </c>
      <c r="B107" s="232" t="str">
        <f>VLOOKUP(OPX_LE3!$A107,Tableau106[],3,FALSE)</f>
        <v>A389</v>
      </c>
      <c r="C107" s="232" t="str">
        <f>VLOOKUP(OPX_LE3!$A107,Tableau106[],2,FALSE)</f>
        <v>FR89S02E</v>
      </c>
      <c r="D107" s="232" t="str">
        <f>VLOOKUP(OPX_LE3!$A107,Tableau106[],8,FALSE)</f>
        <v>SOLAIRE</v>
      </c>
      <c r="E107" s="233">
        <f>VLOOKUP(OPX_LE3!$A107,Tableau106[],4,FALSE)</f>
        <v>20</v>
      </c>
      <c r="F107" s="232" t="str">
        <f>VLOOKUP(OPX_LE3!$A107,Tableau106[],5,FALSE)</f>
        <v>MA22</v>
      </c>
      <c r="G107" s="232" t="str">
        <f>VLOOKUP(OPX_LE3!$A107,Tableau106[],7,FALSE)</f>
        <v>GROUPE</v>
      </c>
      <c r="H107" s="232" t="str">
        <f>VLOOKUP(OPX_LE3!$A107,Tableau106[],6,FALSE)</f>
        <v>S</v>
      </c>
      <c r="I107" s="232" t="str">
        <f>VLOOKUP(OPX_LE3!$A107,Tableau106[],9,FALSE)</f>
        <v>LoG</v>
      </c>
      <c r="J107" s="254">
        <v>-396377</v>
      </c>
      <c r="K107" s="228">
        <v>-130979.99999999999</v>
      </c>
      <c r="L107" s="228"/>
      <c r="M107" s="229">
        <v>-15000</v>
      </c>
      <c r="N107" s="229">
        <v>0</v>
      </c>
      <c r="O107" s="229">
        <v>0</v>
      </c>
      <c r="P107" s="229">
        <v>0</v>
      </c>
      <c r="Q107" s="229">
        <f>-250*OPX_LE3!$E107-20000</f>
        <v>-25000</v>
      </c>
      <c r="R107" s="311">
        <f>SUM(OPX_LE3!$K107:$Q107)</f>
        <v>-170980</v>
      </c>
      <c r="S107" s="337">
        <v>0</v>
      </c>
      <c r="T107" s="361">
        <v>0</v>
      </c>
      <c r="U107" s="362">
        <v>-185800</v>
      </c>
      <c r="V107" s="361"/>
      <c r="W107" s="361">
        <v>0</v>
      </c>
      <c r="X107" s="361">
        <v>0</v>
      </c>
      <c r="Y107" s="361">
        <v>0</v>
      </c>
      <c r="Z107" s="264"/>
      <c r="AA107" s="423"/>
      <c r="AB107" s="273">
        <f>SUM(OPX_LE3!$T107:$AA107)</f>
        <v>-185800</v>
      </c>
      <c r="AC107" s="426"/>
      <c r="AD107" s="426">
        <v>0</v>
      </c>
      <c r="AE107" s="417">
        <v>0</v>
      </c>
      <c r="AF107" s="417">
        <v>0</v>
      </c>
      <c r="AG107" s="417">
        <v>0</v>
      </c>
      <c r="AH107" s="417">
        <v>0</v>
      </c>
      <c r="AI107" s="417">
        <v>0</v>
      </c>
      <c r="AJ107" s="317">
        <f>SUM(OPX_LE3!$AC107:$AI107)</f>
        <v>0</v>
      </c>
      <c r="AK107" s="424">
        <v>-15000</v>
      </c>
      <c r="AL107" s="276">
        <f>SUM(OPX_LE3!$J107,OPX_LE3!$AB107,OPX_LE3!$S107,OPX_LE3!$AJ107,OPX_LE3!$R107,OPX_LE3!$AK107)</f>
        <v>-768157</v>
      </c>
      <c r="AM107" s="427">
        <v>0</v>
      </c>
      <c r="AN107" s="427">
        <v>0</v>
      </c>
    </row>
    <row r="108" spans="1:41" ht="15">
      <c r="A108" s="325" t="s">
        <v>475</v>
      </c>
      <c r="B108" s="322" t="str">
        <f>VLOOKUP(OPX_LE3!$A108,Tableau106[],3,FALSE)</f>
        <v>A540</v>
      </c>
      <c r="C108" s="322" t="str">
        <f>VLOOKUP(OPX_LE3!$A108,Tableau106[],2,FALSE)</f>
        <v>FR56E04E</v>
      </c>
      <c r="D108" s="322" t="str">
        <f>VLOOKUP(OPX_LE3!$A108,Tableau106[],8,FALSE)</f>
        <v>EOLIEN</v>
      </c>
      <c r="E108" s="324">
        <f>VLOOKUP(OPX_LE3!$A108,Tableau106[],4,FALSE)</f>
        <v>10</v>
      </c>
      <c r="F108" s="322" t="str">
        <f>VLOOKUP(OPX_LE3!$A108,Tableau106[],5,FALSE)</f>
        <v>MAUR</v>
      </c>
      <c r="G108" s="322" t="str">
        <f>VLOOKUP(OPX_LE3!$A108,Tableau106[],7,FALSE)</f>
        <v>EGM</v>
      </c>
      <c r="H108" s="322" t="str">
        <f>VLOOKUP(OPX_LE3!$A108,Tableau106[],6,FALSE)</f>
        <v>N</v>
      </c>
      <c r="I108" s="322" t="str">
        <f>VLOOKUP(OPX_LE3!$A108,Tableau106[],9,FALSE)</f>
        <v>DeN</v>
      </c>
      <c r="J108" s="254">
        <v>-258123</v>
      </c>
      <c r="K108" s="228">
        <v>-185000</v>
      </c>
      <c r="L108" s="228"/>
      <c r="M108" s="229">
        <v>0</v>
      </c>
      <c r="N108" s="229">
        <v>0</v>
      </c>
      <c r="O108" s="229">
        <v>0</v>
      </c>
      <c r="P108" s="229">
        <v>-3500</v>
      </c>
      <c r="Q108" s="229">
        <f>-250*OPX_LE3!$E108</f>
        <v>-2500</v>
      </c>
      <c r="R108" s="311">
        <f>SUM(OPX_LE3!$K108:$Q108)</f>
        <v>-191000</v>
      </c>
      <c r="S108" s="337">
        <v>0</v>
      </c>
      <c r="T108" s="361">
        <v>0</v>
      </c>
      <c r="U108" s="362"/>
      <c r="V108" s="361">
        <f>-22548.5-2000</f>
        <v>-24548.5</v>
      </c>
      <c r="W108" s="361">
        <v>0</v>
      </c>
      <c r="X108" s="361">
        <v>0</v>
      </c>
      <c r="Y108" s="361">
        <v>0</v>
      </c>
      <c r="Z108" s="264">
        <f>-9922-2500-11410</f>
        <v>-23832</v>
      </c>
      <c r="AA108" s="423"/>
      <c r="AB108" s="273">
        <f>SUM(OPX_LE3!$T108:$AA108)</f>
        <v>-48380.5</v>
      </c>
      <c r="AC108" s="426"/>
      <c r="AD108" s="426"/>
      <c r="AE108" s="417">
        <v>0</v>
      </c>
      <c r="AF108" s="417">
        <v>-10000</v>
      </c>
      <c r="AG108" s="417">
        <v>-20000</v>
      </c>
      <c r="AH108" s="417">
        <v>0</v>
      </c>
      <c r="AI108" s="417">
        <v>0</v>
      </c>
      <c r="AJ108" s="317">
        <f>SUM(OPX_LE3!$AC108:$AI108)</f>
        <v>-30000</v>
      </c>
      <c r="AK108" s="424">
        <v>0</v>
      </c>
      <c r="AL108" s="276">
        <f>SUM(OPX_LE3!$J108,OPX_LE3!$AB108,OPX_LE3!$S108,OPX_LE3!$AJ108,OPX_LE3!$R108,OPX_LE3!$AK108)</f>
        <v>-527503.5</v>
      </c>
      <c r="AM108" s="427">
        <v>0</v>
      </c>
      <c r="AN108" s="427">
        <v>-178000</v>
      </c>
      <c r="AO108" s="6" t="s">
        <v>1540</v>
      </c>
    </row>
    <row r="109" spans="1:41" ht="15">
      <c r="A109" s="244" t="s">
        <v>539</v>
      </c>
      <c r="B109" s="232" t="str">
        <f>VLOOKUP(OPX_LE3!$A109,Tableau106[],3,FALSE)</f>
        <v>A295</v>
      </c>
      <c r="C109" s="232" t="str">
        <f>VLOOKUP(OPX_LE3!$A109,Tableau106[],2,FALSE)</f>
        <v>FR43S04E</v>
      </c>
      <c r="D109" s="232" t="str">
        <f>VLOOKUP(OPX_LE3!$A109,Tableau106[],8,FALSE)</f>
        <v>SOLAIRE</v>
      </c>
      <c r="E109" s="233">
        <f>VLOOKUP(OPX_LE3!$A109,Tableau106[],4,FALSE)</f>
        <v>2.8</v>
      </c>
      <c r="F109" s="232" t="str">
        <f>VLOOKUP(OPX_LE3!$A109,Tableau106[],5,FALSE)</f>
        <v>MSTV</v>
      </c>
      <c r="G109" s="232" t="str">
        <f>VLOOKUP(OPX_LE3!$A109,Tableau106[],7,FALSE)</f>
        <v>GROUPE</v>
      </c>
      <c r="H109" s="232" t="str">
        <f>VLOOKUP(OPX_LE3!$A109,Tableau106[],6,FALSE)</f>
        <v>S</v>
      </c>
      <c r="I109" s="232" t="str">
        <f>VLOOKUP(OPX_LE3!$A109,Tableau106[],9,FALSE)</f>
        <v>ArB</v>
      </c>
      <c r="J109" s="254">
        <v>-24000</v>
      </c>
      <c r="K109" s="228">
        <v>0</v>
      </c>
      <c r="L109" s="228"/>
      <c r="M109" s="229">
        <v>0</v>
      </c>
      <c r="N109" s="229">
        <v>0</v>
      </c>
      <c r="O109" s="229">
        <v>0</v>
      </c>
      <c r="P109" s="229">
        <v>0</v>
      </c>
      <c r="Q109" s="229">
        <f>-250*OPX_LE3!$E109-2400</f>
        <v>-3100</v>
      </c>
      <c r="R109" s="311">
        <f>SUM(OPX_LE3!$K109:$Q109)</f>
        <v>-3100</v>
      </c>
      <c r="S109" s="337">
        <v>-22400</v>
      </c>
      <c r="T109" s="361">
        <v>-1500</v>
      </c>
      <c r="U109" s="362">
        <v>0</v>
      </c>
      <c r="V109" s="361">
        <v>0</v>
      </c>
      <c r="W109" s="361">
        <v>0</v>
      </c>
      <c r="X109" s="361">
        <v>0</v>
      </c>
      <c r="Y109" s="361">
        <v>0</v>
      </c>
      <c r="Z109" s="264">
        <v>-700</v>
      </c>
      <c r="AA109" s="423">
        <v>-1000</v>
      </c>
      <c r="AB109" s="273">
        <f>SUM(OPX_LE3!$T109:$AA109)</f>
        <v>-3200</v>
      </c>
      <c r="AC109" s="426"/>
      <c r="AD109" s="426">
        <v>0</v>
      </c>
      <c r="AE109" s="417">
        <v>0</v>
      </c>
      <c r="AF109" s="417">
        <v>0</v>
      </c>
      <c r="AG109" s="417">
        <v>0</v>
      </c>
      <c r="AH109" s="417"/>
      <c r="AI109" s="417">
        <v>0</v>
      </c>
      <c r="AJ109" s="317">
        <f>SUM(OPX_LE3!$AC109:$AI109)</f>
        <v>0</v>
      </c>
      <c r="AK109" s="424">
        <v>0</v>
      </c>
      <c r="AL109" s="276">
        <f>SUM(OPX_LE3!$J109,OPX_LE3!$AB109,OPX_LE3!$S109,OPX_LE3!$AJ109,OPX_LE3!$R109,OPX_LE3!$AK109)</f>
        <v>-52700</v>
      </c>
      <c r="AM109" s="427">
        <v>0</v>
      </c>
      <c r="AN109" s="427">
        <v>0</v>
      </c>
    </row>
    <row r="110" spans="1:41" ht="15">
      <c r="A110" s="325" t="s">
        <v>228</v>
      </c>
      <c r="B110" s="322" t="str">
        <f>VLOOKUP(OPX_LE3!$A110,Tableau106[],3,FALSE)</f>
        <v>F159</v>
      </c>
      <c r="C110" s="322" t="str">
        <f>VLOOKUP(OPX_LE3!$A110,Tableau106[],2,FALSE)</f>
        <v>FR02E13E</v>
      </c>
      <c r="D110" s="322" t="str">
        <f>VLOOKUP(OPX_LE3!$A110,Tableau106[],8,FALSE)</f>
        <v>EOLIEN</v>
      </c>
      <c r="E110" s="324">
        <f>VLOOKUP(OPX_LE3!$A110,Tableau106[],4,FALSE)</f>
        <v>12.8</v>
      </c>
      <c r="F110" s="322" t="str">
        <f>VLOOKUP(OPX_LE3!$A110,Tableau106[],5,FALSE)</f>
        <v>MAZU</v>
      </c>
      <c r="G110" s="322" t="str">
        <f>VLOOKUP(OPX_LE3!$A110,Tableau106[],7,FALSE)</f>
        <v>FUTUREN</v>
      </c>
      <c r="H110" s="322" t="str">
        <f>VLOOKUP(OPX_LE3!$A110,Tableau106[],6,FALSE)</f>
        <v>N</v>
      </c>
      <c r="I110" s="322" t="str">
        <f>VLOOKUP(OPX_LE3!$A110,Tableau106[],9,FALSE)</f>
        <v>NiD</v>
      </c>
      <c r="J110" s="254">
        <v>-9837</v>
      </c>
      <c r="K110" s="228">
        <v>-7010</v>
      </c>
      <c r="L110" s="228"/>
      <c r="M110" s="229">
        <v>0</v>
      </c>
      <c r="N110" s="229">
        <v>0</v>
      </c>
      <c r="O110" s="229">
        <v>0</v>
      </c>
      <c r="P110" s="229">
        <v>0</v>
      </c>
      <c r="Q110" s="229">
        <f>-250*OPX_LE3!$E110</f>
        <v>-3200</v>
      </c>
      <c r="R110" s="311">
        <f>SUM(OPX_LE3!$K110:$Q110)</f>
        <v>-10210</v>
      </c>
      <c r="S110" s="337">
        <v>-222802</v>
      </c>
      <c r="T110" s="361">
        <v>-3500</v>
      </c>
      <c r="U110" s="362">
        <v>0</v>
      </c>
      <c r="V110" s="361">
        <v>-1400</v>
      </c>
      <c r="W110" s="361">
        <v>-2000</v>
      </c>
      <c r="X110" s="361">
        <v>0</v>
      </c>
      <c r="Y110" s="361">
        <v>0</v>
      </c>
      <c r="Z110" s="264">
        <v>-3200</v>
      </c>
      <c r="AA110" s="423"/>
      <c r="AB110" s="273">
        <f>SUM(OPX_LE3!$T110:$AA110)</f>
        <v>-10100</v>
      </c>
      <c r="AC110" s="426"/>
      <c r="AD110" s="426"/>
      <c r="AE110" s="417">
        <v>-5000</v>
      </c>
      <c r="AF110" s="417">
        <v>0</v>
      </c>
      <c r="AG110" s="417">
        <v>-17900</v>
      </c>
      <c r="AH110" s="417">
        <v>0</v>
      </c>
      <c r="AI110" s="417">
        <v>-5000</v>
      </c>
      <c r="AJ110" s="317">
        <f>SUM(OPX_LE3!$AC110:$AI110)</f>
        <v>-27900</v>
      </c>
      <c r="AK110" s="424">
        <v>0</v>
      </c>
      <c r="AL110" s="276">
        <f>SUM(OPX_LE3!$J110,OPX_LE3!$AB110,OPX_LE3!$S110,OPX_LE3!$AJ110,OPX_LE3!$R110,OPX_LE3!$AK110)</f>
        <v>-280849</v>
      </c>
      <c r="AM110" s="427">
        <v>-24000</v>
      </c>
      <c r="AN110" s="427">
        <v>0</v>
      </c>
    </row>
    <row r="111" spans="1:41" ht="15">
      <c r="A111" s="244" t="s">
        <v>531</v>
      </c>
      <c r="B111" s="232" t="str">
        <f>VLOOKUP(OPX_LE3!$A111,Tableau106[],3,FALSE)</f>
        <v>A432</v>
      </c>
      <c r="C111" s="232" t="str">
        <f>VLOOKUP(OPX_LE3!$A111,Tableau106[],2,FALSE)</f>
        <v>FR07E97E</v>
      </c>
      <c r="D111" s="232" t="str">
        <f>VLOOKUP(OPX_LE3!$A111,Tableau106[],8,FALSE)</f>
        <v>EOLIEN</v>
      </c>
      <c r="E111" s="233">
        <f>VLOOKUP(OPX_LE3!$A111,Tableau106[],4,FALSE)</f>
        <v>56.4</v>
      </c>
      <c r="F111" s="232" t="str">
        <f>VLOOKUP(OPX_LE3!$A111,Tableau106[],5,FALSE)</f>
        <v>MTAR</v>
      </c>
      <c r="G111" s="232" t="str">
        <f>VLOOKUP(OPX_LE3!$A111,Tableau106[],7,FALSE)</f>
        <v>GROUPE</v>
      </c>
      <c r="H111" s="232" t="str">
        <f>VLOOKUP(OPX_LE3!$A111,Tableau106[],6,FALSE)</f>
        <v>S</v>
      </c>
      <c r="I111" s="232" t="str">
        <f>VLOOKUP(OPX_LE3!$A111,Tableau106[],9,FALSE)</f>
        <v>StE</v>
      </c>
      <c r="J111" s="254">
        <v>-97253</v>
      </c>
      <c r="K111" s="228">
        <v>-12660</v>
      </c>
      <c r="L111" s="228"/>
      <c r="M111" s="229">
        <v>0</v>
      </c>
      <c r="N111" s="229">
        <v>0</v>
      </c>
      <c r="O111" s="229">
        <v>-5000</v>
      </c>
      <c r="P111" s="229">
        <v>-24816</v>
      </c>
      <c r="Q111" s="229">
        <f>-250*OPX_LE3!$E111</f>
        <v>-14100</v>
      </c>
      <c r="R111" s="311">
        <f>SUM(OPX_LE3!$K111:$Q111)</f>
        <v>-56576</v>
      </c>
      <c r="S111" s="337">
        <v>-797442</v>
      </c>
      <c r="T111" s="361">
        <v>-30000</v>
      </c>
      <c r="U111" s="362">
        <v>0</v>
      </c>
      <c r="V111" s="361">
        <v>-30000</v>
      </c>
      <c r="W111" s="361">
        <v>-25000</v>
      </c>
      <c r="X111" s="361">
        <v>-9000</v>
      </c>
      <c r="Y111" s="361">
        <v>0</v>
      </c>
      <c r="Z111" s="264">
        <v>-55000</v>
      </c>
      <c r="AA111" s="423">
        <v>-80000</v>
      </c>
      <c r="AB111" s="273">
        <f>SUM(OPX_LE3!$T111:$AA111)</f>
        <v>-229000</v>
      </c>
      <c r="AC111" s="426"/>
      <c r="AD111" s="426">
        <f t="shared" ref="AD111" si="4">-4924*1.03</f>
        <v>-5071.72</v>
      </c>
      <c r="AE111" s="417">
        <v>0</v>
      </c>
      <c r="AF111" s="417">
        <v>0</v>
      </c>
      <c r="AG111" s="417">
        <v>0</v>
      </c>
      <c r="AH111" s="417">
        <v>0</v>
      </c>
      <c r="AI111" s="417">
        <v>-5000</v>
      </c>
      <c r="AJ111" s="317">
        <f>SUM(OPX_LE3!$AC111:$AI111)</f>
        <v>-10071.720000000001</v>
      </c>
      <c r="AK111" s="424">
        <v>0</v>
      </c>
      <c r="AL111" s="276">
        <f>SUM(OPX_LE3!$J111,OPX_LE3!$AB111,OPX_LE3!$S111,OPX_LE3!$AJ111,OPX_LE3!$R111,OPX_LE3!$AK111)</f>
        <v>-1190342.72</v>
      </c>
      <c r="AM111" s="427">
        <v>-25000</v>
      </c>
      <c r="AN111" s="427">
        <v>0</v>
      </c>
    </row>
    <row r="112" spans="1:41" ht="15">
      <c r="A112" s="325" t="s">
        <v>543</v>
      </c>
      <c r="B112" s="322" t="str">
        <f>VLOOKUP(OPX_LE3!$A112,Tableau106[],3,FALSE)</f>
        <v>A902</v>
      </c>
      <c r="C112" s="322" t="str">
        <f>VLOOKUP(OPX_LE3!$A112,Tableau106[],2,FALSE)</f>
        <v>FR17S01E</v>
      </c>
      <c r="D112" s="322" t="str">
        <f>VLOOKUP(OPX_LE3!$A112,Tableau106[],8,FALSE)</f>
        <v>SOLAIRE</v>
      </c>
      <c r="E112" s="324">
        <f>VLOOKUP(OPX_LE3!$A112,Tableau106[],4,FALSE)</f>
        <v>5.5</v>
      </c>
      <c r="F112" s="322" t="str">
        <f>VLOOKUP(OPX_LE3!$A112,Tableau106[],5,FALSE)</f>
        <v>MDR1</v>
      </c>
      <c r="G112" s="322" t="str">
        <f>VLOOKUP(OPX_LE3!$A112,Tableau106[],7,FALSE)</f>
        <v>GROUPE</v>
      </c>
      <c r="H112" s="322" t="str">
        <f>VLOOKUP(OPX_LE3!$A112,Tableau106[],6,FALSE)</f>
        <v>N</v>
      </c>
      <c r="I112" s="322" t="str">
        <f>VLOOKUP(OPX_LE3!$A112,Tableau106[],9,FALSE)</f>
        <v>BaA</v>
      </c>
      <c r="J112" s="254">
        <v>-178888</v>
      </c>
      <c r="K112" s="228">
        <v>-8900</v>
      </c>
      <c r="L112" s="228"/>
      <c r="M112" s="229">
        <v>-5000</v>
      </c>
      <c r="N112" s="229">
        <v>0</v>
      </c>
      <c r="O112" s="229">
        <v>0</v>
      </c>
      <c r="P112" s="229">
        <v>-1155</v>
      </c>
      <c r="Q112" s="229">
        <f>-250*OPX_LE3!$E112</f>
        <v>-1375</v>
      </c>
      <c r="R112" s="311">
        <f>SUM(OPX_LE3!$K112:$Q112)</f>
        <v>-16430</v>
      </c>
      <c r="S112" s="337">
        <v>0</v>
      </c>
      <c r="T112" s="361">
        <v>0</v>
      </c>
      <c r="U112" s="362">
        <v>0</v>
      </c>
      <c r="V112" s="361">
        <v>-9050</v>
      </c>
      <c r="W112" s="361">
        <v>0</v>
      </c>
      <c r="X112" s="361">
        <v>0</v>
      </c>
      <c r="Y112" s="361">
        <v>0</v>
      </c>
      <c r="Z112" s="264">
        <v>-1375</v>
      </c>
      <c r="AA112" s="423"/>
      <c r="AB112" s="273">
        <f>SUM(OPX_LE3!$T112:$AA112)</f>
        <v>-10425</v>
      </c>
      <c r="AC112" s="426"/>
      <c r="AD112" s="426">
        <v>0</v>
      </c>
      <c r="AE112" s="417">
        <v>0</v>
      </c>
      <c r="AF112" s="417">
        <v>0</v>
      </c>
      <c r="AG112" s="417">
        <v>0</v>
      </c>
      <c r="AH112" s="417">
        <v>-3000</v>
      </c>
      <c r="AI112" s="417">
        <v>0</v>
      </c>
      <c r="AJ112" s="317">
        <f>SUM(OPX_LE3!$AC112:$AI112)</f>
        <v>-3000</v>
      </c>
      <c r="AK112" s="424">
        <v>-14041</v>
      </c>
      <c r="AL112" s="276">
        <f>SUM(OPX_LE3!$J112,OPX_LE3!$AB112,OPX_LE3!$S112,OPX_LE3!$AJ112,OPX_LE3!$R112,OPX_LE3!$AK112)</f>
        <v>-222784</v>
      </c>
      <c r="AM112" s="427">
        <v>0</v>
      </c>
      <c r="AN112" s="427">
        <v>0</v>
      </c>
    </row>
    <row r="113" spans="1:41" ht="15">
      <c r="A113" s="244" t="s">
        <v>513</v>
      </c>
      <c r="B113" s="232" t="str">
        <f>VLOOKUP(OPX_LE3!$A113,Tableau106[],3,FALSE)</f>
        <v>A540</v>
      </c>
      <c r="C113" s="232" t="str">
        <f>VLOOKUP(OPX_LE3!$A113,Tableau106[],2,FALSE)</f>
        <v>FR15E03E</v>
      </c>
      <c r="D113" s="232" t="str">
        <f>VLOOKUP(OPX_LE3!$A113,Tableau106[],8,FALSE)</f>
        <v>EOLIEN</v>
      </c>
      <c r="E113" s="233">
        <f>VLOOKUP(OPX_LE3!$A113,Tableau106[],4,FALSE)</f>
        <v>12</v>
      </c>
      <c r="F113" s="232" t="str">
        <f>VLOOKUP(OPX_LE3!$A113,Tableau106[],5,FALSE)</f>
        <v>MTL1</v>
      </c>
      <c r="G113" s="232" t="str">
        <f>VLOOKUP(OPX_LE3!$A113,Tableau106[],7,FALSE)</f>
        <v>EGM</v>
      </c>
      <c r="H113" s="232" t="str">
        <f>VLOOKUP(OPX_LE3!$A113,Tableau106[],6,FALSE)</f>
        <v>S</v>
      </c>
      <c r="I113" s="232" t="str">
        <f>VLOOKUP(OPX_LE3!$A113,Tableau106[],9,FALSE)</f>
        <v>AuE</v>
      </c>
      <c r="J113" s="254">
        <v>-309748</v>
      </c>
      <c r="K113" s="228">
        <v>-194370</v>
      </c>
      <c r="L113" s="228"/>
      <c r="M113" s="229">
        <v>0</v>
      </c>
      <c r="N113" s="229">
        <v>-2400</v>
      </c>
      <c r="O113" s="229">
        <v>0</v>
      </c>
      <c r="P113" s="229">
        <v>-5280</v>
      </c>
      <c r="Q113" s="229">
        <f>-250*OPX_LE3!$E113</f>
        <v>-3000</v>
      </c>
      <c r="R113" s="311">
        <f>SUM(OPX_LE3!$K113:$Q113)</f>
        <v>-205050</v>
      </c>
      <c r="S113" s="392"/>
      <c r="T113" s="361">
        <v>0</v>
      </c>
      <c r="U113" s="362">
        <v>0</v>
      </c>
      <c r="V113" s="361">
        <v>-4000</v>
      </c>
      <c r="W113" s="361">
        <v>0</v>
      </c>
      <c r="X113" s="361">
        <v>0</v>
      </c>
      <c r="Y113" s="361">
        <v>0</v>
      </c>
      <c r="Z113" s="264">
        <f>-3000</f>
        <v>-3000</v>
      </c>
      <c r="AA113" s="423">
        <f>-(0.2*CA_LE3!M107)/100</f>
        <v>-7659.1817419979652</v>
      </c>
      <c r="AB113" s="273">
        <f>SUM(OPX_LE3!$T113:$AA113)</f>
        <v>-14659.181741997965</v>
      </c>
      <c r="AC113" s="426">
        <f>-8000*6</f>
        <v>-48000</v>
      </c>
      <c r="AD113" s="426"/>
      <c r="AE113" s="417">
        <v>0</v>
      </c>
      <c r="AF113" s="417">
        <v>0</v>
      </c>
      <c r="AG113" s="417">
        <v>-27561</v>
      </c>
      <c r="AH113" s="417"/>
      <c r="AI113" s="417">
        <v>0</v>
      </c>
      <c r="AJ113" s="317">
        <f>SUM(OPX_LE3!$AC113:$AI113)</f>
        <v>-75561</v>
      </c>
      <c r="AK113" s="424">
        <v>-35000</v>
      </c>
      <c r="AL113" s="276">
        <f>SUM(OPX_LE3!$J113,OPX_LE3!$AB113,OPX_LE3!$AC113,OPX_LE3!$AJ113,OPX_LE3!$R113,OPX_LE3!$AK113)</f>
        <v>-688018.18174199795</v>
      </c>
      <c r="AM113" s="427">
        <f>(77161)*-1</f>
        <v>-77161</v>
      </c>
      <c r="AN113" s="427">
        <v>-100000</v>
      </c>
      <c r="AO113" s="6" t="s">
        <v>1530</v>
      </c>
    </row>
    <row r="114" spans="1:41" ht="15">
      <c r="A114" s="325" t="s">
        <v>236</v>
      </c>
      <c r="B114" s="322" t="str">
        <f>VLOOKUP(OPX_LE3!$A114,Tableau106[],3,FALSE)</f>
        <v>F140</v>
      </c>
      <c r="C114" s="322" t="str">
        <f>VLOOKUP(OPX_LE3!$A114,Tableau106[],2,FALSE)</f>
        <v>FR57E06E</v>
      </c>
      <c r="D114" s="322" t="str">
        <f>VLOOKUP(OPX_LE3!$A114,Tableau106[],8,FALSE)</f>
        <v>EOLIEN</v>
      </c>
      <c r="E114" s="324">
        <f>VLOOKUP(OPX_LE3!$A114,Tableau106[],4,FALSE)</f>
        <v>15.4</v>
      </c>
      <c r="F114" s="322" t="str">
        <f>VLOOKUP(OPX_LE3!$A114,Tableau106[],5,FALSE)</f>
        <v>MOTT</v>
      </c>
      <c r="G114" s="322" t="str">
        <f>VLOOKUP(OPX_LE3!$A114,Tableau106[],7,FALSE)</f>
        <v>FUTUREN</v>
      </c>
      <c r="H114" s="322" t="str">
        <f>VLOOKUP(OPX_LE3!$A114,Tableau106[],6,FALSE)</f>
        <v>N</v>
      </c>
      <c r="I114" s="322" t="str">
        <f>VLOOKUP(OPX_LE3!$A114,Tableau106[],9,FALSE)</f>
        <v>NiL</v>
      </c>
      <c r="J114" s="254">
        <v>-12401</v>
      </c>
      <c r="K114" s="228">
        <v>-17570</v>
      </c>
      <c r="L114" s="228"/>
      <c r="M114" s="229">
        <v>0</v>
      </c>
      <c r="N114" s="229">
        <v>0</v>
      </c>
      <c r="O114" s="229">
        <v>0</v>
      </c>
      <c r="P114" s="229">
        <f>-440*Tableau16[[#This Row],[MW]]/2</f>
        <v>-3388</v>
      </c>
      <c r="Q114" s="229">
        <f>-250*OPX_LE3!$E114</f>
        <v>-3850</v>
      </c>
      <c r="R114" s="311">
        <f>SUM(OPX_LE3!$K114:$Q114)</f>
        <v>-24808</v>
      </c>
      <c r="S114" s="337">
        <f>(-45471*7)/12*11-(170159/6)</f>
        <v>-320132.08333333331</v>
      </c>
      <c r="T114" s="361">
        <v>0</v>
      </c>
      <c r="U114" s="362">
        <v>0</v>
      </c>
      <c r="V114" s="361">
        <v>-2000</v>
      </c>
      <c r="W114" s="361">
        <f>-450*7</f>
        <v>-3150</v>
      </c>
      <c r="X114" s="361">
        <v>0</v>
      </c>
      <c r="Y114" s="361">
        <v>0</v>
      </c>
      <c r="Z114" s="264">
        <f>-250*OPX_LE3!$E114</f>
        <v>-3850</v>
      </c>
      <c r="AA114" s="423">
        <f>-66000-2889.55</f>
        <v>-68889.55</v>
      </c>
      <c r="AB114" s="273">
        <f>SUM(OPX_LE3!$T114:$AA114)</f>
        <v>-77889.55</v>
      </c>
      <c r="AC114" s="426"/>
      <c r="AD114" s="426"/>
      <c r="AE114" s="417">
        <v>-39200</v>
      </c>
      <c r="AF114" s="417">
        <v>0</v>
      </c>
      <c r="AG114" s="417">
        <v>-31130</v>
      </c>
      <c r="AH114" s="417">
        <v>0</v>
      </c>
      <c r="AI114" s="417">
        <v>0</v>
      </c>
      <c r="AJ114" s="317">
        <f>SUM(OPX_LE3!$AC114:$AI114)</f>
        <v>-70330</v>
      </c>
      <c r="AK114" s="424">
        <v>0</v>
      </c>
      <c r="AL114" s="276">
        <f>SUM(OPX_LE3!$J114,OPX_LE3!$AB114,OPX_LE3!$S114,OPX_LE3!$AJ114,OPX_LE3!$R114,OPX_LE3!$AK114)</f>
        <v>-505560.6333333333</v>
      </c>
      <c r="AM114" s="427">
        <v>-15000</v>
      </c>
      <c r="AN114" s="427">
        <v>0</v>
      </c>
    </row>
    <row r="115" spans="1:41" ht="15">
      <c r="A115" s="244" t="s">
        <v>238</v>
      </c>
      <c r="B115" s="232" t="str">
        <f>VLOOKUP(OPX_LE3!$A115,Tableau106[],3,FALSE)</f>
        <v>F036</v>
      </c>
      <c r="C115" s="232" t="str">
        <f>VLOOKUP(OPX_LE3!$A115,Tableau106[],2,FALSE)</f>
        <v>FR80E95E</v>
      </c>
      <c r="D115" s="232" t="str">
        <f>VLOOKUP(OPX_LE3!$A115,Tableau106[],8,FALSE)</f>
        <v>EOLIEN</v>
      </c>
      <c r="E115" s="233">
        <f>VLOOKUP(OPX_LE3!$A115,Tableau106[],4,FALSE)</f>
        <v>12</v>
      </c>
      <c r="F115" s="232" t="str">
        <f>VLOOKUP(OPX_LE3!$A115,Tableau106[],5,FALSE)</f>
        <v>MODF</v>
      </c>
      <c r="G115" s="232" t="str">
        <f>VLOOKUP(OPX_LE3!$A115,Tableau106[],7,FALSE)</f>
        <v>FUTUREN</v>
      </c>
      <c r="H115" s="232" t="str">
        <f>VLOOKUP(OPX_LE3!$A115,Tableau106[],6,FALSE)</f>
        <v>N</v>
      </c>
      <c r="I115" s="232" t="str">
        <f>VLOOKUP(OPX_LE3!$A115,Tableau106[],9,FALSE)</f>
        <v>NiD</v>
      </c>
      <c r="J115" s="254">
        <v>-9733</v>
      </c>
      <c r="K115" s="228">
        <v>-4370</v>
      </c>
      <c r="L115" s="228"/>
      <c r="M115" s="229">
        <v>0</v>
      </c>
      <c r="N115" s="229">
        <v>0</v>
      </c>
      <c r="O115" s="229">
        <v>0</v>
      </c>
      <c r="P115" s="229">
        <v>0</v>
      </c>
      <c r="Q115" s="229">
        <f>-250*OPX_LE3!$E115</f>
        <v>-3000</v>
      </c>
      <c r="R115" s="311">
        <f>SUM(OPX_LE3!$K115:$Q115)</f>
        <v>-7370</v>
      </c>
      <c r="S115" s="337">
        <v>-338306</v>
      </c>
      <c r="T115" s="361">
        <v>0</v>
      </c>
      <c r="U115" s="362">
        <v>0</v>
      </c>
      <c r="V115" s="361">
        <v>-4000</v>
      </c>
      <c r="W115" s="361">
        <v>0</v>
      </c>
      <c r="X115" s="361">
        <v>0</v>
      </c>
      <c r="Y115" s="361">
        <v>0</v>
      </c>
      <c r="Z115" s="264">
        <v>-3000</v>
      </c>
      <c r="AA115" s="423"/>
      <c r="AB115" s="273">
        <f>SUM(OPX_LE3!$T115:$AA115)</f>
        <v>-7000</v>
      </c>
      <c r="AC115" s="426"/>
      <c r="AD115" s="426"/>
      <c r="AE115" s="417">
        <v>0</v>
      </c>
      <c r="AF115" s="417">
        <v>0</v>
      </c>
      <c r="AG115" s="417">
        <v>0</v>
      </c>
      <c r="AH115" s="417">
        <v>0</v>
      </c>
      <c r="AI115" s="417">
        <v>0</v>
      </c>
      <c r="AJ115" s="317">
        <f>SUM(OPX_LE3!$AC115:$AI115)</f>
        <v>0</v>
      </c>
      <c r="AK115" s="424">
        <v>0</v>
      </c>
      <c r="AL115" s="276">
        <f>SUM(OPX_LE3!$J115,OPX_LE3!$AB115,OPX_LE3!$S115,OPX_LE3!$AJ115,OPX_LE3!$R115,OPX_LE3!$AK115)</f>
        <v>-362409</v>
      </c>
      <c r="AM115" s="427">
        <v>-15000</v>
      </c>
      <c r="AN115" s="427">
        <v>0</v>
      </c>
    </row>
    <row r="116" spans="1:41" ht="15">
      <c r="A116" s="325" t="s">
        <v>240</v>
      </c>
      <c r="B116" s="322" t="str">
        <f>VLOOKUP(OPX_LE3!$A116,Tableau106[],3,FALSE)</f>
        <v>F208</v>
      </c>
      <c r="C116" s="322" t="str">
        <f>VLOOKUP(OPX_LE3!$A116,Tableau106[],2,FALSE)</f>
        <v>FR17E05E</v>
      </c>
      <c r="D116" s="322" t="str">
        <f>VLOOKUP(OPX_LE3!$A116,Tableau106[],8,FALSE)</f>
        <v>EOLIEN</v>
      </c>
      <c r="E116" s="324">
        <f>VLOOKUP(OPX_LE3!$A116,Tableau106[],4,FALSE)</f>
        <v>21</v>
      </c>
      <c r="F116" s="322" t="str">
        <f>VLOOKUP(OPX_LE3!$A116,Tableau106[],5,FALSE)</f>
        <v>NAC1, NAC2</v>
      </c>
      <c r="G116" s="322" t="str">
        <f>VLOOKUP(OPX_LE3!$A116,Tableau106[],7,FALSE)</f>
        <v>FUTUREN</v>
      </c>
      <c r="H116" s="322" t="str">
        <f>VLOOKUP(OPX_LE3!$A116,Tableau106[],6,FALSE)</f>
        <v>S</v>
      </c>
      <c r="I116" s="322" t="str">
        <f>VLOOKUP(OPX_LE3!$A116,Tableau106[],9,FALSE)</f>
        <v>NoS</v>
      </c>
      <c r="J116" s="254">
        <v>-6855</v>
      </c>
      <c r="K116" s="228">
        <v>0</v>
      </c>
      <c r="L116" s="228"/>
      <c r="M116" s="229">
        <v>0</v>
      </c>
      <c r="N116" s="229">
        <v>0</v>
      </c>
      <c r="O116" s="229">
        <v>0</v>
      </c>
      <c r="P116" s="229">
        <v>0</v>
      </c>
      <c r="Q116" s="229">
        <f>-250*OPX_LE3!$E116</f>
        <v>-5250</v>
      </c>
      <c r="R116" s="311">
        <f>SUM(OPX_LE3!$K116:$Q116)</f>
        <v>-5250</v>
      </c>
      <c r="S116" s="337">
        <v>-433726</v>
      </c>
      <c r="T116" s="361">
        <v>-2000</v>
      </c>
      <c r="U116" s="362">
        <v>0</v>
      </c>
      <c r="V116" s="361">
        <v>-3826.5</v>
      </c>
      <c r="W116" s="361">
        <v>-12131</v>
      </c>
      <c r="X116" s="361">
        <v>0</v>
      </c>
      <c r="Y116" s="361">
        <v>0</v>
      </c>
      <c r="Z116" s="264">
        <v>-5250</v>
      </c>
      <c r="AA116" s="423"/>
      <c r="AB116" s="273">
        <f>SUM(OPX_LE3!$T116:$AA116)</f>
        <v>-23207.5</v>
      </c>
      <c r="AC116" s="426"/>
      <c r="AD116" s="426"/>
      <c r="AE116" s="417">
        <v>-6000</v>
      </c>
      <c r="AF116" s="417">
        <v>0</v>
      </c>
      <c r="AG116" s="417">
        <v>0</v>
      </c>
      <c r="AH116" s="417">
        <v>0</v>
      </c>
      <c r="AI116" s="417">
        <v>-10000</v>
      </c>
      <c r="AJ116" s="317">
        <f>SUM(OPX_LE3!$AC116:$AI116)</f>
        <v>-16000</v>
      </c>
      <c r="AK116" s="424">
        <v>0</v>
      </c>
      <c r="AL116" s="276">
        <f>SUM(OPX_LE3!$J116,OPX_LE3!$AB116,OPX_LE3!$S116,OPX_LE3!$AJ116,OPX_LE3!$R116,OPX_LE3!$AK116)</f>
        <v>-485038.5</v>
      </c>
      <c r="AM116" s="427">
        <v>-15000</v>
      </c>
      <c r="AN116" s="427">
        <v>0</v>
      </c>
    </row>
    <row r="117" spans="1:41" ht="15">
      <c r="A117" s="244" t="s">
        <v>548</v>
      </c>
      <c r="B117" s="232" t="str">
        <f>VLOOKUP(OPX_LE3!$A117,Tableau106[],3,FALSE)</f>
        <v>A119</v>
      </c>
      <c r="C117" s="232" t="str">
        <f>VLOOKUP(OPX_LE3!$A117,Tableau106[],2,FALSE)</f>
        <v>FR11S97E</v>
      </c>
      <c r="D117" s="232" t="str">
        <f>VLOOKUP(OPX_LE3!$A117,Tableau106[],8,FALSE)</f>
        <v>SOLAIRE</v>
      </c>
      <c r="E117" s="233">
        <f>VLOOKUP(OPX_LE3!$A117,Tableau106[],4,FALSE)</f>
        <v>7</v>
      </c>
      <c r="F117" s="232" t="str">
        <f>VLOOKUP(OPX_LE3!$A117,Tableau106[],5,FALSE)</f>
        <v>NARB</v>
      </c>
      <c r="G117" s="232" t="str">
        <f>VLOOKUP(OPX_LE3!$A117,Tableau106[],7,FALSE)</f>
        <v>GROUPE</v>
      </c>
      <c r="H117" s="232" t="str">
        <f>VLOOKUP(OPX_LE3!$A117,Tableau106[],6,FALSE)</f>
        <v>S</v>
      </c>
      <c r="I117" s="232" t="str">
        <f>VLOOKUP(OPX_LE3!$A117,Tableau106[],9,FALSE)</f>
        <v>BaA</v>
      </c>
      <c r="J117" s="254">
        <v>-328872</v>
      </c>
      <c r="K117" s="228">
        <v>-11620.000000000002</v>
      </c>
      <c r="L117" s="228"/>
      <c r="M117" s="229">
        <v>0</v>
      </c>
      <c r="N117" s="229">
        <v>0</v>
      </c>
      <c r="O117" s="229">
        <v>0</v>
      </c>
      <c r="P117" s="229">
        <v>0</v>
      </c>
      <c r="Q117" s="229">
        <f>-250*OPX_LE3!$E117</f>
        <v>-1750</v>
      </c>
      <c r="R117" s="311">
        <f>SUM(OPX_LE3!$K117:$Q117)</f>
        <v>-13370.000000000002</v>
      </c>
      <c r="S117" s="337">
        <v>0</v>
      </c>
      <c r="T117" s="361">
        <v>0</v>
      </c>
      <c r="U117" s="362">
        <v>0</v>
      </c>
      <c r="V117" s="361">
        <v>-11900</v>
      </c>
      <c r="W117" s="361">
        <v>0</v>
      </c>
      <c r="X117" s="361">
        <v>0</v>
      </c>
      <c r="Y117" s="361">
        <v>0</v>
      </c>
      <c r="Z117" s="383">
        <v>-1750</v>
      </c>
      <c r="AA117" s="423"/>
      <c r="AB117" s="273">
        <f>SUM(OPX_LE3!$T117:$AA117)</f>
        <v>-13650</v>
      </c>
      <c r="AC117" s="426"/>
      <c r="AD117" s="426">
        <v>0</v>
      </c>
      <c r="AE117" s="417">
        <v>0</v>
      </c>
      <c r="AF117" s="417">
        <v>0</v>
      </c>
      <c r="AG117" s="417">
        <v>0</v>
      </c>
      <c r="AH117" s="417">
        <v>0</v>
      </c>
      <c r="AI117" s="417">
        <v>0</v>
      </c>
      <c r="AJ117" s="317">
        <f>SUM(OPX_LE3!$AC117:$AI117)</f>
        <v>0</v>
      </c>
      <c r="AK117" s="424"/>
      <c r="AL117" s="276">
        <f>SUM(OPX_LE3!$J117,OPX_LE3!$AB117,OPX_LE3!$S117,OPX_LE3!$AJ117,OPX_LE3!$R117,OPX_LE3!$AK117)</f>
        <v>-355892</v>
      </c>
      <c r="AM117" s="427">
        <v>0</v>
      </c>
      <c r="AN117" s="427">
        <v>0</v>
      </c>
    </row>
    <row r="118" spans="1:41" ht="15">
      <c r="A118" s="325" t="s">
        <v>478</v>
      </c>
      <c r="B118" s="322" t="str">
        <f>VLOOKUP(OPX_LE3!$A118,Tableau106[],3,FALSE)</f>
        <v>A530</v>
      </c>
      <c r="C118" s="322" t="str">
        <f>VLOOKUP(OPX_LE3!$A118,Tableau106[],2,FALSE)</f>
        <v>FR57E02E</v>
      </c>
      <c r="D118" s="322" t="str">
        <f>VLOOKUP(OPX_LE3!$A118,Tableau106[],8,FALSE)</f>
        <v>EOLIEN</v>
      </c>
      <c r="E118" s="324">
        <f>VLOOKUP(OPX_LE3!$A118,Tableau106[],4,FALSE)</f>
        <v>12</v>
      </c>
      <c r="F118" s="322" t="str">
        <f>VLOOKUP(OPX_LE3!$A118,Tableau106[],5,FALSE)</f>
        <v>NIED</v>
      </c>
      <c r="G118" s="322" t="str">
        <f>VLOOKUP(OPX_LE3!$A118,Tableau106[],7,FALSE)</f>
        <v>GROUPE</v>
      </c>
      <c r="H118" s="322" t="str">
        <f>VLOOKUP(OPX_LE3!$A118,Tableau106[],6,FALSE)</f>
        <v>N</v>
      </c>
      <c r="I118" s="322" t="str">
        <f>VLOOKUP(OPX_LE3!$A118,Tableau106[],9,FALSE)</f>
        <v>HuB</v>
      </c>
      <c r="J118" s="254">
        <v>-10234</v>
      </c>
      <c r="K118" s="228">
        <v>-3260.0000000000005</v>
      </c>
      <c r="L118" s="228"/>
      <c r="M118" s="229">
        <v>0</v>
      </c>
      <c r="N118" s="229">
        <v>0</v>
      </c>
      <c r="O118" s="229">
        <v>0</v>
      </c>
      <c r="P118" s="229">
        <v>-4200</v>
      </c>
      <c r="Q118" s="229">
        <f>-250*OPX_LE3!$E118</f>
        <v>-3000</v>
      </c>
      <c r="R118" s="311">
        <f>SUM(OPX_LE3!$K118:$Q118)</f>
        <v>-10460</v>
      </c>
      <c r="S118" s="337">
        <v>-377851</v>
      </c>
      <c r="T118" s="361">
        <v>-2600</v>
      </c>
      <c r="U118" s="362">
        <v>0</v>
      </c>
      <c r="V118" s="361">
        <v>-800</v>
      </c>
      <c r="W118" s="361">
        <v>0</v>
      </c>
      <c r="X118" s="361">
        <v>0</v>
      </c>
      <c r="Y118" s="361">
        <v>0</v>
      </c>
      <c r="Z118" s="264">
        <v>-3000</v>
      </c>
      <c r="AA118" s="423"/>
      <c r="AB118" s="273">
        <f>SUM(OPX_LE3!$T118:$AA118)</f>
        <v>-6400</v>
      </c>
      <c r="AC118" s="426"/>
      <c r="AD118" s="426"/>
      <c r="AE118" s="417">
        <v>0</v>
      </c>
      <c r="AF118" s="417">
        <v>0</v>
      </c>
      <c r="AG118" s="417">
        <v>0</v>
      </c>
      <c r="AH118" s="417">
        <v>0</v>
      </c>
      <c r="AI118" s="417">
        <v>0</v>
      </c>
      <c r="AJ118" s="317">
        <f>SUM(OPX_LE3!$AC118:$AI118)</f>
        <v>0</v>
      </c>
      <c r="AK118" s="424">
        <v>0</v>
      </c>
      <c r="AL118" s="276">
        <f>SUM(OPX_LE3!$J118,OPX_LE3!$AB118,OPX_LE3!$S118,OPX_LE3!$AJ118,OPX_LE3!$R118,OPX_LE3!$AK118)</f>
        <v>-404945</v>
      </c>
      <c r="AM118" s="427">
        <v>0</v>
      </c>
      <c r="AN118" s="427">
        <v>0</v>
      </c>
    </row>
    <row r="119" spans="1:41" ht="15">
      <c r="A119" s="244" t="s">
        <v>403</v>
      </c>
      <c r="B119" s="232" t="str">
        <f>VLOOKUP(OPX_LE3!$A119,Tableau106[],3,FALSE)</f>
        <v>A258</v>
      </c>
      <c r="C119" s="232" t="str">
        <f>VLOOKUP(OPX_LE3!$A119,Tableau106[],2,FALSE)</f>
        <v>FR01S04E</v>
      </c>
      <c r="D119" s="232" t="str">
        <f>VLOOKUP(OPX_LE3!$A119,Tableau106[],8,FALSE)</f>
        <v>SOLAIRE</v>
      </c>
      <c r="E119" s="233">
        <f>VLOOKUP(OPX_LE3!$A119,Tableau106[],4,FALSE)</f>
        <v>13.4</v>
      </c>
      <c r="F119" s="232" t="str">
        <f>VLOOKUP(OPX_LE3!$A119,Tableau106[],5,FALSE)</f>
        <v>NIEV</v>
      </c>
      <c r="G119" s="232" t="str">
        <f>VLOOKUP(OPX_LE3!$A119,Tableau106[],7,FALSE)</f>
        <v>GROUPE</v>
      </c>
      <c r="H119" s="232" t="str">
        <f>VLOOKUP(OPX_LE3!$A119,Tableau106[],6,FALSE)</f>
        <v>S</v>
      </c>
      <c r="I119" s="232" t="str">
        <f>VLOOKUP(OPX_LE3!$A119,Tableau106[],9,FALSE)</f>
        <v>ZaA</v>
      </c>
      <c r="J119" s="254">
        <v>-82368</v>
      </c>
      <c r="K119" s="228">
        <v>-19970</v>
      </c>
      <c r="L119" s="228"/>
      <c r="M119" s="229">
        <v>0</v>
      </c>
      <c r="N119" s="229">
        <v>0</v>
      </c>
      <c r="O119" s="229">
        <v>0</v>
      </c>
      <c r="P119" s="229">
        <v>0</v>
      </c>
      <c r="Q119" s="229">
        <f>0.1*-95618</f>
        <v>-9561.8000000000011</v>
      </c>
      <c r="R119" s="311">
        <f>SUM(OPX_LE3!$K119:$Q119)</f>
        <v>-29531.800000000003</v>
      </c>
      <c r="S119" s="337">
        <v>0</v>
      </c>
      <c r="T119" s="361">
        <v>0</v>
      </c>
      <c r="U119" s="362">
        <v>0</v>
      </c>
      <c r="V119" s="361">
        <v>0</v>
      </c>
      <c r="W119" s="361">
        <v>0</v>
      </c>
      <c r="X119" s="361">
        <v>0</v>
      </c>
      <c r="Y119" s="361">
        <v>0</v>
      </c>
      <c r="Z119" s="264">
        <f>-300*Tableau16[[#This Row],[MW]]</f>
        <v>-4020</v>
      </c>
      <c r="AA119" s="423"/>
      <c r="AB119" s="273">
        <f>SUM(OPX_LE3!$T119:$AA119)</f>
        <v>-4020</v>
      </c>
      <c r="AC119" s="426"/>
      <c r="AD119" s="426">
        <v>0</v>
      </c>
      <c r="AE119" s="417">
        <v>0</v>
      </c>
      <c r="AF119" s="417">
        <v>0</v>
      </c>
      <c r="AG119" s="417">
        <v>0</v>
      </c>
      <c r="AH119" s="417">
        <v>-1992.5</v>
      </c>
      <c r="AI119" s="417">
        <v>-4200</v>
      </c>
      <c r="AJ119" s="317">
        <f>SUM(OPX_LE3!$AC119:$AI119)</f>
        <v>-6192.5</v>
      </c>
      <c r="AK119" s="424">
        <v>0</v>
      </c>
      <c r="AL119" s="276">
        <f>SUM(OPX_LE3!$J119,OPX_LE3!$AB119,OPX_LE3!$S119,OPX_LE3!$AJ119,OPX_LE3!$R119,OPX_LE3!$AK119)</f>
        <v>-122112.3</v>
      </c>
      <c r="AM119" s="427">
        <v>0</v>
      </c>
      <c r="AN119" s="427">
        <v>0</v>
      </c>
    </row>
    <row r="120" spans="1:41" ht="15">
      <c r="A120" s="325" t="s">
        <v>626</v>
      </c>
      <c r="B120" s="322" t="str">
        <f>VLOOKUP(OPX_LE3!$A120,Tableau106[],3,FALSE)</f>
        <v>A937</v>
      </c>
      <c r="C120" s="322" t="str">
        <f>VLOOKUP(OPX_LE3!$A120,Tableau106[],2,FALSE)</f>
        <v>FR34E82E</v>
      </c>
      <c r="D120" s="322" t="str">
        <f>VLOOKUP(OPX_LE3!$A120,Tableau106[],8,FALSE)</f>
        <v>EOLIEN</v>
      </c>
      <c r="E120" s="324">
        <f>VLOOKUP(OPX_LE3!$A120,Tableau106[],4,FALSE)</f>
        <v>6</v>
      </c>
      <c r="F120" s="322" t="str">
        <f>VLOOKUP(OPX_LE3!$A120,Tableau106[],5,FALSE)</f>
        <v>NIPL</v>
      </c>
      <c r="G120" s="322" t="str">
        <f>VLOOKUP(OPX_LE3!$A120,Tableau106[],7,FALSE)</f>
        <v>FUTUREN</v>
      </c>
      <c r="H120" s="322" t="str">
        <f>VLOOKUP(OPX_LE3!$A120,Tableau106[],6,FALSE)</f>
        <v>S</v>
      </c>
      <c r="I120" s="322" t="str">
        <f>VLOOKUP(OPX_LE3!$A120,Tableau106[],9,FALSE)</f>
        <v>KéD</v>
      </c>
      <c r="J120" s="254">
        <v>-189061</v>
      </c>
      <c r="K120" s="228">
        <v>-33390</v>
      </c>
      <c r="L120" s="228"/>
      <c r="M120" s="229">
        <v>0</v>
      </c>
      <c r="N120" s="229">
        <v>0</v>
      </c>
      <c r="O120" s="229">
        <v>0</v>
      </c>
      <c r="P120" s="229">
        <v>-2100</v>
      </c>
      <c r="Q120" s="229">
        <f>-250*OPX_LE3!$E120</f>
        <v>-1500</v>
      </c>
      <c r="R120" s="311">
        <f>SUM(OPX_LE3!$K120:$Q120)</f>
        <v>-36990</v>
      </c>
      <c r="S120" s="337">
        <v>0</v>
      </c>
      <c r="T120" s="361">
        <v>0</v>
      </c>
      <c r="U120" s="362">
        <v>0</v>
      </c>
      <c r="V120" s="361">
        <f>-(2326+5000)</f>
        <v>-7326</v>
      </c>
      <c r="W120" s="361">
        <v>0</v>
      </c>
      <c r="X120" s="361">
        <v>0</v>
      </c>
      <c r="Y120" s="361">
        <v>0</v>
      </c>
      <c r="Z120" s="264">
        <v>-1500</v>
      </c>
      <c r="AA120" s="423"/>
      <c r="AB120" s="273">
        <f>SUM(OPX_LE3!$T120:$AA120)</f>
        <v>-8826</v>
      </c>
      <c r="AC120" s="231">
        <f>-((6184*3)+1500)</f>
        <v>-20052</v>
      </c>
      <c r="AD120" s="426"/>
      <c r="AE120" s="417">
        <v>-2190</v>
      </c>
      <c r="AF120" s="417">
        <v>0</v>
      </c>
      <c r="AG120" s="417">
        <v>-15160.5</v>
      </c>
      <c r="AH120" s="417"/>
      <c r="AI120" s="417">
        <v>-35865</v>
      </c>
      <c r="AJ120" s="317">
        <f>SUM(OPX_LE3!$AC120:$AI120)</f>
        <v>-73267.5</v>
      </c>
      <c r="AK120" s="424">
        <v>0</v>
      </c>
      <c r="AL120" s="276">
        <f>SUM(OPX_LE3!$J120,OPX_LE3!$AB120,OPX_LE3!$S120,OPX_LE3!$AJ120,OPX_LE3!$R120,OPX_LE3!$AK120)</f>
        <v>-308144.5</v>
      </c>
      <c r="AM120" s="427">
        <v>0</v>
      </c>
      <c r="AN120" s="427">
        <v>0</v>
      </c>
    </row>
    <row r="121" spans="1:41" ht="15">
      <c r="A121" s="244" t="s">
        <v>551</v>
      </c>
      <c r="B121" s="232" t="str">
        <f>VLOOKUP(OPX_LE3!$A121,Tableau106[],3,FALSE)</f>
        <v>A313</v>
      </c>
      <c r="C121" s="232" t="str">
        <f>VLOOKUP(OPX_LE3!$A121,Tableau106[],2,FALSE)</f>
        <v>FR89S16E</v>
      </c>
      <c r="D121" s="232" t="str">
        <f>VLOOKUP(OPX_LE3!$A121,Tableau106[],8,FALSE)</f>
        <v>SOLAIRE</v>
      </c>
      <c r="E121" s="233">
        <f>VLOOKUP(OPX_LE3!$A121,Tableau106[],4,FALSE)</f>
        <v>3.8</v>
      </c>
      <c r="F121" s="232" t="str">
        <f>VLOOKUP(OPX_LE3!$A121,Tableau106[],5,FALSE)</f>
        <v>NITR</v>
      </c>
      <c r="G121" s="232" t="str">
        <f>VLOOKUP(OPX_LE3!$A121,Tableau106[],7,FALSE)</f>
        <v>GROUPE</v>
      </c>
      <c r="H121" s="232" t="str">
        <f>VLOOKUP(OPX_LE3!$A121,Tableau106[],6,FALSE)</f>
        <v>N</v>
      </c>
      <c r="I121" s="232" t="str">
        <f>VLOOKUP(OPX_LE3!$A121,Tableau106[],9,FALSE)</f>
        <v>LoG</v>
      </c>
      <c r="J121" s="254">
        <v>-22800</v>
      </c>
      <c r="K121" s="228">
        <v>-10000</v>
      </c>
      <c r="L121" s="228"/>
      <c r="M121" s="229">
        <v>0</v>
      </c>
      <c r="N121" s="229">
        <v>0</v>
      </c>
      <c r="O121" s="229">
        <v>0</v>
      </c>
      <c r="P121" s="229">
        <v>0</v>
      </c>
      <c r="Q121" s="229">
        <f>-250*OPX_LE3!$E121-3800</f>
        <v>-4750</v>
      </c>
      <c r="R121" s="311">
        <f>SUM(OPX_LE3!$K121:$Q121)</f>
        <v>-14750</v>
      </c>
      <c r="S121" s="337">
        <v>0</v>
      </c>
      <c r="T121" s="361">
        <v>0</v>
      </c>
      <c r="U121" s="362">
        <v>0</v>
      </c>
      <c r="V121" s="361">
        <v>0</v>
      </c>
      <c r="W121" s="361">
        <v>0</v>
      </c>
      <c r="X121" s="361">
        <v>0</v>
      </c>
      <c r="Y121" s="361">
        <v>0</v>
      </c>
      <c r="Z121" s="264">
        <v>-950</v>
      </c>
      <c r="AA121" s="423"/>
      <c r="AB121" s="273">
        <f>SUM(OPX_LE3!$T121:$AA121)</f>
        <v>-950</v>
      </c>
      <c r="AC121" s="426"/>
      <c r="AD121" s="426">
        <v>0</v>
      </c>
      <c r="AE121" s="417">
        <v>0</v>
      </c>
      <c r="AF121" s="417">
        <v>0</v>
      </c>
      <c r="AG121" s="417">
        <v>0</v>
      </c>
      <c r="AH121" s="417">
        <v>-5451.98</v>
      </c>
      <c r="AI121" s="417">
        <v>0</v>
      </c>
      <c r="AJ121" s="317">
        <f>SUM(OPX_LE3!$AC121:$AI121)</f>
        <v>-5451.98</v>
      </c>
      <c r="AK121" s="424">
        <v>0</v>
      </c>
      <c r="AL121" s="276">
        <f>SUM(OPX_LE3!$J121,OPX_LE3!$AB121,OPX_LE3!$S121,OPX_LE3!$AJ121,OPX_LE3!$R121,OPX_LE3!$AK121)</f>
        <v>-43951.979999999996</v>
      </c>
      <c r="AM121" s="427">
        <v>0</v>
      </c>
      <c r="AN121" s="427">
        <v>0</v>
      </c>
    </row>
    <row r="122" spans="1:41" ht="15">
      <c r="A122" s="325" t="s">
        <v>480</v>
      </c>
      <c r="B122" s="322" t="str">
        <f>VLOOKUP(OPX_LE3!$A122,Tableau106[],3,FALSE)</f>
        <v>A540</v>
      </c>
      <c r="C122" s="322" t="str">
        <f>VLOOKUP(OPX_LE3!$A122,Tableau106[],2,FALSE)</f>
        <v>FR35E02E</v>
      </c>
      <c r="D122" s="322" t="str">
        <f>VLOOKUP(OPX_LE3!$A122,Tableau106[],8,FALSE)</f>
        <v>EOLIEN</v>
      </c>
      <c r="E122" s="324">
        <f>VLOOKUP(OPX_LE3!$A122,Tableau106[],4,FALSE)</f>
        <v>10</v>
      </c>
      <c r="F122" s="322" t="str">
        <f>VLOOKUP(OPX_LE3!$A122,Tableau106[],5,FALSE)</f>
        <v>NOUR</v>
      </c>
      <c r="G122" s="322" t="str">
        <f>VLOOKUP(OPX_LE3!$A122,Tableau106[],7,FALSE)</f>
        <v>EGM</v>
      </c>
      <c r="H122" s="322" t="str">
        <f>VLOOKUP(OPX_LE3!$A122,Tableau106[],6,FALSE)</f>
        <v>N</v>
      </c>
      <c r="I122" s="322" t="str">
        <f>VLOOKUP(OPX_LE3!$A122,Tableau106[],9,FALSE)</f>
        <v>MaA</v>
      </c>
      <c r="J122" s="254">
        <v>-258123</v>
      </c>
      <c r="K122" s="228">
        <v>-215000</v>
      </c>
      <c r="L122" s="228"/>
      <c r="M122" s="229">
        <v>0</v>
      </c>
      <c r="N122" s="229">
        <v>0</v>
      </c>
      <c r="O122" s="229">
        <v>0</v>
      </c>
      <c r="P122" s="229">
        <v>-3500</v>
      </c>
      <c r="Q122" s="229">
        <f>-250*OPX_LE3!$E122</f>
        <v>-2500</v>
      </c>
      <c r="R122" s="311">
        <f>SUM(OPX_LE3!$K122:$Q122)</f>
        <v>-221000</v>
      </c>
      <c r="S122" s="337">
        <v>-60000</v>
      </c>
      <c r="T122" s="361">
        <v>0</v>
      </c>
      <c r="U122" s="362">
        <v>0</v>
      </c>
      <c r="V122" s="361">
        <v>-2000</v>
      </c>
      <c r="W122" s="361">
        <v>0</v>
      </c>
      <c r="X122" s="361">
        <v>0</v>
      </c>
      <c r="Y122" s="361">
        <v>0</v>
      </c>
      <c r="Z122" s="264">
        <f>-2500-3750</f>
        <v>-6250</v>
      </c>
      <c r="AA122" s="423"/>
      <c r="AB122" s="273">
        <f>SUM(OPX_LE3!$T122:$AA122)</f>
        <v>-8250</v>
      </c>
      <c r="AC122" s="426"/>
      <c r="AD122" s="426"/>
      <c r="AE122" s="417">
        <v>0</v>
      </c>
      <c r="AF122" s="417">
        <v>0</v>
      </c>
      <c r="AG122" s="417">
        <v>0</v>
      </c>
      <c r="AH122" s="417">
        <v>0</v>
      </c>
      <c r="AI122" s="417">
        <v>0</v>
      </c>
      <c r="AJ122" s="317">
        <f>SUM(OPX_LE3!$AC122:$AI122)</f>
        <v>0</v>
      </c>
      <c r="AK122" s="424">
        <v>0</v>
      </c>
      <c r="AL122" s="276">
        <f>SUM(OPX_LE3!$J122,OPX_LE3!$AB122,OPX_LE3!$S122,OPX_LE3!$AJ122,OPX_LE3!$R122,OPX_LE3!$AK122)</f>
        <v>-547373</v>
      </c>
      <c r="AM122" s="427">
        <v>-65000</v>
      </c>
      <c r="AN122" s="427">
        <v>-143000</v>
      </c>
      <c r="AO122" s="6" t="s">
        <v>1538</v>
      </c>
    </row>
    <row r="123" spans="1:41" ht="15">
      <c r="A123" s="244" t="s">
        <v>529</v>
      </c>
      <c r="B123" s="232" t="str">
        <f>VLOOKUP(OPX_LE3!$A123,Tableau106[],3,FALSE)</f>
        <v>A540</v>
      </c>
      <c r="C123" s="232" t="str">
        <f>VLOOKUP(OPX_LE3!$A123,Tableau106[],2,FALSE)</f>
        <v>FR80E01E</v>
      </c>
      <c r="D123" s="232" t="str">
        <f>VLOOKUP(OPX_LE3!$A123,Tableau106[],8,FALSE)</f>
        <v>EOLIEN</v>
      </c>
      <c r="E123" s="233">
        <f>VLOOKUP(OPX_LE3!$A123,Tableau106[],4,FALSE)</f>
        <v>8</v>
      </c>
      <c r="F123" s="232" t="str">
        <f>VLOOKUP(OPX_LE3!$A123,Tableau106[],5,FALSE)</f>
        <v>NURL</v>
      </c>
      <c r="G123" s="232" t="str">
        <f>VLOOKUP(OPX_LE3!$A123,Tableau106[],7,FALSE)</f>
        <v>EGM</v>
      </c>
      <c r="H123" s="232" t="str">
        <f>VLOOKUP(OPX_LE3!$A123,Tableau106[],6,FALSE)</f>
        <v>N</v>
      </c>
      <c r="I123" s="232" t="str">
        <f>VLOOKUP(OPX_LE3!$A123,Tableau106[],9,FALSE)</f>
        <v>NoS</v>
      </c>
      <c r="J123" s="254">
        <v>-206499</v>
      </c>
      <c r="K123" s="228">
        <v>-212000</v>
      </c>
      <c r="L123" s="228"/>
      <c r="M123" s="229">
        <v>0</v>
      </c>
      <c r="N123" s="229">
        <v>0</v>
      </c>
      <c r="O123" s="229">
        <v>0</v>
      </c>
      <c r="P123" s="229">
        <v>-2800</v>
      </c>
      <c r="Q123" s="229">
        <f>-250*OPX_LE3!$E123</f>
        <v>-2000</v>
      </c>
      <c r="R123" s="311">
        <f>SUM(OPX_LE3!$K123:$Q123)</f>
        <v>-216800</v>
      </c>
      <c r="S123" s="337">
        <v>0</v>
      </c>
      <c r="T123" s="361">
        <v>0</v>
      </c>
      <c r="U123" s="362">
        <v>0</v>
      </c>
      <c r="V123" s="361">
        <v>-1000</v>
      </c>
      <c r="W123" s="361">
        <v>0</v>
      </c>
      <c r="X123" s="361">
        <v>0</v>
      </c>
      <c r="Y123" s="361">
        <v>0</v>
      </c>
      <c r="Z123" s="264">
        <f>-2000-3240</f>
        <v>-5240</v>
      </c>
      <c r="AA123" s="423"/>
      <c r="AB123" s="273">
        <f>SUM(OPX_LE3!$T123:$AA123)</f>
        <v>-6240</v>
      </c>
      <c r="AC123" s="426"/>
      <c r="AD123" s="426"/>
      <c r="AE123" s="417">
        <v>0</v>
      </c>
      <c r="AF123" s="417">
        <v>0</v>
      </c>
      <c r="AG123" s="417">
        <v>0</v>
      </c>
      <c r="AH123" s="417">
        <v>0</v>
      </c>
      <c r="AI123" s="417">
        <v>0</v>
      </c>
      <c r="AJ123" s="317">
        <f>SUM(OPX_LE3!$AC123:$AI123)</f>
        <v>0</v>
      </c>
      <c r="AK123" s="424">
        <v>0</v>
      </c>
      <c r="AL123" s="276">
        <f>SUM(OPX_LE3!$J123,OPX_LE3!$AB123,OPX_LE3!$S123,OPX_LE3!$AJ123,OPX_LE3!$R123,OPX_LE3!$AK123)</f>
        <v>-429539</v>
      </c>
      <c r="AM123" s="427">
        <v>-52000</v>
      </c>
      <c r="AN123" s="427">
        <v>-153000</v>
      </c>
      <c r="AO123" s="6" t="s">
        <v>1538</v>
      </c>
    </row>
    <row r="124" spans="1:41" ht="15">
      <c r="A124" s="325" t="s">
        <v>555</v>
      </c>
      <c r="B124" s="322" t="str">
        <f>VLOOKUP(OPX_LE3!$A124,Tableau106[],3,FALSE)</f>
        <v>A374</v>
      </c>
      <c r="C124" s="322" t="str">
        <f>VLOOKUP(OPX_LE3!$A124,Tableau106[],2,FALSE)</f>
        <v>FR68S02E</v>
      </c>
      <c r="D124" s="322" t="str">
        <f>VLOOKUP(OPX_LE3!$A124,Tableau106[],8,FALSE)</f>
        <v>SOLAIRE</v>
      </c>
      <c r="E124" s="324">
        <f>VLOOKUP(OPX_LE3!$A124,Tableau106[],4,FALSE)</f>
        <v>15.5</v>
      </c>
      <c r="F124" s="322" t="str">
        <f>VLOOKUP(OPX_LE3!$A124,Tableau106[],5,FALSE)</f>
        <v>OTTM</v>
      </c>
      <c r="G124" s="322" t="str">
        <f>VLOOKUP(OPX_LE3!$A124,Tableau106[],7,FALSE)</f>
        <v>GROUPE</v>
      </c>
      <c r="H124" s="322" t="str">
        <f>VLOOKUP(OPX_LE3!$A124,Tableau106[],6,FALSE)</f>
        <v>N</v>
      </c>
      <c r="I124" s="322" t="str">
        <f>VLOOKUP(OPX_LE3!$A124,Tableau106[],9,FALSE)</f>
        <v>ZaA</v>
      </c>
      <c r="J124" s="254">
        <v>-99344</v>
      </c>
      <c r="K124" s="228">
        <v>0</v>
      </c>
      <c r="L124" s="228"/>
      <c r="M124" s="229">
        <v>0</v>
      </c>
      <c r="N124" s="229">
        <v>0</v>
      </c>
      <c r="O124" s="229">
        <v>0</v>
      </c>
      <c r="P124" s="229">
        <v>0</v>
      </c>
      <c r="Q124" s="229">
        <f>0.12*Tableau16[[#This Row],[Contrat Groupe EDF Re : (WTG + PDL)]]</f>
        <v>-11921.279999999999</v>
      </c>
      <c r="R124" s="311">
        <f>SUM(OPX_LE3!$K124:$Q124)</f>
        <v>-11921.279999999999</v>
      </c>
      <c r="S124" s="337"/>
      <c r="T124" s="361">
        <v>0</v>
      </c>
      <c r="U124" s="362">
        <v>0</v>
      </c>
      <c r="V124" s="361">
        <v>0</v>
      </c>
      <c r="W124" s="361">
        <v>0</v>
      </c>
      <c r="X124" s="361">
        <v>0</v>
      </c>
      <c r="Y124" s="361">
        <v>0</v>
      </c>
      <c r="Z124" s="264">
        <f>-400*Tableau16[[#This Row],[MW]]</f>
        <v>-6200</v>
      </c>
      <c r="AA124" s="423"/>
      <c r="AB124" s="273">
        <f>SUM(OPX_LE3!$T124:$AA124)</f>
        <v>-6200</v>
      </c>
      <c r="AC124" s="426"/>
      <c r="AD124" s="426">
        <v>0</v>
      </c>
      <c r="AE124" s="417">
        <v>0</v>
      </c>
      <c r="AF124" s="417">
        <v>0</v>
      </c>
      <c r="AG124" s="417">
        <v>0</v>
      </c>
      <c r="AH124" s="417">
        <v>-7385</v>
      </c>
      <c r="AI124" s="417">
        <v>0</v>
      </c>
      <c r="AJ124" s="317">
        <f>SUM(OPX_LE3!$AC124:$AI124)</f>
        <v>-7385</v>
      </c>
      <c r="AK124" s="424">
        <v>0</v>
      </c>
      <c r="AL124" s="276">
        <f>SUM(OPX_LE3!$J124,OPX_LE3!$AB124,OPX_LE3!$S124,OPX_LE3!$AJ124,OPX_LE3!$R124,OPX_LE3!$AK124)</f>
        <v>-124850.28</v>
      </c>
      <c r="AM124" s="427">
        <v>0</v>
      </c>
      <c r="AN124" s="427">
        <v>0</v>
      </c>
    </row>
    <row r="125" spans="1:41" ht="15">
      <c r="A125" s="244" t="s">
        <v>438</v>
      </c>
      <c r="B125" s="232" t="str">
        <f>VLOOKUP(OPX_LE3!$A125,Tableau106[],3,FALSE)</f>
        <v>A044</v>
      </c>
      <c r="C125" s="232" t="str">
        <f>VLOOKUP(OPX_LE3!$A125,Tableau106[],2,FALSE)</f>
        <v>FR34E99E</v>
      </c>
      <c r="D125" s="232" t="str">
        <f>VLOOKUP(OPX_LE3!$A125,Tableau106[],8,FALSE)</f>
        <v>EOLIEN</v>
      </c>
      <c r="E125" s="233">
        <f>VLOOKUP(OPX_LE3!$A125,Tableau106[],4,FALSE)</f>
        <v>8.1</v>
      </c>
      <c r="F125" s="232" t="str">
        <f>VLOOKUP(OPX_LE3!$A125,Tableau106[],5,FALSE)</f>
        <v>OUPI</v>
      </c>
      <c r="G125" s="232" t="str">
        <f>VLOOKUP(OPX_LE3!$A125,Tableau106[],7,FALSE)</f>
        <v>GROUPE</v>
      </c>
      <c r="H125" s="232" t="str">
        <f>VLOOKUP(OPX_LE3!$A125,Tableau106[],6,FALSE)</f>
        <v>S</v>
      </c>
      <c r="I125" s="232" t="str">
        <f>VLOOKUP(OPX_LE3!$A125,Tableau106[],9,FALSE)</f>
        <v>SaH</v>
      </c>
      <c r="J125" s="254">
        <v>-25000</v>
      </c>
      <c r="K125" s="228">
        <v>-22370</v>
      </c>
      <c r="L125" s="228"/>
      <c r="M125" s="229">
        <v>0</v>
      </c>
      <c r="N125" s="229">
        <v>-3000</v>
      </c>
      <c r="O125" s="229">
        <v>0</v>
      </c>
      <c r="P125" s="229">
        <v>0</v>
      </c>
      <c r="Q125" s="229">
        <f>+VLOOKUP(Tableau16[[#This Row],[CODE PI]],Tableau15[[CODE PI]:[Prestations diverses  &amp; accompagnements interne (1,6 k€ par jour d''acc)]],11,FALSE)</f>
        <v>0</v>
      </c>
      <c r="R125" s="311">
        <f>SUM(OPX_LE3!$K125:$Q125)</f>
        <v>-25370</v>
      </c>
      <c r="S125" s="337">
        <v>0</v>
      </c>
      <c r="T125" s="361">
        <v>0</v>
      </c>
      <c r="U125" s="362">
        <v>0</v>
      </c>
      <c r="V125" s="361">
        <v>0</v>
      </c>
      <c r="W125" s="361">
        <v>0</v>
      </c>
      <c r="X125" s="361"/>
      <c r="Y125" s="361">
        <v>0</v>
      </c>
      <c r="Z125" s="264"/>
      <c r="AA125" s="423"/>
      <c r="AB125" s="273">
        <f>SUM(OPX_LE3!$T125:$AA125)</f>
        <v>0</v>
      </c>
      <c r="AC125" s="426"/>
      <c r="AD125" s="426"/>
      <c r="AE125" s="417">
        <v>0</v>
      </c>
      <c r="AF125" s="417">
        <v>0</v>
      </c>
      <c r="AG125" s="417">
        <v>0</v>
      </c>
      <c r="AH125" s="417">
        <v>0</v>
      </c>
      <c r="AI125" s="417">
        <v>0</v>
      </c>
      <c r="AJ125" s="317">
        <f>SUM(OPX_LE3!$AC125:$AI125)</f>
        <v>0</v>
      </c>
      <c r="AK125" s="424">
        <v>0</v>
      </c>
      <c r="AL125" s="276">
        <f>SUM(OPX_LE3!$J125,OPX_LE3!$AB125,OPX_LE3!$S125,OPX_LE3!$AJ125,OPX_LE3!$R125,OPX_LE3!$AK125)</f>
        <v>-50370</v>
      </c>
      <c r="AM125" s="427">
        <v>0</v>
      </c>
      <c r="AN125" s="427">
        <v>0</v>
      </c>
    </row>
    <row r="126" spans="1:41" ht="15">
      <c r="A126" s="325" t="s">
        <v>658</v>
      </c>
      <c r="B126" s="330" t="str">
        <f>VLOOKUP(OPX_LE3!$A126,Tableau106[],3,FALSE)</f>
        <v>A044</v>
      </c>
      <c r="C126" s="330" t="str">
        <f>VLOOKUP(OPX_LE3!$A126,Tableau106[],2,FALSE)</f>
        <v>FR34E99E</v>
      </c>
      <c r="D126" s="330" t="str">
        <f>VLOOKUP(OPX_LE3!$A126,Tableau106[],8,FALSE)</f>
        <v>EOLIEN</v>
      </c>
      <c r="E126" s="331">
        <f>VLOOKUP(OPX_LE3!$A126,Tableau106[],4,FALSE)</f>
        <v>20.7</v>
      </c>
      <c r="F126" s="330" t="str">
        <f>VLOOKUP(OPX_LE3!$A126,Tableau106[],5,FALSE)</f>
        <v>OUP2</v>
      </c>
      <c r="G126" s="330" t="str">
        <f>VLOOKUP(OPX_LE3!$A126,Tableau106[],7,FALSE)</f>
        <v>GROUPE</v>
      </c>
      <c r="H126" s="330" t="str">
        <f>VLOOKUP(OPX_LE3!$A126,Tableau106[],6,FALSE)</f>
        <v>S</v>
      </c>
      <c r="I126" s="330" t="str">
        <f>VLOOKUP(OPX_LE3!$A126,Tableau106[],9,FALSE)</f>
        <v>SaH</v>
      </c>
      <c r="J126" s="332">
        <f>-5000</f>
        <v>-5000</v>
      </c>
      <c r="K126" s="228">
        <v>-22370</v>
      </c>
      <c r="L126" s="228"/>
      <c r="M126" s="229"/>
      <c r="N126" s="229"/>
      <c r="O126" s="229"/>
      <c r="P126" s="229"/>
      <c r="Q126" s="229">
        <f>-250*OPX_LE3!$E126</f>
        <v>-5175</v>
      </c>
      <c r="R126" s="311">
        <f>SUM(OPX_LE3!$K126:$Q126)</f>
        <v>-27545</v>
      </c>
      <c r="S126" s="388">
        <f>-(39360*9)/4</f>
        <v>-88560</v>
      </c>
      <c r="T126" s="376"/>
      <c r="U126" s="396"/>
      <c r="V126" s="376"/>
      <c r="W126" s="376"/>
      <c r="X126" s="376"/>
      <c r="Y126" s="376">
        <f>-440*20.7</f>
        <v>-9108</v>
      </c>
      <c r="Z126" s="416">
        <f>-400*Tableau16[[#This Row],[MW]]</f>
        <v>-8280</v>
      </c>
      <c r="AA126" s="434"/>
      <c r="AB126" s="391">
        <f>SUM(OPX_LE3!$T126:$AA126)</f>
        <v>-17388</v>
      </c>
      <c r="AC126" s="426">
        <f>-20000</f>
        <v>-20000</v>
      </c>
      <c r="AD126" s="426">
        <f>-3000</f>
        <v>-3000</v>
      </c>
      <c r="AE126" s="417"/>
      <c r="AF126" s="417"/>
      <c r="AG126" s="417"/>
      <c r="AH126" s="417"/>
      <c r="AI126" s="417"/>
      <c r="AJ126" s="317">
        <f>SUM(OPX_LE3!$AC126:$AI126)</f>
        <v>-23000</v>
      </c>
      <c r="AK126" s="429"/>
      <c r="AL126" s="276">
        <f>SUM(OPX_LE3!$J126,OPX_LE3!$AB126,OPX_LE3!$S126,OPX_LE3!$AJ126,OPX_LE3!$R126,OPX_LE3!$AK126)</f>
        <v>-161493</v>
      </c>
      <c r="AM126" s="427">
        <v>-15000</v>
      </c>
      <c r="AN126" s="427">
        <v>0</v>
      </c>
    </row>
    <row r="127" spans="1:41" ht="15">
      <c r="A127" s="325" t="s">
        <v>492</v>
      </c>
      <c r="B127" s="322" t="str">
        <f>VLOOKUP(OPX_LE3!$A127,Tableau106[],3,FALSE)</f>
        <v>A540</v>
      </c>
      <c r="C127" s="322" t="str">
        <f>VLOOKUP(OPX_LE3!$A127,Tableau106[],2,FALSE)</f>
        <v>FR79E01E</v>
      </c>
      <c r="D127" s="322" t="str">
        <f>VLOOKUP(OPX_LE3!$A127,Tableau106[],8,FALSE)</f>
        <v>EOLIEN</v>
      </c>
      <c r="E127" s="324">
        <f>VLOOKUP(OPX_LE3!$A127,Tableau106[],4,FALSE)</f>
        <v>12</v>
      </c>
      <c r="F127" s="322" t="str">
        <f>VLOOKUP(OPX_LE3!$A127,Tableau106[],5,FALSE)</f>
        <v>PAMP</v>
      </c>
      <c r="G127" s="322" t="str">
        <f>VLOOKUP(OPX_LE3!$A127,Tableau106[],7,FALSE)</f>
        <v>EGM</v>
      </c>
      <c r="H127" s="322" t="str">
        <f>VLOOKUP(OPX_LE3!$A127,Tableau106[],6,FALSE)</f>
        <v>N</v>
      </c>
      <c r="I127" s="322" t="str">
        <f>VLOOKUP(OPX_LE3!$A127,Tableau106[],9,FALSE)</f>
        <v>DeN</v>
      </c>
      <c r="J127" s="254">
        <v>-258123</v>
      </c>
      <c r="K127" s="228">
        <v>-166500</v>
      </c>
      <c r="L127" s="228"/>
      <c r="M127" s="229">
        <v>0</v>
      </c>
      <c r="N127" s="229">
        <v>0</v>
      </c>
      <c r="O127" s="229">
        <v>0</v>
      </c>
      <c r="P127" s="229">
        <v>-4200</v>
      </c>
      <c r="Q127" s="229">
        <f>-250*OPX_LE3!$E127</f>
        <v>-3000</v>
      </c>
      <c r="R127" s="311">
        <f>SUM(OPX_LE3!$K127:$Q127)</f>
        <v>-173700</v>
      </c>
      <c r="S127" s="337">
        <v>0</v>
      </c>
      <c r="T127" s="361">
        <v>0</v>
      </c>
      <c r="U127" s="362">
        <v>0</v>
      </c>
      <c r="V127" s="361">
        <v>-2000</v>
      </c>
      <c r="W127" s="361">
        <v>0</v>
      </c>
      <c r="X127" s="361">
        <v>0</v>
      </c>
      <c r="Y127" s="361">
        <v>0</v>
      </c>
      <c r="Z127" s="264">
        <f>-3000-220-200-3750</f>
        <v>-7170</v>
      </c>
      <c r="AA127" s="423"/>
      <c r="AB127" s="273">
        <f>SUM(OPX_LE3!$T127:$AA127)</f>
        <v>-9170</v>
      </c>
      <c r="AC127" s="426"/>
      <c r="AD127" s="426"/>
      <c r="AE127" s="417">
        <v>-5000</v>
      </c>
      <c r="AF127" s="417">
        <v>-10563.41</v>
      </c>
      <c r="AG127" s="417">
        <v>-16250</v>
      </c>
      <c r="AH127" s="417">
        <v>0</v>
      </c>
      <c r="AI127" s="417">
        <v>-6652</v>
      </c>
      <c r="AJ127" s="317">
        <f>SUM(OPX_LE3!$AC127:$AI127)</f>
        <v>-38465.410000000003</v>
      </c>
      <c r="AK127" s="424">
        <v>0</v>
      </c>
      <c r="AL127" s="276">
        <f>SUM(OPX_LE3!$J127,OPX_LE3!$AB127,OPX_LE3!$S127,OPX_LE3!$AJ127,OPX_LE3!$R127,OPX_LE3!$AK127)</f>
        <v>-479458.41000000003</v>
      </c>
      <c r="AM127" s="427">
        <v>0</v>
      </c>
      <c r="AN127" s="427">
        <v>-160000</v>
      </c>
      <c r="AO127" s="6" t="s">
        <v>1539</v>
      </c>
    </row>
    <row r="128" spans="1:41" ht="15">
      <c r="A128" s="244" t="s">
        <v>534</v>
      </c>
      <c r="B128" s="232" t="str">
        <f>VLOOKUP(OPX_LE3!$A128,Tableau106[],3,FALSE)</f>
        <v>A418</v>
      </c>
      <c r="C128" s="232" t="str">
        <f>VLOOKUP(OPX_LE3!$A128,Tableau106[],2,FALSE)</f>
        <v>FR51E08E</v>
      </c>
      <c r="D128" s="232" t="str">
        <f>VLOOKUP(OPX_LE3!$A128,Tableau106[],8,FALSE)</f>
        <v>EOLIEN</v>
      </c>
      <c r="E128" s="233">
        <f>VLOOKUP(OPX_LE3!$A128,Tableau106[],4,FALSE)</f>
        <v>21.6</v>
      </c>
      <c r="F128" s="232" t="str">
        <f>VLOOKUP(OPX_LE3!$A128,Tableau106[],5,FALSE)</f>
        <v>PAAN</v>
      </c>
      <c r="G128" s="232" t="str">
        <f>VLOOKUP(OPX_LE3!$A128,Tableau106[],7,FALSE)</f>
        <v>GROUPE</v>
      </c>
      <c r="H128" s="232" t="str">
        <f>VLOOKUP(OPX_LE3!$A128,Tableau106[],6,FALSE)</f>
        <v>N</v>
      </c>
      <c r="I128" s="232" t="str">
        <f>VLOOKUP(OPX_LE3!$A128,Tableau106[],9,FALSE)</f>
        <v>AlY</v>
      </c>
      <c r="J128" s="254">
        <f>-306789-(0.00132*((CA_LE3!J124-47850)*1000))</f>
        <v>-313522.95591000002</v>
      </c>
      <c r="K128" s="228">
        <v>-5500</v>
      </c>
      <c r="L128" s="228"/>
      <c r="M128" s="229">
        <v>0</v>
      </c>
      <c r="N128" s="229">
        <v>0</v>
      </c>
      <c r="O128" s="229">
        <v>0</v>
      </c>
      <c r="P128" s="229">
        <f>-440*Tableau16[[#This Row],[MW]]</f>
        <v>-9504</v>
      </c>
      <c r="Q128" s="229">
        <f>-250*OPX_LE3!$E128</f>
        <v>-5400</v>
      </c>
      <c r="R128" s="311">
        <f>SUM(OPX_LE3!$K128:$Q128)</f>
        <v>-20404</v>
      </c>
      <c r="S128" s="337">
        <v>0</v>
      </c>
      <c r="T128" s="377">
        <v>-3780</v>
      </c>
      <c r="U128" s="362">
        <v>0</v>
      </c>
      <c r="V128" s="361">
        <v>-500</v>
      </c>
      <c r="W128" s="361">
        <v>-23041</v>
      </c>
      <c r="X128" s="361">
        <v>0</v>
      </c>
      <c r="Y128" s="361">
        <v>0</v>
      </c>
      <c r="Z128" s="264">
        <f>-250*Tableau16[[#This Row],[MW]]</f>
        <v>-5400</v>
      </c>
      <c r="AA128" s="423"/>
      <c r="AB128" s="273">
        <f>SUM(OPX_LE3!$T128:$AA128)</f>
        <v>-32721</v>
      </c>
      <c r="AC128" s="426"/>
      <c r="AD128" s="426"/>
      <c r="AE128" s="417">
        <v>0</v>
      </c>
      <c r="AF128" s="417">
        <v>0</v>
      </c>
      <c r="AG128" s="417">
        <v>0</v>
      </c>
      <c r="AH128" s="417">
        <v>0</v>
      </c>
      <c r="AI128" s="417">
        <v>-12960</v>
      </c>
      <c r="AJ128" s="317">
        <f>SUM(OPX_LE3!$AC128:$AI128)</f>
        <v>-12960</v>
      </c>
      <c r="AK128" s="424">
        <v>0</v>
      </c>
      <c r="AL128" s="276">
        <f>SUM(OPX_LE3!$J128,OPX_LE3!$AB128,OPX_LE3!$S128,OPX_LE3!$AJ128,OPX_LE3!$R128,OPX_LE3!$AK128)</f>
        <v>-379607.95591000002</v>
      </c>
      <c r="AM128" s="427">
        <f>(24000)*-1</f>
        <v>-24000</v>
      </c>
      <c r="AN128" s="427">
        <v>0</v>
      </c>
    </row>
    <row r="129" spans="1:41" ht="15">
      <c r="A129" s="325" t="s">
        <v>559</v>
      </c>
      <c r="B129" s="322" t="str">
        <f>VLOOKUP(OPX_LE3!$A129,Tableau106[],3,FALSE)</f>
        <v>A960</v>
      </c>
      <c r="C129" s="322" t="str">
        <f>VLOOKUP(OPX_LE3!$A129,Tableau106[],2,FALSE)</f>
        <v>FRD1E01E</v>
      </c>
      <c r="D129" s="322" t="str">
        <f>VLOOKUP(OPX_LE3!$A129,Tableau106[],8,FALSE)</f>
        <v>EOLIEN DOM</v>
      </c>
      <c r="E129" s="324">
        <f>VLOOKUP(OPX_LE3!$A129,Tableau106[],4,FALSE)</f>
        <v>9</v>
      </c>
      <c r="F129" s="322" t="str">
        <f>VLOOKUP(OPX_LE3!$A129,Tableau106[],5,FALSE)</f>
        <v>PCR1</v>
      </c>
      <c r="G129" s="322" t="str">
        <f>VLOOKUP(OPX_LE3!$A129,Tableau106[],7,FALSE)</f>
        <v>GROUPE</v>
      </c>
      <c r="H129" s="322" t="str">
        <f>VLOOKUP(OPX_LE3!$A129,Tableau106[],6,FALSE)</f>
        <v>DOM</v>
      </c>
      <c r="I129" s="322" t="str">
        <f>VLOOKUP(OPX_LE3!$A129,Tableau106[],9,FALSE)</f>
        <v>DoJ</v>
      </c>
      <c r="J129" s="254">
        <v>0</v>
      </c>
      <c r="K129" s="228">
        <v>0</v>
      </c>
      <c r="L129" s="228"/>
      <c r="M129" s="229">
        <v>0</v>
      </c>
      <c r="N129" s="229">
        <v>0</v>
      </c>
      <c r="O129" s="229">
        <v>0</v>
      </c>
      <c r="P129" s="229">
        <v>0</v>
      </c>
      <c r="Q129" s="229">
        <f>-250*OPX_LE3!$E129</f>
        <v>-2250</v>
      </c>
      <c r="R129" s="311">
        <f>SUM(OPX_LE3!$K129:$Q129)</f>
        <v>-2250</v>
      </c>
      <c r="S129" s="337">
        <v>-399213</v>
      </c>
      <c r="T129" s="361">
        <v>-40000</v>
      </c>
      <c r="U129" s="362">
        <v>0</v>
      </c>
      <c r="V129" s="361">
        <v>-30000</v>
      </c>
      <c r="W129" s="361">
        <v>-7000</v>
      </c>
      <c r="X129" s="361">
        <v>-20000</v>
      </c>
      <c r="Y129" s="361">
        <v>-2</v>
      </c>
      <c r="Z129" s="264">
        <f>-3700</f>
        <v>-3700</v>
      </c>
      <c r="AA129" s="423">
        <f>-3819887*0.002</f>
        <v>-7639.7740000000003</v>
      </c>
      <c r="AB129" s="273">
        <f>SUM(OPX_LE3!$T129:$AA129)</f>
        <v>-108341.774</v>
      </c>
      <c r="AC129" s="426"/>
      <c r="AD129" s="426">
        <f t="shared" ref="AD129:AD132" si="5">-4924*1.03</f>
        <v>-5071.72</v>
      </c>
      <c r="AE129" s="417">
        <v>0</v>
      </c>
      <c r="AF129" s="417">
        <v>0</v>
      </c>
      <c r="AG129" s="417">
        <v>0</v>
      </c>
      <c r="AH129" s="417">
        <v>0</v>
      </c>
      <c r="AI129" s="417">
        <v>0</v>
      </c>
      <c r="AJ129" s="317">
        <f>SUM(OPX_LE3!$AC129:$AI129)</f>
        <v>-5071.72</v>
      </c>
      <c r="AK129" s="424">
        <v>0</v>
      </c>
      <c r="AL129" s="276">
        <f>SUM(OPX_LE3!$J129,OPX_LE3!$AB129,OPX_LE3!$S129,OPX_LE3!$AJ129,OPX_LE3!$R129,OPX_LE3!$AK129)</f>
        <v>-514876.49399999995</v>
      </c>
      <c r="AM129" s="427">
        <v>0</v>
      </c>
      <c r="AN129" s="427">
        <v>0</v>
      </c>
    </row>
    <row r="130" spans="1:41" ht="15">
      <c r="A130" s="244" t="s">
        <v>595</v>
      </c>
      <c r="B130" s="232" t="str">
        <f>VLOOKUP(OPX_LE3!$A130,Tableau106[],3,FALSE)</f>
        <v>A935</v>
      </c>
      <c r="C130" s="232" t="str">
        <f>VLOOKUP(OPX_LE3!$A130,Tableau106[],2,FALSE)</f>
        <v>FR34E84E</v>
      </c>
      <c r="D130" s="232" t="str">
        <f>VLOOKUP(OPX_LE3!$A130,Tableau106[],8,FALSE)</f>
        <v>EOLIEN</v>
      </c>
      <c r="E130" s="233">
        <f>VLOOKUP(OPX_LE3!$A130,Tableau106[],4,FALSE)</f>
        <v>6</v>
      </c>
      <c r="F130" s="232" t="str">
        <f>VLOOKUP(OPX_LE3!$A130,Tableau106[],5,FALSE)</f>
        <v>PEMO</v>
      </c>
      <c r="G130" s="232" t="str">
        <f>VLOOKUP(OPX_LE3!$A130,Tableau106[],7,FALSE)</f>
        <v>FUTUREN</v>
      </c>
      <c r="H130" s="232" t="str">
        <f>VLOOKUP(OPX_LE3!$A130,Tableau106[],6,FALSE)</f>
        <v>S</v>
      </c>
      <c r="I130" s="232" t="str">
        <f>VLOOKUP(OPX_LE3!$A130,Tableau106[],9,FALSE)</f>
        <v>KéD</v>
      </c>
      <c r="J130" s="254">
        <v>-189061</v>
      </c>
      <c r="K130" s="228">
        <v>-43810</v>
      </c>
      <c r="L130" s="228"/>
      <c r="M130" s="229">
        <v>0</v>
      </c>
      <c r="N130" s="229">
        <v>0</v>
      </c>
      <c r="O130" s="229">
        <v>0</v>
      </c>
      <c r="P130" s="229">
        <v>-2100</v>
      </c>
      <c r="Q130" s="229">
        <f>-250*OPX_LE3!$E130</f>
        <v>-1500</v>
      </c>
      <c r="R130" s="311">
        <f>SUM(OPX_LE3!$K130:$Q130)</f>
        <v>-47410</v>
      </c>
      <c r="S130" s="337">
        <v>0</v>
      </c>
      <c r="T130" s="361">
        <v>0</v>
      </c>
      <c r="U130" s="362">
        <v>0</v>
      </c>
      <c r="V130" s="361">
        <f>-(5000)</f>
        <v>-5000</v>
      </c>
      <c r="W130" s="361">
        <v>0</v>
      </c>
      <c r="X130" s="361">
        <v>-8000</v>
      </c>
      <c r="Y130" s="361">
        <v>0</v>
      </c>
      <c r="Z130" s="264">
        <v>-1500</v>
      </c>
      <c r="AA130" s="423"/>
      <c r="AB130" s="273">
        <f>SUM(OPX_LE3!$T130:$AA130)</f>
        <v>-14500</v>
      </c>
      <c r="AC130" s="231">
        <f>-((6184*3)+1500)</f>
        <v>-20052</v>
      </c>
      <c r="AD130" s="426"/>
      <c r="AE130" s="417">
        <v>-2190</v>
      </c>
      <c r="AF130" s="417">
        <v>0</v>
      </c>
      <c r="AG130" s="417">
        <v>-15160.5</v>
      </c>
      <c r="AH130" s="417"/>
      <c r="AI130" s="417">
        <v>-10390</v>
      </c>
      <c r="AJ130" s="317">
        <f>SUM(OPX_LE3!$AC130:$AI130)</f>
        <v>-47792.5</v>
      </c>
      <c r="AK130" s="424">
        <v>0</v>
      </c>
      <c r="AL130" s="276">
        <f>SUM(OPX_LE3!$J130,OPX_LE3!$AB130,OPX_LE3!$S130,OPX_LE3!$AJ130,OPX_LE3!$R130,OPX_LE3!$AK130)</f>
        <v>-298763.5</v>
      </c>
      <c r="AM130" s="427">
        <v>0</v>
      </c>
      <c r="AN130" s="427">
        <v>0</v>
      </c>
    </row>
    <row r="131" spans="1:41" ht="15">
      <c r="A131" s="325" t="s">
        <v>562</v>
      </c>
      <c r="B131" s="322" t="str">
        <f>VLOOKUP(OPX_LE3!$A131,Tableau106[],3,FALSE)</f>
        <v>A166</v>
      </c>
      <c r="C131" s="322" t="str">
        <f>VLOOKUP(OPX_LE3!$A131,Tableau106[],2,FALSE)</f>
        <v>FR97S86E</v>
      </c>
      <c r="D131" s="322" t="str">
        <f>VLOOKUP(OPX_LE3!$A131,Tableau106[],8,FALSE)</f>
        <v>SOLAIRE DOM</v>
      </c>
      <c r="E131" s="324">
        <f>VLOOKUP(OPX_LE3!$A131,Tableau106[],4,FALSE)</f>
        <v>3.456</v>
      </c>
      <c r="F131" s="322" t="str">
        <f>VLOOKUP(OPX_LE3!$A131,Tableau106[],5,FALSE)</f>
        <v>PIER</v>
      </c>
      <c r="G131" s="322" t="str">
        <f>VLOOKUP(OPX_LE3!$A131,Tableau106[],7,FALSE)</f>
        <v>GROUPE</v>
      </c>
      <c r="H131" s="322" t="str">
        <f>VLOOKUP(OPX_LE3!$A131,Tableau106[],6,FALSE)</f>
        <v>DOM</v>
      </c>
      <c r="I131" s="322" t="str">
        <f>VLOOKUP(OPX_LE3!$A131,Tableau106[],9,FALSE)</f>
        <v>BéK</v>
      </c>
      <c r="J131" s="254">
        <v>0</v>
      </c>
      <c r="K131" s="228">
        <v>0</v>
      </c>
      <c r="L131" s="228"/>
      <c r="M131" s="229">
        <v>0</v>
      </c>
      <c r="N131" s="229">
        <v>0</v>
      </c>
      <c r="O131" s="229">
        <v>0</v>
      </c>
      <c r="P131" s="229">
        <v>0</v>
      </c>
      <c r="Q131" s="229">
        <f>-250*OPX_LE3!$E131</f>
        <v>-864</v>
      </c>
      <c r="R131" s="311">
        <f>SUM(OPX_LE3!$K131:$Q131)</f>
        <v>-864</v>
      </c>
      <c r="S131" s="337">
        <v>-229321</v>
      </c>
      <c r="T131" s="361">
        <v>0</v>
      </c>
      <c r="U131" s="362">
        <v>0</v>
      </c>
      <c r="V131" s="361">
        <v>-5000</v>
      </c>
      <c r="W131" s="361"/>
      <c r="X131" s="361"/>
      <c r="Y131" s="361"/>
      <c r="Z131" s="264">
        <v>-15000</v>
      </c>
      <c r="AA131" s="423">
        <v>-4800</v>
      </c>
      <c r="AB131" s="273">
        <f>SUM(OPX_LE3!$T131:$AA131)</f>
        <v>-24800</v>
      </c>
      <c r="AC131" s="426"/>
      <c r="AD131" s="426">
        <v>0</v>
      </c>
      <c r="AE131" s="417">
        <v>0</v>
      </c>
      <c r="AF131" s="417">
        <v>0</v>
      </c>
      <c r="AG131" s="417">
        <v>0</v>
      </c>
      <c r="AH131" s="417">
        <v>0</v>
      </c>
      <c r="AI131" s="417">
        <v>0</v>
      </c>
      <c r="AJ131" s="317">
        <f>SUM(OPX_LE3!$AC131:$AI131)</f>
        <v>0</v>
      </c>
      <c r="AK131" s="424">
        <v>0</v>
      </c>
      <c r="AL131" s="276">
        <f>SUM(OPX_LE3!$J131,OPX_LE3!$AB131,OPX_LE3!$S131,OPX_LE3!$AJ131,OPX_LE3!$R131,OPX_LE3!$AK131)</f>
        <v>-254985</v>
      </c>
      <c r="AM131" s="427">
        <v>-92000</v>
      </c>
      <c r="AN131" s="427">
        <v>0</v>
      </c>
      <c r="AO131" s="6" t="s">
        <v>875</v>
      </c>
    </row>
    <row r="132" spans="1:41" ht="15">
      <c r="A132" s="244" t="s">
        <v>556</v>
      </c>
      <c r="B132" s="232" t="str">
        <f>VLOOKUP(OPX_LE3!$A132,Tableau106[],3,FALSE)</f>
        <v>A160</v>
      </c>
      <c r="C132" s="232" t="str">
        <f>VLOOKUP(OPX_LE3!$A132,Tableau106[],2,FALSE)</f>
        <v>FR11E85E</v>
      </c>
      <c r="D132" s="232" t="str">
        <f>VLOOKUP(OPX_LE3!$A132,Tableau106[],8,FALSE)</f>
        <v>EOLIEN</v>
      </c>
      <c r="E132" s="233">
        <f>VLOOKUP(OPX_LE3!$A132,Tableau106[],4,FALSE)</f>
        <v>11.5</v>
      </c>
      <c r="F132" s="232" t="str">
        <f>VLOOKUP(OPX_LE3!$A132,Tableau106[],5,FALSE)</f>
        <v>LUC2</v>
      </c>
      <c r="G132" s="232" t="str">
        <f>VLOOKUP(OPX_LE3!$A132,Tableau106[],7,FALSE)</f>
        <v>FUTUREN</v>
      </c>
      <c r="H132" s="232" t="str">
        <f>VLOOKUP(OPX_LE3!$A132,Tableau106[],6,FALSE)</f>
        <v>S</v>
      </c>
      <c r="I132" s="232" t="str">
        <f>VLOOKUP(OPX_LE3!$A132,Tableau106[],9,FALSE)</f>
        <v>StE</v>
      </c>
      <c r="J132" s="254">
        <v>-6690</v>
      </c>
      <c r="K132" s="228">
        <v>-2050</v>
      </c>
      <c r="L132" s="228"/>
      <c r="M132" s="229">
        <v>0</v>
      </c>
      <c r="N132" s="229">
        <v>0</v>
      </c>
      <c r="O132" s="229">
        <v>0</v>
      </c>
      <c r="P132" s="229">
        <v>-5060</v>
      </c>
      <c r="Q132" s="229">
        <f>-250*OPX_LE3!$E132-1000</f>
        <v>-3875</v>
      </c>
      <c r="R132" s="311">
        <f>SUM(OPX_LE3!$K132:$Q132)</f>
        <v>-10985</v>
      </c>
      <c r="S132" s="337">
        <v>-377504</v>
      </c>
      <c r="T132" s="361">
        <v>0</v>
      </c>
      <c r="U132" s="362">
        <v>0</v>
      </c>
      <c r="V132" s="361">
        <v>-5000</v>
      </c>
      <c r="W132" s="361">
        <v>-6000</v>
      </c>
      <c r="X132" s="361">
        <v>-1000</v>
      </c>
      <c r="Y132" s="361">
        <v>0</v>
      </c>
      <c r="Z132" s="264">
        <f>-3750-2875</f>
        <v>-6625</v>
      </c>
      <c r="AA132" s="423">
        <v>-5000</v>
      </c>
      <c r="AB132" s="273">
        <f>SUM(OPX_LE3!$T132:$AA132)</f>
        <v>-23625</v>
      </c>
      <c r="AC132" s="426"/>
      <c r="AD132" s="426">
        <f t="shared" si="5"/>
        <v>-5071.72</v>
      </c>
      <c r="AE132" s="417">
        <v>0</v>
      </c>
      <c r="AF132" s="417">
        <v>0</v>
      </c>
      <c r="AG132" s="417">
        <v>0</v>
      </c>
      <c r="AH132" s="417">
        <v>0</v>
      </c>
      <c r="AI132" s="417">
        <v>-3500</v>
      </c>
      <c r="AJ132" s="317">
        <f>SUM(OPX_LE3!$AC132:$AI132)</f>
        <v>-8571.7200000000012</v>
      </c>
      <c r="AK132" s="424">
        <v>0</v>
      </c>
      <c r="AL132" s="276">
        <f>SUM(OPX_LE3!$J132,OPX_LE3!$AB132,OPX_LE3!$S132,OPX_LE3!$AJ132,OPX_LE3!$R132,OPX_LE3!$AK132)</f>
        <v>-427375.72</v>
      </c>
      <c r="AM132" s="427">
        <v>0</v>
      </c>
      <c r="AN132" s="427">
        <v>0</v>
      </c>
    </row>
    <row r="133" spans="1:41" ht="15">
      <c r="A133" s="325" t="s">
        <v>512</v>
      </c>
      <c r="B133" s="322" t="str">
        <f>VLOOKUP(OPX_LE3!$A133,Tableau106[],3,FALSE)</f>
        <v>A551</v>
      </c>
      <c r="C133" s="322" t="str">
        <f>VLOOKUP(OPX_LE3!$A133,Tableau106[],2,FALSE)</f>
        <v>FR59E02E</v>
      </c>
      <c r="D133" s="322" t="str">
        <f>VLOOKUP(OPX_LE3!$A133,Tableau106[],8,FALSE)</f>
        <v>EOLIEN</v>
      </c>
      <c r="E133" s="324">
        <f>VLOOKUP(OPX_LE3!$A133,Tableau106[],4,FALSE)</f>
        <v>12</v>
      </c>
      <c r="F133" s="322" t="str">
        <f>VLOOKUP(OPX_LE3!$A133,Tableau106[],5,FALSE)</f>
        <v>PLES</v>
      </c>
      <c r="G133" s="322" t="str">
        <f>VLOOKUP(OPX_LE3!$A133,Tableau106[],7,FALSE)</f>
        <v>ENDF</v>
      </c>
      <c r="H133" s="322" t="str">
        <f>VLOOKUP(OPX_LE3!$A133,Tableau106[],6,FALSE)</f>
        <v>N</v>
      </c>
      <c r="I133" s="322" t="str">
        <f>VLOOKUP(OPX_LE3!$A133,Tableau106[],9,FALSE)</f>
        <v>AnN</v>
      </c>
      <c r="J133" s="254">
        <v>0</v>
      </c>
      <c r="K133" s="228">
        <v>0</v>
      </c>
      <c r="L133" s="228"/>
      <c r="M133" s="229">
        <v>0</v>
      </c>
      <c r="N133" s="229">
        <v>0</v>
      </c>
      <c r="O133" s="229">
        <v>0</v>
      </c>
      <c r="P133" s="229">
        <v>0</v>
      </c>
      <c r="Q133" s="229">
        <f>-250*OPX_LE3!$E133</f>
        <v>-3000</v>
      </c>
      <c r="R133" s="311">
        <f>SUM(OPX_LE3!$K133:$Q133)</f>
        <v>-3000</v>
      </c>
      <c r="S133" s="337">
        <v>-384247</v>
      </c>
      <c r="T133" s="361">
        <f>-1500-2553.13-845.68</f>
        <v>-4898.8100000000004</v>
      </c>
      <c r="U133" s="362">
        <v>0</v>
      </c>
      <c r="V133" s="361">
        <f>-4000-2776-3932-875</f>
        <v>-11583</v>
      </c>
      <c r="W133" s="361">
        <f>-2400</f>
        <v>-2400</v>
      </c>
      <c r="X133" s="361">
        <v>0</v>
      </c>
      <c r="Y133" s="361">
        <f>-717</f>
        <v>-717</v>
      </c>
      <c r="Z133" s="264">
        <v>-3000</v>
      </c>
      <c r="AA133" s="423"/>
      <c r="AB133" s="273">
        <f>SUM(OPX_LE3!$T133:$AA133)</f>
        <v>-22598.81</v>
      </c>
      <c r="AC133" s="426"/>
      <c r="AD133" s="426"/>
      <c r="AE133" s="417">
        <v>0</v>
      </c>
      <c r="AF133" s="417">
        <v>0</v>
      </c>
      <c r="AG133" s="417">
        <v>0</v>
      </c>
      <c r="AH133" s="417">
        <v>0</v>
      </c>
      <c r="AI133" s="417">
        <v>0</v>
      </c>
      <c r="AJ133" s="317">
        <f>SUM(OPX_LE3!$AC133:$AI133)</f>
        <v>0</v>
      </c>
      <c r="AK133" s="424">
        <v>-4266.68</v>
      </c>
      <c r="AL133" s="276">
        <f>SUM(OPX_LE3!$J133,OPX_LE3!$AB133,OPX_LE3!$S133,OPX_LE3!$AJ133,OPX_LE3!$R133,OPX_LE3!$AK133)</f>
        <v>-414112.49</v>
      </c>
      <c r="AM133" s="427">
        <v>-24000</v>
      </c>
      <c r="AN133" s="427">
        <v>0</v>
      </c>
    </row>
    <row r="134" spans="1:41" ht="15">
      <c r="A134" s="244" t="s">
        <v>456</v>
      </c>
      <c r="B134" s="232" t="str">
        <f>VLOOKUP(OPX_LE3!$A134,Tableau106[],3,FALSE)</f>
        <v>F150</v>
      </c>
      <c r="C134" s="232" t="str">
        <f>VLOOKUP(OPX_LE3!$A134,Tableau106[],2,FALSE)</f>
        <v>FR22E04E</v>
      </c>
      <c r="D134" s="232" t="str">
        <f>VLOOKUP(OPX_LE3!$A134,Tableau106[],8,FALSE)</f>
        <v>EOLIEN</v>
      </c>
      <c r="E134" s="233">
        <f>VLOOKUP(OPX_LE3!$A134,Tableau106[],4,FALSE)</f>
        <v>6.9</v>
      </c>
      <c r="F134" s="232" t="str">
        <f>VLOOKUP(OPX_LE3!$A134,Tableau106[],5,FALSE)</f>
        <v>PLAT</v>
      </c>
      <c r="G134" s="232" t="str">
        <f>VLOOKUP(OPX_LE3!$A134,Tableau106[],7,FALSE)</f>
        <v>FUTUREN</v>
      </c>
      <c r="H134" s="232" t="str">
        <f>VLOOKUP(OPX_LE3!$A134,Tableau106[],6,FALSE)</f>
        <v>N</v>
      </c>
      <c r="I134" s="232" t="str">
        <f>VLOOKUP(OPX_LE3!$A134,Tableau106[],9,FALSE)</f>
        <v>AlY</v>
      </c>
      <c r="J134" s="254">
        <v>-8948</v>
      </c>
      <c r="K134" s="228">
        <v>-2610</v>
      </c>
      <c r="L134" s="228"/>
      <c r="M134" s="229">
        <v>0</v>
      </c>
      <c r="N134" s="229">
        <v>0</v>
      </c>
      <c r="O134" s="229">
        <v>0</v>
      </c>
      <c r="P134" s="229">
        <f>-440*Tableau16[[#This Row],[MW]]/4</f>
        <v>-759</v>
      </c>
      <c r="Q134" s="229">
        <f>-250*OPX_LE3!$E134</f>
        <v>-1725</v>
      </c>
      <c r="R134" s="311">
        <f>SUM(OPX_LE3!$K134:$Q134)</f>
        <v>-5094</v>
      </c>
      <c r="S134" s="337">
        <v>-254944</v>
      </c>
      <c r="T134" s="361">
        <v>0</v>
      </c>
      <c r="U134" s="362">
        <v>0</v>
      </c>
      <c r="V134" s="361">
        <v>-400</v>
      </c>
      <c r="W134" s="361">
        <v>-14000</v>
      </c>
      <c r="X134" s="361">
        <f>-12000</f>
        <v>-12000</v>
      </c>
      <c r="Y134" s="361">
        <v>-4200</v>
      </c>
      <c r="Z134" s="264">
        <f>-250*Tableau16[[#This Row],[MW]]</f>
        <v>-1725</v>
      </c>
      <c r="AA134" s="423"/>
      <c r="AB134" s="273">
        <f>SUM(OPX_LE3!$T134:$AA134)</f>
        <v>-32325</v>
      </c>
      <c r="AC134" s="426"/>
      <c r="AD134" s="426"/>
      <c r="AE134" s="417">
        <v>0</v>
      </c>
      <c r="AF134" s="417">
        <v>0</v>
      </c>
      <c r="AG134" s="417">
        <v>0</v>
      </c>
      <c r="AH134" s="417">
        <v>0</v>
      </c>
      <c r="AI134" s="417">
        <v>0</v>
      </c>
      <c r="AJ134" s="317">
        <f>SUM(OPX_LE3!$AC134:$AI134)</f>
        <v>0</v>
      </c>
      <c r="AK134" s="415">
        <v>-2000</v>
      </c>
      <c r="AL134" s="276">
        <f>SUM(OPX_LE3!$J134,OPX_LE3!$AB134,OPX_LE3!$S134,OPX_LE3!$AJ134,OPX_LE3!$R134,OPX_LE3!$AK134)</f>
        <v>-303311</v>
      </c>
      <c r="AM134" s="427">
        <v>-13500</v>
      </c>
      <c r="AN134" s="427">
        <v>0</v>
      </c>
    </row>
    <row r="135" spans="1:41" ht="15">
      <c r="A135" s="325" t="s">
        <v>521</v>
      </c>
      <c r="B135" s="322" t="str">
        <f>VLOOKUP(OPX_LE3!$A135,Tableau106[],3,FALSE)</f>
        <v>A552</v>
      </c>
      <c r="C135" s="322" t="str">
        <f>VLOOKUP(OPX_LE3!$A135,Tableau106[],2,FALSE)</f>
        <v>FR02E07E</v>
      </c>
      <c r="D135" s="322" t="str">
        <f>VLOOKUP(OPX_LE3!$A135,Tableau106[],8,FALSE)</f>
        <v>EOLIEN</v>
      </c>
      <c r="E135" s="324">
        <f>VLOOKUP(OPX_LE3!$A135,Tableau106[],4,FALSE)</f>
        <v>21</v>
      </c>
      <c r="F135" s="322" t="str">
        <f>VLOOKUP(OPX_LE3!$A135,Tableau106[],5,FALSE)</f>
        <v>PLAN</v>
      </c>
      <c r="G135" s="322" t="str">
        <f>VLOOKUP(OPX_LE3!$A135,Tableau106[],7,FALSE)</f>
        <v>ENDF</v>
      </c>
      <c r="H135" s="322" t="str">
        <f>VLOOKUP(OPX_LE3!$A135,Tableau106[],6,FALSE)</f>
        <v>N</v>
      </c>
      <c r="I135" s="322" t="str">
        <f>VLOOKUP(OPX_LE3!$A135,Tableau106[],9,FALSE)</f>
        <v>BoK</v>
      </c>
      <c r="J135" s="254">
        <v>0</v>
      </c>
      <c r="K135" s="228">
        <v>0</v>
      </c>
      <c r="L135" s="228"/>
      <c r="M135" s="229">
        <v>0</v>
      </c>
      <c r="N135" s="229">
        <v>0</v>
      </c>
      <c r="O135" s="229">
        <v>0</v>
      </c>
      <c r="P135" s="229">
        <v>0</v>
      </c>
      <c r="Q135" s="229">
        <f>-250*OPX_LE3!$E135</f>
        <v>-5250</v>
      </c>
      <c r="R135" s="311">
        <f>SUM(OPX_LE3!$K135:$Q135)</f>
        <v>-5250</v>
      </c>
      <c r="S135" s="337">
        <v>-674769</v>
      </c>
      <c r="T135" s="361">
        <v>0</v>
      </c>
      <c r="U135" s="362">
        <v>0</v>
      </c>
      <c r="V135" s="361">
        <v>-8000</v>
      </c>
      <c r="W135" s="361">
        <v>0</v>
      </c>
      <c r="X135" s="361">
        <v>0</v>
      </c>
      <c r="Y135" s="361">
        <v>0</v>
      </c>
      <c r="Z135" s="264">
        <f>-4770-5250</f>
        <v>-10020</v>
      </c>
      <c r="AA135" s="423"/>
      <c r="AB135" s="273">
        <f>SUM(OPX_LE3!$T135:$AA135)</f>
        <v>-18020</v>
      </c>
      <c r="AC135" s="426"/>
      <c r="AD135" s="426"/>
      <c r="AE135" s="417">
        <v>0</v>
      </c>
      <c r="AF135" s="417">
        <v>0</v>
      </c>
      <c r="AG135" s="417">
        <v>0</v>
      </c>
      <c r="AH135" s="417">
        <v>0</v>
      </c>
      <c r="AI135" s="417">
        <v>0</v>
      </c>
      <c r="AJ135" s="317">
        <f>SUM(OPX_LE3!$AC135:$AI135)</f>
        <v>0</v>
      </c>
      <c r="AK135" s="424">
        <v>0</v>
      </c>
      <c r="AL135" s="276">
        <f>SUM(OPX_LE3!$J135,OPX_LE3!$AB135,OPX_LE3!$S135,OPX_LE3!$AJ135,OPX_LE3!$R135,OPX_LE3!$AK135)</f>
        <v>-698039</v>
      </c>
      <c r="AM135" s="427">
        <v>-24000</v>
      </c>
      <c r="AN135" s="427">
        <v>0</v>
      </c>
    </row>
    <row r="136" spans="1:41" ht="15">
      <c r="A136" s="244" t="s">
        <v>560</v>
      </c>
      <c r="B136" s="232" t="str">
        <f>VLOOKUP(OPX_LE3!$A136,Tableau106[],3,FALSE)</f>
        <v>A370</v>
      </c>
      <c r="C136" s="232" t="str">
        <f>VLOOKUP(OPX_LE3!$A136,Tableau106[],2,FALSE)</f>
        <v>FR11E94E</v>
      </c>
      <c r="D136" s="232" t="str">
        <f>VLOOKUP(OPX_LE3!$A136,Tableau106[],8,FALSE)</f>
        <v>EOLIEN</v>
      </c>
      <c r="E136" s="233">
        <f>VLOOKUP(OPX_LE3!$A136,Tableau106[],4,FALSE)</f>
        <v>9.1999999999999993</v>
      </c>
      <c r="F136" s="232" t="str">
        <f>VLOOKUP(OPX_LE3!$A136,Tableau106[],5,FALSE)</f>
        <v>PLGR</v>
      </c>
      <c r="G136" s="232" t="str">
        <f>VLOOKUP(OPX_LE3!$A136,Tableau106[],7,FALSE)</f>
        <v>GROUPE</v>
      </c>
      <c r="H136" s="232" t="str">
        <f>VLOOKUP(OPX_LE3!$A136,Tableau106[],6,FALSE)</f>
        <v>S</v>
      </c>
      <c r="I136" s="232" t="str">
        <f>VLOOKUP(OPX_LE3!$A136,Tableau106[],9,FALSE)</f>
        <v>ThC</v>
      </c>
      <c r="J136" s="254">
        <v>-9840</v>
      </c>
      <c r="K136" s="228">
        <v>-8750</v>
      </c>
      <c r="L136" s="228"/>
      <c r="M136" s="229">
        <v>0</v>
      </c>
      <c r="N136" s="229">
        <v>0</v>
      </c>
      <c r="O136" s="229">
        <v>0</v>
      </c>
      <c r="P136" s="229">
        <v>-4100</v>
      </c>
      <c r="Q136" s="229">
        <f>-250*OPX_LE3!$E136</f>
        <v>-2300</v>
      </c>
      <c r="R136" s="311">
        <f>SUM(OPX_LE3!$K136:$Q136)</f>
        <v>-15150</v>
      </c>
      <c r="S136" s="337">
        <v>-328476</v>
      </c>
      <c r="T136" s="361">
        <v>0</v>
      </c>
      <c r="U136" s="362">
        <v>0</v>
      </c>
      <c r="V136" s="361">
        <v>-11100</v>
      </c>
      <c r="W136" s="361">
        <v>-5000</v>
      </c>
      <c r="X136" s="361">
        <v>0</v>
      </c>
      <c r="Y136" s="361"/>
      <c r="Z136" s="264">
        <v>-2300</v>
      </c>
      <c r="AA136" s="423">
        <v>-4000</v>
      </c>
      <c r="AB136" s="273">
        <f>SUM(OPX_LE3!$T136:$AA136)</f>
        <v>-22400</v>
      </c>
      <c r="AC136" s="426"/>
      <c r="AD136" s="426"/>
      <c r="AE136" s="417">
        <v>0</v>
      </c>
      <c r="AF136" s="417">
        <v>-7797</v>
      </c>
      <c r="AG136" s="417">
        <v>-12400</v>
      </c>
      <c r="AH136" s="417">
        <v>0</v>
      </c>
      <c r="AI136" s="417">
        <v>-20000</v>
      </c>
      <c r="AJ136" s="317">
        <f>SUM(OPX_LE3!$AC136:$AI136)</f>
        <v>-40197</v>
      </c>
      <c r="AK136" s="424">
        <v>0</v>
      </c>
      <c r="AL136" s="276">
        <f>SUM(OPX_LE3!$J136,OPX_LE3!$AB136,OPX_LE3!$S136,OPX_LE3!$AJ136,OPX_LE3!$R136,OPX_LE3!$AK136)</f>
        <v>-416063</v>
      </c>
      <c r="AM136" s="427">
        <v>0</v>
      </c>
      <c r="AN136" s="427">
        <v>0</v>
      </c>
    </row>
    <row r="137" spans="1:41" ht="15">
      <c r="A137" s="325" t="s">
        <v>566</v>
      </c>
      <c r="B137" s="322" t="str">
        <f>VLOOKUP(OPX_LE3!$A137,Tableau106[],3,FALSE)</f>
        <v>A545</v>
      </c>
      <c r="C137" s="322" t="str">
        <f>VLOOKUP(OPX_LE3!$A137,Tableau106[],2,FALSE)</f>
        <v>FR56E05E</v>
      </c>
      <c r="D137" s="322" t="str">
        <f>VLOOKUP(OPX_LE3!$A137,Tableau106[],8,FALSE)</f>
        <v>EOLIEN</v>
      </c>
      <c r="E137" s="324">
        <f>VLOOKUP(OPX_LE3!$A137,Tableau106[],4,FALSE)</f>
        <v>10</v>
      </c>
      <c r="F137" s="322" t="str">
        <f>VLOOKUP(OPX_LE3!$A137,Tableau106[],5,FALSE)</f>
        <v>PLEU</v>
      </c>
      <c r="G137" s="322" t="str">
        <f>VLOOKUP(OPX_LE3!$A137,Tableau106[],7,FALSE)</f>
        <v>EGM</v>
      </c>
      <c r="H137" s="322" t="str">
        <f>VLOOKUP(OPX_LE3!$A137,Tableau106[],6,FALSE)</f>
        <v>N</v>
      </c>
      <c r="I137" s="322" t="str">
        <f>VLOOKUP(OPX_LE3!$A137,Tableau106[],9,FALSE)</f>
        <v>MaA</v>
      </c>
      <c r="J137" s="254">
        <v>-258123</v>
      </c>
      <c r="K137" s="228">
        <v>-191500</v>
      </c>
      <c r="L137" s="228"/>
      <c r="M137" s="229">
        <v>0</v>
      </c>
      <c r="N137" s="229">
        <v>0</v>
      </c>
      <c r="O137" s="229">
        <v>0</v>
      </c>
      <c r="P137" s="229">
        <v>-3500</v>
      </c>
      <c r="Q137" s="229">
        <f>-250*OPX_LE3!$E137</f>
        <v>-2500</v>
      </c>
      <c r="R137" s="311">
        <f>SUM(OPX_LE3!$K137:$Q137)</f>
        <v>-197500</v>
      </c>
      <c r="S137" s="337">
        <v>0</v>
      </c>
      <c r="T137" s="361">
        <v>0</v>
      </c>
      <c r="U137" s="362">
        <v>0</v>
      </c>
      <c r="V137" s="361">
        <f>-2000-1541</f>
        <v>-3541</v>
      </c>
      <c r="W137" s="361">
        <v>0</v>
      </c>
      <c r="X137" s="361">
        <v>0</v>
      </c>
      <c r="Y137" s="361">
        <v>0</v>
      </c>
      <c r="Z137" s="264">
        <v>-2500</v>
      </c>
      <c r="AA137" s="423"/>
      <c r="AB137" s="273">
        <f>SUM(OPX_LE3!$T137:$AA137)</f>
        <v>-6041</v>
      </c>
      <c r="AC137" s="426"/>
      <c r="AD137" s="426"/>
      <c r="AE137" s="417">
        <v>0</v>
      </c>
      <c r="AF137" s="417">
        <v>0</v>
      </c>
      <c r="AG137" s="417">
        <v>0</v>
      </c>
      <c r="AH137" s="417">
        <v>0</v>
      </c>
      <c r="AI137" s="417">
        <v>0</v>
      </c>
      <c r="AJ137" s="317">
        <f>SUM(OPX_LE3!$AC137:$AI137)</f>
        <v>0</v>
      </c>
      <c r="AK137" s="424">
        <f>-14084-3775</f>
        <v>-17859</v>
      </c>
      <c r="AL137" s="276">
        <f>SUM(OPX_LE3!$J137,OPX_LE3!$AB137,OPX_LE3!$S137,OPX_LE3!$AJ137,OPX_LE3!$R137,OPX_LE3!$AK137)</f>
        <v>-479523</v>
      </c>
      <c r="AM137" s="427">
        <v>0</v>
      </c>
      <c r="AN137" s="427">
        <v>-185000</v>
      </c>
      <c r="AO137" s="469" t="s">
        <v>1535</v>
      </c>
    </row>
    <row r="138" spans="1:41" ht="15" customHeight="1">
      <c r="A138" s="244" t="s">
        <v>195</v>
      </c>
      <c r="B138" s="232" t="str">
        <f>VLOOKUP(OPX_LE3!$A138,Tableau106[],3,FALSE)</f>
        <v>F034</v>
      </c>
      <c r="C138" s="232" t="str">
        <f>VLOOKUP(OPX_LE3!$A138,Tableau106[],2,FALSE)</f>
        <v>FR12E94E</v>
      </c>
      <c r="D138" s="232" t="str">
        <f>VLOOKUP(OPX_LE3!$A138,Tableau106[],8,FALSE)</f>
        <v>EOLIEN</v>
      </c>
      <c r="E138" s="233">
        <f>VLOOKUP(OPX_LE3!$A138,Tableau106[],4,FALSE)</f>
        <v>11.5</v>
      </c>
      <c r="F138" s="232" t="str">
        <f>VLOOKUP(OPX_LE3!$A138,Tableau106[],5,FALSE)</f>
        <v>PLOS</v>
      </c>
      <c r="G138" s="232" t="str">
        <f>VLOOKUP(OPX_LE3!$A138,Tableau106[],7,FALSE)</f>
        <v>FUTUREN</v>
      </c>
      <c r="H138" s="232" t="str">
        <f>VLOOKUP(OPX_LE3!$A138,Tableau106[],6,FALSE)</f>
        <v>S</v>
      </c>
      <c r="I138" s="232" t="str">
        <f>VLOOKUP(OPX_LE3!$A138,Tableau106[],9,FALSE)</f>
        <v>OdP</v>
      </c>
      <c r="J138" s="254">
        <v>-6213</v>
      </c>
      <c r="K138" s="228">
        <f>-4630+2875</f>
        <v>-1755</v>
      </c>
      <c r="L138" s="228"/>
      <c r="M138" s="229">
        <v>0</v>
      </c>
      <c r="N138" s="229">
        <v>0</v>
      </c>
      <c r="O138" s="229">
        <v>0</v>
      </c>
      <c r="P138" s="229">
        <v>-6900</v>
      </c>
      <c r="Q138" s="229">
        <f>-250*OPX_LE3!$E138</f>
        <v>-2875</v>
      </c>
      <c r="R138" s="311">
        <f>SUM(OPX_LE3!$K138:$Q138)</f>
        <v>-11530</v>
      </c>
      <c r="S138" s="337">
        <v>-230094</v>
      </c>
      <c r="T138" s="361">
        <v>0</v>
      </c>
      <c r="U138" s="362">
        <v>0</v>
      </c>
      <c r="V138" s="361">
        <v>-2471.5</v>
      </c>
      <c r="W138" s="361">
        <v>0</v>
      </c>
      <c r="X138" s="361">
        <v>0</v>
      </c>
      <c r="Y138" s="361">
        <v>0</v>
      </c>
      <c r="Z138" s="264">
        <v>-10000</v>
      </c>
      <c r="AA138" s="423">
        <v>-4000</v>
      </c>
      <c r="AB138" s="273">
        <f>SUM(OPX_LE3!$T138:$AA138)</f>
        <v>-16471.5</v>
      </c>
      <c r="AC138" s="426">
        <v>-26000</v>
      </c>
      <c r="AD138" s="426">
        <f>-4924*1.03</f>
        <v>-5071.72</v>
      </c>
      <c r="AE138" s="417">
        <v>-25489</v>
      </c>
      <c r="AF138" s="417">
        <v>0</v>
      </c>
      <c r="AG138" s="417">
        <v>-7899</v>
      </c>
      <c r="AH138" s="417">
        <v>0</v>
      </c>
      <c r="AI138" s="417">
        <v>0</v>
      </c>
      <c r="AJ138" s="317">
        <f>SUM(OPX_LE3!$AC138:$AI138)</f>
        <v>-64459.72</v>
      </c>
      <c r="AK138" s="424">
        <v>0</v>
      </c>
      <c r="AL138" s="276">
        <f>SUM(OPX_LE3!$J138,OPX_LE3!$AB138,OPX_LE3!$S138,OPX_LE3!$AJ138,OPX_LE3!$R138,OPX_LE3!$AK138)</f>
        <v>-328768.21999999997</v>
      </c>
      <c r="AM138" s="427">
        <f>(-120000-15000)</f>
        <v>-135000</v>
      </c>
      <c r="AN138" s="427">
        <v>0</v>
      </c>
      <c r="AO138" s="6" t="s">
        <v>1533</v>
      </c>
    </row>
    <row r="139" spans="1:41" ht="15" customHeight="1">
      <c r="A139" s="325" t="s">
        <v>588</v>
      </c>
      <c r="B139" s="322" t="str">
        <f>VLOOKUP(OPX_LE3!$A139,Tableau106[],3,FALSE)</f>
        <v>A533</v>
      </c>
      <c r="C139" s="322" t="str">
        <f>VLOOKUP(OPX_LE3!$A139,Tableau106[],2,FALSE)</f>
        <v>FR57E03E</v>
      </c>
      <c r="D139" s="322" t="str">
        <f>VLOOKUP(OPX_LE3!$A139,Tableau106[],8,FALSE)</f>
        <v>EOLIEN</v>
      </c>
      <c r="E139" s="324">
        <f>VLOOKUP(OPX_LE3!$A139,Tableau106[],4,FALSE)</f>
        <v>8</v>
      </c>
      <c r="F139" s="322" t="str">
        <f>VLOOKUP(OPX_LE3!$A139,Tableau106[],5,FALSE)</f>
        <v>PDFE</v>
      </c>
      <c r="G139" s="322" t="str">
        <f>VLOOKUP(OPX_LE3!$A139,Tableau106[],7,FALSE)</f>
        <v>GROUPE</v>
      </c>
      <c r="H139" s="322" t="str">
        <f>VLOOKUP(OPX_LE3!$A139,Tableau106[],6,FALSE)</f>
        <v>N</v>
      </c>
      <c r="I139" s="322" t="str">
        <f>VLOOKUP(OPX_LE3!$A139,Tableau106[],9,FALSE)</f>
        <v>AyB</v>
      </c>
      <c r="J139" s="254">
        <v>-9220</v>
      </c>
      <c r="K139" s="228">
        <v>-6330</v>
      </c>
      <c r="L139" s="228"/>
      <c r="M139" s="229">
        <v>0</v>
      </c>
      <c r="N139" s="229">
        <v>0</v>
      </c>
      <c r="O139" s="229">
        <v>0</v>
      </c>
      <c r="P139" s="229">
        <f>-440*Tableau16[[#This Row],[MW]]</f>
        <v>-3520</v>
      </c>
      <c r="Q139" s="229">
        <f>-250*OPX_LE3!$E139</f>
        <v>-2000</v>
      </c>
      <c r="R139" s="311">
        <f>SUM(OPX_LE3!$K139:$Q139)</f>
        <v>-11850</v>
      </c>
      <c r="S139" s="337">
        <v>-239689</v>
      </c>
      <c r="T139" s="361">
        <v>0</v>
      </c>
      <c r="U139" s="362">
        <v>0</v>
      </c>
      <c r="V139" s="361">
        <v>-650</v>
      </c>
      <c r="W139" s="361">
        <v>0</v>
      </c>
      <c r="X139" s="361">
        <v>0</v>
      </c>
      <c r="Y139" s="361">
        <v>0</v>
      </c>
      <c r="Z139" s="264">
        <f>-250*Tableau16[[#This Row],[MW]]-3000</f>
        <v>-5000</v>
      </c>
      <c r="AA139" s="423"/>
      <c r="AB139" s="273">
        <f>SUM(OPX_LE3!$T139:$AA139)</f>
        <v>-5650</v>
      </c>
      <c r="AC139" s="426"/>
      <c r="AD139" s="426"/>
      <c r="AE139" s="417">
        <v>0</v>
      </c>
      <c r="AF139" s="417">
        <v>0</v>
      </c>
      <c r="AG139" s="417">
        <v>0</v>
      </c>
      <c r="AH139" s="417">
        <v>0</v>
      </c>
      <c r="AI139" s="417">
        <v>0</v>
      </c>
      <c r="AJ139" s="317">
        <f>SUM(OPX_LE3!$AC139:$AI139)</f>
        <v>0</v>
      </c>
      <c r="AK139" s="424">
        <v>-5000</v>
      </c>
      <c r="AL139" s="276">
        <f>SUM(OPX_LE3!$J139,OPX_LE3!$AB139,OPX_LE3!$S139,OPX_LE3!$AJ139,OPX_LE3!$R139,OPX_LE3!$AK139)</f>
        <v>-271409</v>
      </c>
      <c r="AM139" s="427">
        <v>0</v>
      </c>
      <c r="AN139" s="427">
        <v>0</v>
      </c>
      <c r="AO139" s="6" t="s">
        <v>1534</v>
      </c>
    </row>
    <row r="140" spans="1:41" ht="15">
      <c r="A140" s="244" t="s">
        <v>527</v>
      </c>
      <c r="B140" s="232" t="str">
        <f>VLOOKUP(OPX_LE3!$A140,Tableau106[],3,FALSE)</f>
        <v>A150</v>
      </c>
      <c r="C140" s="232" t="str">
        <f>VLOOKUP(OPX_LE3!$A140,Tableau106[],2,FALSE)</f>
        <v>FR51E01E</v>
      </c>
      <c r="D140" s="232" t="str">
        <f>VLOOKUP(OPX_LE3!$A140,Tableau106[],8,FALSE)</f>
        <v>EOLIEN</v>
      </c>
      <c r="E140" s="233">
        <f>VLOOKUP(OPX_LE3!$A140,Tableau106[],4,FALSE)</f>
        <v>12.3</v>
      </c>
      <c r="F140" s="232" t="str">
        <f>VLOOKUP(OPX_LE3!$A140,Tableau106[],5,FALSE)</f>
        <v>PDC1, PDC2</v>
      </c>
      <c r="G140" s="232" t="str">
        <f>VLOOKUP(OPX_LE3!$A140,Tableau106[],7,FALSE)</f>
        <v>FUTUREN</v>
      </c>
      <c r="H140" s="232" t="str">
        <f>VLOOKUP(OPX_LE3!$A140,Tableau106[],6,FALSE)</f>
        <v>N</v>
      </c>
      <c r="I140" s="232" t="str">
        <f>VLOOKUP(OPX_LE3!$A140,Tableau106[],9,FALSE)</f>
        <v>HuB</v>
      </c>
      <c r="J140" s="254">
        <v>-16389</v>
      </c>
      <c r="K140" s="228">
        <v>-690.00000000000011</v>
      </c>
      <c r="L140" s="228"/>
      <c r="M140" s="229">
        <v>0</v>
      </c>
      <c r="N140" s="229">
        <v>0</v>
      </c>
      <c r="O140" s="229">
        <v>0</v>
      </c>
      <c r="P140" s="229">
        <v>-4305</v>
      </c>
      <c r="Q140" s="229">
        <f>-250*OPX_LE3!$E140</f>
        <v>-3075</v>
      </c>
      <c r="R140" s="311">
        <f>SUM(OPX_LE3!$K140:$Q140)</f>
        <v>-8070</v>
      </c>
      <c r="S140" s="337">
        <v>-261000</v>
      </c>
      <c r="T140" s="361">
        <v>0</v>
      </c>
      <c r="U140" s="362">
        <v>0</v>
      </c>
      <c r="V140" s="361">
        <v>-2700</v>
      </c>
      <c r="W140" s="361">
        <v>0</v>
      </c>
      <c r="X140" s="361">
        <v>0</v>
      </c>
      <c r="Y140" s="361">
        <v>0</v>
      </c>
      <c r="Z140" s="264">
        <v>-3075</v>
      </c>
      <c r="AA140" s="423"/>
      <c r="AB140" s="273">
        <f>SUM(OPX_LE3!$T140:$AA140)</f>
        <v>-5775</v>
      </c>
      <c r="AC140" s="426"/>
      <c r="AD140" s="426"/>
      <c r="AE140" s="417">
        <v>0</v>
      </c>
      <c r="AF140" s="417">
        <v>-11132</v>
      </c>
      <c r="AG140" s="417">
        <v>-21460</v>
      </c>
      <c r="AH140" s="417">
        <v>0</v>
      </c>
      <c r="AI140" s="417">
        <v>0</v>
      </c>
      <c r="AJ140" s="317">
        <f>SUM(OPX_LE3!$AC140:$AI140)</f>
        <v>-32592</v>
      </c>
      <c r="AK140" s="424">
        <v>0</v>
      </c>
      <c r="AL140" s="276">
        <f>SUM(OPX_LE3!$J140,OPX_LE3!$AB140,OPX_LE3!$S140,OPX_LE3!$AJ140,OPX_LE3!$R140,OPX_LE3!$AK140)</f>
        <v>-323826</v>
      </c>
      <c r="AM140" s="427">
        <v>0</v>
      </c>
      <c r="AN140" s="427">
        <v>0</v>
      </c>
    </row>
    <row r="141" spans="1:41" ht="15">
      <c r="A141" s="325" t="s">
        <v>574</v>
      </c>
      <c r="B141" s="322" t="str">
        <f>VLOOKUP(OPX_LE3!$A141,Tableau106[],3,FALSE)</f>
        <v>A041</v>
      </c>
      <c r="C141" s="322" t="str">
        <f>VLOOKUP(OPX_LE3!$A141,Tableau106[],2,FALSE)</f>
        <v>FR97S92E</v>
      </c>
      <c r="D141" s="322" t="str">
        <f>VLOOKUP(OPX_LE3!$A141,Tableau106[],8,FALSE)</f>
        <v>SOLAIRE DOM</v>
      </c>
      <c r="E141" s="324">
        <f>VLOOKUP(OPX_LE3!$A141,Tableau106[],4,FALSE)</f>
        <v>4.5</v>
      </c>
      <c r="F141" s="322" t="str">
        <f>VLOOKUP(OPX_LE3!$A141,Tableau106[],5,FALSE)</f>
        <v>POTI</v>
      </c>
      <c r="G141" s="322" t="str">
        <f>VLOOKUP(OPX_LE3!$A141,Tableau106[],7,FALSE)</f>
        <v>GROUPE</v>
      </c>
      <c r="H141" s="322" t="str">
        <f>VLOOKUP(OPX_LE3!$A141,Tableau106[],6,FALSE)</f>
        <v>DOM</v>
      </c>
      <c r="I141" s="322" t="str">
        <f>VLOOKUP(OPX_LE3!$A141,Tableau106[],9,FALSE)</f>
        <v>DoJ</v>
      </c>
      <c r="J141" s="254">
        <v>0</v>
      </c>
      <c r="K141" s="228">
        <v>0</v>
      </c>
      <c r="L141" s="228"/>
      <c r="M141" s="229">
        <v>0</v>
      </c>
      <c r="N141" s="229">
        <v>0</v>
      </c>
      <c r="O141" s="229">
        <v>0</v>
      </c>
      <c r="P141" s="229">
        <v>0</v>
      </c>
      <c r="Q141" s="229">
        <f>-250*OPX_LE3!$E141</f>
        <v>-1125</v>
      </c>
      <c r="R141" s="311">
        <f>SUM(OPX_LE3!$K141:$Q141)</f>
        <v>-1125</v>
      </c>
      <c r="S141" s="337">
        <v>-261131</v>
      </c>
      <c r="T141" s="361">
        <v>-26000</v>
      </c>
      <c r="U141" s="362">
        <v>0</v>
      </c>
      <c r="V141" s="361">
        <v>-9000</v>
      </c>
      <c r="W141" s="361">
        <f>-2100-1200</f>
        <v>-3300</v>
      </c>
      <c r="X141" s="361"/>
      <c r="Y141" s="361">
        <v>0</v>
      </c>
      <c r="Z141" s="264">
        <f>-1600</f>
        <v>-1600</v>
      </c>
      <c r="AA141" s="423">
        <f>-1350365*0.002</f>
        <v>-2700.73</v>
      </c>
      <c r="AB141" s="273">
        <f>SUM(OPX_LE3!$T141:$AA141)</f>
        <v>-42600.73</v>
      </c>
      <c r="AC141" s="426"/>
      <c r="AD141" s="426">
        <v>0</v>
      </c>
      <c r="AE141" s="417">
        <v>0</v>
      </c>
      <c r="AF141" s="417">
        <v>0</v>
      </c>
      <c r="AG141" s="417">
        <v>0</v>
      </c>
      <c r="AH141" s="417">
        <v>0</v>
      </c>
      <c r="AI141" s="417">
        <v>0</v>
      </c>
      <c r="AJ141" s="317">
        <f>SUM(OPX_LE3!$AC141:$AI141)</f>
        <v>0</v>
      </c>
      <c r="AK141" s="424">
        <v>0</v>
      </c>
      <c r="AL141" s="276">
        <f>SUM(OPX_LE3!$J141,OPX_LE3!$AB141,OPX_LE3!$S141,OPX_LE3!$AJ141,OPX_LE3!$R141,OPX_LE3!$AK141)</f>
        <v>-304856.73</v>
      </c>
      <c r="AM141" s="427">
        <v>-36000</v>
      </c>
      <c r="AN141" s="427">
        <v>0</v>
      </c>
    </row>
    <row r="142" spans="1:41" ht="15">
      <c r="A142" s="244" t="s">
        <v>286</v>
      </c>
      <c r="B142" s="232" t="str">
        <f>VLOOKUP(OPX_LE3!$A142,Tableau106[],3,FALSE)</f>
        <v>A539</v>
      </c>
      <c r="C142" s="232" t="str">
        <f>VLOOKUP(OPX_LE3!$A142,Tableau106[],2,FALSE)</f>
        <v>FR11E87E</v>
      </c>
      <c r="D142" s="232" t="str">
        <f>VLOOKUP(OPX_LE3!$A142,Tableau106[],8,FALSE)</f>
        <v>EOLIEN</v>
      </c>
      <c r="E142" s="233">
        <f>VLOOKUP(OPX_LE3!$A142,Tableau106[],4,FALSE)</f>
        <v>5.0999999999999996</v>
      </c>
      <c r="F142" s="232" t="str">
        <f>VLOOKUP(OPX_LE3!$A142,Tableau106[],5,FALSE)</f>
        <v>POUZ</v>
      </c>
      <c r="G142" s="232" t="str">
        <f>VLOOKUP(OPX_LE3!$A142,Tableau106[],7,FALSE)</f>
        <v>GROUPE</v>
      </c>
      <c r="H142" s="232" t="str">
        <f>VLOOKUP(OPX_LE3!$A142,Tableau106[],6,FALSE)</f>
        <v>S</v>
      </c>
      <c r="I142" s="232" t="str">
        <f>VLOOKUP(OPX_LE3!$A142,Tableau106[],9,FALSE)</f>
        <v>SaH</v>
      </c>
      <c r="J142" s="254">
        <f>-234494-10000</f>
        <v>-244494</v>
      </c>
      <c r="K142" s="228">
        <v>-8940</v>
      </c>
      <c r="L142" s="228"/>
      <c r="M142" s="229">
        <v>0</v>
      </c>
      <c r="N142" s="229">
        <v>-3000</v>
      </c>
      <c r="O142" s="229">
        <v>0</v>
      </c>
      <c r="P142" s="229">
        <v>-12244</v>
      </c>
      <c r="Q142" s="229">
        <f>+VLOOKUP(Tableau16[[#This Row],[CODE PI]],Tableau15[[CODE PI]:[Prestations diverses  &amp; accompagnements interne (1,6 k€ par jour d''acc)]],11,FALSE)</f>
        <v>-1785</v>
      </c>
      <c r="R142" s="311">
        <f>SUM(OPX_LE3!$K142:$Q142)</f>
        <v>-25969</v>
      </c>
      <c r="S142" s="337">
        <v>0</v>
      </c>
      <c r="T142" s="361">
        <v>0</v>
      </c>
      <c r="U142" s="362">
        <v>0</v>
      </c>
      <c r="V142" s="361">
        <v>-15000</v>
      </c>
      <c r="W142" s="361">
        <v>0</v>
      </c>
      <c r="X142" s="361">
        <v>0</v>
      </c>
      <c r="Y142" s="361">
        <v>-14000</v>
      </c>
      <c r="Z142" s="264">
        <v>-1275</v>
      </c>
      <c r="AA142" s="423">
        <v>-1000</v>
      </c>
      <c r="AB142" s="273">
        <f>SUM(OPX_LE3!$T142:$AA142)</f>
        <v>-31275</v>
      </c>
      <c r="AC142" s="426"/>
      <c r="AD142" s="426"/>
      <c r="AE142" s="417">
        <v>0</v>
      </c>
      <c r="AF142" s="417">
        <v>-7500</v>
      </c>
      <c r="AG142" s="417">
        <v>-21995.599999999999</v>
      </c>
      <c r="AH142" s="417">
        <v>0</v>
      </c>
      <c r="AI142" s="417">
        <v>0</v>
      </c>
      <c r="AJ142" s="317">
        <f>SUM(OPX_LE3!$AC142:$AI142)</f>
        <v>-29495.599999999999</v>
      </c>
      <c r="AK142" s="424">
        <v>0</v>
      </c>
      <c r="AL142" s="276">
        <f>SUM(OPX_LE3!$J142,OPX_LE3!$AB142,OPX_LE3!$S142,OPX_LE3!$AJ142,OPX_LE3!$R142,OPX_LE3!$AK142)</f>
        <v>-331233.59999999998</v>
      </c>
      <c r="AM142" s="427">
        <v>0</v>
      </c>
      <c r="AN142" s="427">
        <v>0</v>
      </c>
    </row>
    <row r="143" spans="1:41" ht="15">
      <c r="A143" s="325" t="s">
        <v>577</v>
      </c>
      <c r="B143" s="322" t="str">
        <f>VLOOKUP(OPX_LE3!$A143,Tableau106[],3,FALSE)</f>
        <v>A045</v>
      </c>
      <c r="C143" s="322" t="str">
        <f>VLOOKUP(OPX_LE3!$A143,Tableau106[],2,FALSE)</f>
        <v>FR97S74E</v>
      </c>
      <c r="D143" s="322" t="str">
        <f>VLOOKUP(OPX_LE3!$A143,Tableau106[],8,FALSE)</f>
        <v>SOLAIRE DOM</v>
      </c>
      <c r="E143" s="324">
        <f>VLOOKUP(OPX_LE3!$A143,Tableau106[],4,FALSE)</f>
        <v>0.68200000000000005</v>
      </c>
      <c r="F143" s="322" t="str">
        <f>VLOOKUP(OPX_LE3!$A143,Tableau106[],5,FALSE)</f>
        <v>PROV</v>
      </c>
      <c r="G143" s="322" t="str">
        <f>VLOOKUP(OPX_LE3!$A143,Tableau106[],7,FALSE)</f>
        <v>GROUPE</v>
      </c>
      <c r="H143" s="322" t="str">
        <f>VLOOKUP(OPX_LE3!$A143,Tableau106[],6,FALSE)</f>
        <v>DOM</v>
      </c>
      <c r="I143" s="322" t="str">
        <f>VLOOKUP(OPX_LE3!$A143,Tableau106[],9,FALSE)</f>
        <v>DoJ</v>
      </c>
      <c r="J143" s="254">
        <v>0</v>
      </c>
      <c r="K143" s="228">
        <v>0</v>
      </c>
      <c r="L143" s="228"/>
      <c r="M143" s="229">
        <v>0</v>
      </c>
      <c r="N143" s="229">
        <v>0</v>
      </c>
      <c r="O143" s="229">
        <v>0</v>
      </c>
      <c r="P143" s="229">
        <v>0</v>
      </c>
      <c r="Q143" s="229">
        <f>-250*OPX_LE3!$E143</f>
        <v>-170.5</v>
      </c>
      <c r="R143" s="311">
        <f>SUM(OPX_LE3!$K143:$Q143)</f>
        <v>-170.5</v>
      </c>
      <c r="S143" s="337">
        <v>-35312</v>
      </c>
      <c r="T143" s="361">
        <v>-3500</v>
      </c>
      <c r="U143" s="362">
        <v>0</v>
      </c>
      <c r="V143" s="364">
        <v>-7200</v>
      </c>
      <c r="W143" s="361">
        <f>-1900-1200</f>
        <v>-3100</v>
      </c>
      <c r="X143" s="361">
        <v>0</v>
      </c>
      <c r="Y143" s="361">
        <v>0</v>
      </c>
      <c r="Z143" s="264">
        <f>-1600</f>
        <v>-1600</v>
      </c>
      <c r="AA143" s="423">
        <f>-244936*0.002</f>
        <v>-489.87200000000001</v>
      </c>
      <c r="AB143" s="273">
        <f>SUM(OPX_LE3!$T143:$AA143)</f>
        <v>-15889.871999999999</v>
      </c>
      <c r="AC143" s="426"/>
      <c r="AD143" s="426">
        <v>0</v>
      </c>
      <c r="AE143" s="417">
        <v>0</v>
      </c>
      <c r="AF143" s="417">
        <v>0</v>
      </c>
      <c r="AG143" s="417">
        <v>0</v>
      </c>
      <c r="AH143" s="417">
        <v>0</v>
      </c>
      <c r="AI143" s="417">
        <v>0</v>
      </c>
      <c r="AJ143" s="317">
        <f>SUM(OPX_LE3!$AC143:$AI143)</f>
        <v>0</v>
      </c>
      <c r="AK143" s="424">
        <v>0</v>
      </c>
      <c r="AL143" s="276">
        <f>SUM(OPX_LE3!$J143,OPX_LE3!$AB143,OPX_LE3!$S143,OPX_LE3!$AJ143,OPX_LE3!$R143,OPX_LE3!$AK143)</f>
        <v>-51372.372000000003</v>
      </c>
      <c r="AM143" s="427">
        <v>0</v>
      </c>
      <c r="AN143" s="427">
        <v>0</v>
      </c>
    </row>
    <row r="144" spans="1:41" ht="15">
      <c r="A144" s="244" t="s">
        <v>621</v>
      </c>
      <c r="B144" s="232" t="str">
        <f>VLOOKUP(OPX_LE3!$A144,Tableau106[],3,FALSE)</f>
        <v>A540</v>
      </c>
      <c r="C144" s="232" t="str">
        <f>VLOOKUP(OPX_LE3!$A144,Tableau106[],2,FALSE)</f>
        <v>FR55E05E</v>
      </c>
      <c r="D144" s="232" t="str">
        <f>VLOOKUP(OPX_LE3!$A144,Tableau106[],8,FALSE)</f>
        <v>EOLIEN</v>
      </c>
      <c r="E144" s="233">
        <f>VLOOKUP(OPX_LE3!$A144,Tableau106[],4,FALSE)</f>
        <v>12</v>
      </c>
      <c r="F144" s="232" t="str">
        <f>VLOOKUP(OPX_LE3!$A144,Tableau106[],5,FALSE)</f>
        <v>RAM1</v>
      </c>
      <c r="G144" s="232" t="str">
        <f>VLOOKUP(OPX_LE3!$A144,Tableau106[],7,FALSE)</f>
        <v>EGM</v>
      </c>
      <c r="H144" s="232" t="str">
        <f>VLOOKUP(OPX_LE3!$A144,Tableau106[],6,FALSE)</f>
        <v>N</v>
      </c>
      <c r="I144" s="232" t="str">
        <f>VLOOKUP(OPX_LE3!$A144,Tableau106[],9,FALSE)</f>
        <v>BaB</v>
      </c>
      <c r="J144" s="254">
        <v>-309748</v>
      </c>
      <c r="K144" s="228">
        <v>-312000</v>
      </c>
      <c r="L144" s="228"/>
      <c r="M144" s="229"/>
      <c r="N144" s="229">
        <v>0</v>
      </c>
      <c r="O144" s="229">
        <v>0</v>
      </c>
      <c r="P144" s="229">
        <v>-4200</v>
      </c>
      <c r="Q144" s="229">
        <f>-250*OPX_LE3!$E144</f>
        <v>-3000</v>
      </c>
      <c r="R144" s="311">
        <f>SUM(OPX_LE3!$K144:$Q144)</f>
        <v>-319200</v>
      </c>
      <c r="S144" s="337">
        <v>-50572</v>
      </c>
      <c r="T144" s="361">
        <v>0</v>
      </c>
      <c r="U144" s="362">
        <v>0</v>
      </c>
      <c r="V144" s="361">
        <v>-3830</v>
      </c>
      <c r="W144" s="361">
        <v>0</v>
      </c>
      <c r="X144" s="361">
        <v>0</v>
      </c>
      <c r="Y144" s="361">
        <v>0</v>
      </c>
      <c r="Z144" s="264">
        <v>-3000</v>
      </c>
      <c r="AA144" s="423"/>
      <c r="AB144" s="273">
        <f>SUM(OPX_LE3!$T144:$AA144)</f>
        <v>-6830</v>
      </c>
      <c r="AC144" s="426"/>
      <c r="AD144" s="426"/>
      <c r="AE144" s="417">
        <v>0</v>
      </c>
      <c r="AF144" s="417">
        <v>0</v>
      </c>
      <c r="AG144" s="417">
        <v>0</v>
      </c>
      <c r="AH144" s="417">
        <v>0</v>
      </c>
      <c r="AI144" s="417">
        <v>0</v>
      </c>
      <c r="AJ144" s="317">
        <f>SUM(OPX_LE3!$AC144:$AI144)</f>
        <v>0</v>
      </c>
      <c r="AK144" s="424">
        <v>0</v>
      </c>
      <c r="AL144" s="276">
        <f>SUM(OPX_LE3!$J144,OPX_LE3!$AB144,OPX_LE3!$S144,OPX_LE3!$AJ144,OPX_LE3!$R144,OPX_LE3!$AK144)</f>
        <v>-686350</v>
      </c>
      <c r="AM144" s="427">
        <v>0</v>
      </c>
      <c r="AN144" s="427">
        <v>-305000</v>
      </c>
      <c r="AO144" s="6" t="s">
        <v>1536</v>
      </c>
    </row>
    <row r="145" spans="1:41" ht="15">
      <c r="A145" s="325" t="s">
        <v>624</v>
      </c>
      <c r="B145" s="322" t="str">
        <f>VLOOKUP(OPX_LE3!$A145,Tableau106[],3,FALSE)</f>
        <v>A540</v>
      </c>
      <c r="C145" s="322" t="str">
        <f>VLOOKUP(OPX_LE3!$A145,Tableau106[],2,FALSE)</f>
        <v>FR55E06E</v>
      </c>
      <c r="D145" s="322" t="str">
        <f>VLOOKUP(OPX_LE3!$A145,Tableau106[],8,FALSE)</f>
        <v>EOLIEN</v>
      </c>
      <c r="E145" s="324">
        <f>VLOOKUP(OPX_LE3!$A145,Tableau106[],4,FALSE)</f>
        <v>26</v>
      </c>
      <c r="F145" s="322" t="str">
        <f>VLOOKUP(OPX_LE3!$A145,Tableau106[],5,FALSE)</f>
        <v>RAM2</v>
      </c>
      <c r="G145" s="322" t="str">
        <f>VLOOKUP(OPX_LE3!$A145,Tableau106[],7,FALSE)</f>
        <v>EGM</v>
      </c>
      <c r="H145" s="322" t="str">
        <f>VLOOKUP(OPX_LE3!$A145,Tableau106[],6,FALSE)</f>
        <v>N</v>
      </c>
      <c r="I145" s="322" t="str">
        <f>VLOOKUP(OPX_LE3!$A145,Tableau106[],9,FALSE)</f>
        <v>BaB</v>
      </c>
      <c r="J145" s="254">
        <v>-671121</v>
      </c>
      <c r="K145" s="228">
        <v>-613900</v>
      </c>
      <c r="L145" s="228"/>
      <c r="M145" s="229">
        <v>0</v>
      </c>
      <c r="N145" s="229">
        <v>-6569</v>
      </c>
      <c r="O145" s="229">
        <v>0</v>
      </c>
      <c r="P145" s="229">
        <v>-9100</v>
      </c>
      <c r="Q145" s="229">
        <f>-250*OPX_LE3!$E145</f>
        <v>-6500</v>
      </c>
      <c r="R145" s="311">
        <f>SUM(OPX_LE3!$K145:$Q145)</f>
        <v>-636069</v>
      </c>
      <c r="S145" s="337">
        <v>0</v>
      </c>
      <c r="T145" s="361">
        <v>0</v>
      </c>
      <c r="U145" s="362">
        <v>0</v>
      </c>
      <c r="V145" s="361">
        <v>-4000</v>
      </c>
      <c r="W145" s="361">
        <v>0</v>
      </c>
      <c r="X145" s="361">
        <v>0</v>
      </c>
      <c r="Y145" s="361">
        <v>0</v>
      </c>
      <c r="Z145" s="264">
        <f>-6500-13680-9922</f>
        <v>-30102</v>
      </c>
      <c r="AA145" s="423"/>
      <c r="AB145" s="273">
        <f>SUM(OPX_LE3!$T145:$AA145)</f>
        <v>-34102</v>
      </c>
      <c r="AC145" s="426"/>
      <c r="AD145" s="426"/>
      <c r="AE145" s="417">
        <v>0</v>
      </c>
      <c r="AF145" s="417">
        <v>0</v>
      </c>
      <c r="AG145" s="417">
        <v>0</v>
      </c>
      <c r="AH145" s="417">
        <v>0</v>
      </c>
      <c r="AI145" s="417">
        <v>0</v>
      </c>
      <c r="AJ145" s="317">
        <f>SUM(OPX_LE3!$AC145:$AI145)</f>
        <v>0</v>
      </c>
      <c r="AK145" s="424">
        <f>-86910</f>
        <v>-86910</v>
      </c>
      <c r="AL145" s="276">
        <f>SUM(OPX_LE3!$J145,OPX_LE3!$AB145,OPX_LE3!$S145,OPX_LE3!$AJ145,OPX_LE3!$R145,OPX_LE3!$AK145)</f>
        <v>-1428202</v>
      </c>
      <c r="AM145" s="427">
        <v>-157944</v>
      </c>
      <c r="AN145" s="427">
        <v>-435000</v>
      </c>
      <c r="AO145" s="6" t="s">
        <v>1538</v>
      </c>
    </row>
    <row r="146" spans="1:41" ht="15">
      <c r="A146" s="244" t="s">
        <v>511</v>
      </c>
      <c r="B146" s="232" t="str">
        <f>VLOOKUP(OPX_LE3!$A146,Tableau106[],3,FALSE)</f>
        <v>A540</v>
      </c>
      <c r="C146" s="232" t="str">
        <f>VLOOKUP(OPX_LE3!$A146,Tableau106[],2,FALSE)</f>
        <v>FR02E04E</v>
      </c>
      <c r="D146" s="232" t="str">
        <f>VLOOKUP(OPX_LE3!$A146,Tableau106[],8,FALSE)</f>
        <v>EOLIEN</v>
      </c>
      <c r="E146" s="233">
        <f>VLOOKUP(OPX_LE3!$A146,Tableau106[],4,FALSE)</f>
        <v>10</v>
      </c>
      <c r="F146" s="232" t="str">
        <f>VLOOKUP(OPX_LE3!$A146,Tableau106[],5,FALSE)</f>
        <v>RIBE</v>
      </c>
      <c r="G146" s="232" t="str">
        <f>VLOOKUP(OPX_LE3!$A146,Tableau106[],7,FALSE)</f>
        <v>EGM</v>
      </c>
      <c r="H146" s="232" t="str">
        <f>VLOOKUP(OPX_LE3!$A146,Tableau106[],6,FALSE)</f>
        <v>N</v>
      </c>
      <c r="I146" s="232" t="str">
        <f>VLOOKUP(OPX_LE3!$A146,Tableau106[],9,FALSE)</f>
        <v>NoS</v>
      </c>
      <c r="J146" s="254">
        <v>-258123</v>
      </c>
      <c r="K146" s="228">
        <v>-215000</v>
      </c>
      <c r="L146" s="228"/>
      <c r="M146" s="229">
        <v>0</v>
      </c>
      <c r="N146" s="229">
        <v>0</v>
      </c>
      <c r="O146" s="229">
        <v>0</v>
      </c>
      <c r="P146" s="229">
        <v>-3500</v>
      </c>
      <c r="Q146" s="229">
        <f>-250*OPX_LE3!$E146</f>
        <v>-2500</v>
      </c>
      <c r="R146" s="311">
        <f>SUM(OPX_LE3!$K146:$Q146)</f>
        <v>-221000</v>
      </c>
      <c r="S146" s="337">
        <v>0</v>
      </c>
      <c r="T146" s="361">
        <v>0</v>
      </c>
      <c r="U146" s="362">
        <v>0</v>
      </c>
      <c r="V146" s="361">
        <v>-2000</v>
      </c>
      <c r="W146" s="361">
        <v>0</v>
      </c>
      <c r="X146" s="361">
        <v>0</v>
      </c>
      <c r="Y146" s="361">
        <v>0</v>
      </c>
      <c r="Z146" s="264">
        <f>-2500</f>
        <v>-2500</v>
      </c>
      <c r="AA146" s="423"/>
      <c r="AB146" s="273">
        <f>SUM(OPX_LE3!$T146:$AA146)</f>
        <v>-4500</v>
      </c>
      <c r="AC146" s="426"/>
      <c r="AD146" s="426"/>
      <c r="AE146" s="417">
        <v>0</v>
      </c>
      <c r="AF146" s="417">
        <v>0</v>
      </c>
      <c r="AG146" s="417">
        <v>0</v>
      </c>
      <c r="AH146" s="417">
        <v>0</v>
      </c>
      <c r="AI146" s="417">
        <v>0</v>
      </c>
      <c r="AJ146" s="317">
        <f>SUM(OPX_LE3!$AC146:$AI146)</f>
        <v>0</v>
      </c>
      <c r="AK146" s="424"/>
      <c r="AL146" s="276">
        <f>SUM(OPX_LE3!$J146,OPX_LE3!$AB146,OPX_LE3!$S146,OPX_LE3!$AJ146,OPX_LE3!$R146,OPX_LE3!$AK146)</f>
        <v>-483623</v>
      </c>
      <c r="AM146" s="427">
        <v>-65000</v>
      </c>
      <c r="AN146" s="427">
        <v>-145000</v>
      </c>
      <c r="AO146" s="6" t="s">
        <v>1528</v>
      </c>
    </row>
    <row r="147" spans="1:41" ht="15">
      <c r="A147" s="325" t="s">
        <v>617</v>
      </c>
      <c r="B147" s="322" t="str">
        <f>VLOOKUP(OPX_LE3!$A147,Tableau106[],3,FALSE)</f>
        <v>A892</v>
      </c>
      <c r="C147" s="322" t="str">
        <f>VLOOKUP(OPX_LE3!$A147,Tableau106[],2,FALSE)</f>
        <v>FR34E98E</v>
      </c>
      <c r="D147" s="322" t="str">
        <f>VLOOKUP(OPX_LE3!$A147,Tableau106[],8,FALSE)</f>
        <v>EOLIEN</v>
      </c>
      <c r="E147" s="324">
        <f>VLOOKUP(OPX_LE3!$A147,Tableau106[],4,FALSE)</f>
        <v>3.6</v>
      </c>
      <c r="F147" s="322" t="str">
        <f>VLOOKUP(OPX_LE3!$A147,Tableau106[],5,FALSE)</f>
        <v>RIOL</v>
      </c>
      <c r="G147" s="322" t="str">
        <f>VLOOKUP(OPX_LE3!$A147,Tableau106[],7,FALSE)</f>
        <v>GROUPE</v>
      </c>
      <c r="H147" s="322" t="str">
        <f>VLOOKUP(OPX_LE3!$A147,Tableau106[],6,FALSE)</f>
        <v>S</v>
      </c>
      <c r="I147" s="322" t="str">
        <f>VLOOKUP(OPX_LE3!$A147,Tableau106[],9,FALSE)</f>
        <v>SaH</v>
      </c>
      <c r="J147" s="254">
        <v>-226675</v>
      </c>
      <c r="K147" s="228">
        <v>-14000</v>
      </c>
      <c r="L147" s="228"/>
      <c r="M147" s="229">
        <v>0</v>
      </c>
      <c r="N147" s="229">
        <f>-5000-3000</f>
        <v>-8000</v>
      </c>
      <c r="O147" s="229">
        <v>0</v>
      </c>
      <c r="P147" s="229">
        <v>-1584</v>
      </c>
      <c r="Q147" s="229">
        <v>-3000</v>
      </c>
      <c r="R147" s="311">
        <f>SUM(OPX_LE3!$K147:$Q147)</f>
        <v>-26584</v>
      </c>
      <c r="S147" s="337">
        <v>0</v>
      </c>
      <c r="T147" s="361">
        <v>0</v>
      </c>
      <c r="U147" s="362">
        <v>0</v>
      </c>
      <c r="V147" s="361">
        <v>-5000</v>
      </c>
      <c r="W147" s="361">
        <v>0</v>
      </c>
      <c r="X147" s="361">
        <v>0</v>
      </c>
      <c r="Y147" s="361">
        <v>0</v>
      </c>
      <c r="Z147" s="264">
        <f>-900-3240</f>
        <v>-4140</v>
      </c>
      <c r="AA147" s="423">
        <v>-500</v>
      </c>
      <c r="AB147" s="273">
        <f>SUM(OPX_LE3!$T147:$AA147)</f>
        <v>-9640</v>
      </c>
      <c r="AC147" s="426"/>
      <c r="AD147" s="426"/>
      <c r="AE147" s="417">
        <v>0</v>
      </c>
      <c r="AF147" s="417">
        <v>0</v>
      </c>
      <c r="AG147" s="417">
        <v>0</v>
      </c>
      <c r="AH147" s="417">
        <v>0</v>
      </c>
      <c r="AI147" s="417">
        <v>0</v>
      </c>
      <c r="AJ147" s="317">
        <f>SUM(OPX_LE3!$AC147:$AI147)</f>
        <v>0</v>
      </c>
      <c r="AK147" s="424">
        <v>0</v>
      </c>
      <c r="AL147" s="276">
        <f>SUM(OPX_LE3!$J147,OPX_LE3!$AB147,OPX_LE3!$S147,OPX_LE3!$AJ147,OPX_LE3!$R147,OPX_LE3!$AK147)</f>
        <v>-262899</v>
      </c>
      <c r="AM147" s="427">
        <v>0</v>
      </c>
      <c r="AN147" s="427">
        <v>0</v>
      </c>
    </row>
    <row r="148" spans="1:41" ht="15">
      <c r="A148" s="244" t="s">
        <v>638</v>
      </c>
      <c r="B148" s="232" t="str">
        <f>VLOOKUP(OPX_LE3!$A148,Tableau106[],3,FALSE)</f>
        <v>A251</v>
      </c>
      <c r="C148" s="232" t="str">
        <f>VLOOKUP(OPX_LE3!$A148,Tableau106[],2,FALSE)</f>
        <v>FRD4S01E</v>
      </c>
      <c r="D148" s="232" t="str">
        <f>VLOOKUP(OPX_LE3!$A148,Tableau106[],8,FALSE)</f>
        <v>SOLAIRE DOM</v>
      </c>
      <c r="E148" s="233">
        <f>VLOOKUP(OPX_LE3!$A148,Tableau106[],4,FALSE)</f>
        <v>4.49</v>
      </c>
      <c r="F148" s="232" t="str">
        <f>VLOOKUP(OPX_LE3!$A148,Tableau106[],5,FALSE)</f>
        <v>RDGA</v>
      </c>
      <c r="G148" s="232" t="str">
        <f>VLOOKUP(OPX_LE3!$A148,Tableau106[],7,FALSE)</f>
        <v>GROUPE</v>
      </c>
      <c r="H148" s="232" t="str">
        <f>VLOOKUP(OPX_LE3!$A148,Tableau106[],6,FALSE)</f>
        <v>DOM</v>
      </c>
      <c r="I148" s="232" t="str">
        <f>VLOOKUP(OPX_LE3!$A148,Tableau106[],9,FALSE)</f>
        <v>BeK</v>
      </c>
      <c r="J148" s="254"/>
      <c r="K148" s="228">
        <v>0</v>
      </c>
      <c r="L148" s="228"/>
      <c r="M148" s="229">
        <v>0</v>
      </c>
      <c r="N148" s="229">
        <v>0</v>
      </c>
      <c r="O148" s="229">
        <v>0</v>
      </c>
      <c r="P148" s="229">
        <v>0</v>
      </c>
      <c r="Q148" s="229">
        <f>-250*OPX_LE3!$E148</f>
        <v>-1122.5</v>
      </c>
      <c r="R148" s="311">
        <f>SUM(OPX_LE3!$K148:$Q148)</f>
        <v>-1122.5</v>
      </c>
      <c r="S148" s="337"/>
      <c r="T148" s="361">
        <v>0</v>
      </c>
      <c r="U148" s="362">
        <v>0</v>
      </c>
      <c r="V148" s="361">
        <v>0</v>
      </c>
      <c r="W148" s="361">
        <v>0</v>
      </c>
      <c r="X148" s="361">
        <v>0</v>
      </c>
      <c r="Y148" s="361">
        <v>0</v>
      </c>
      <c r="Z148" s="264">
        <v>-1122.5</v>
      </c>
      <c r="AA148" s="423"/>
      <c r="AB148" s="273">
        <f>SUM(OPX_LE3!$T148:$AA148)</f>
        <v>-1122.5</v>
      </c>
      <c r="AC148" s="426"/>
      <c r="AD148" s="426">
        <v>0</v>
      </c>
      <c r="AE148" s="417">
        <v>0</v>
      </c>
      <c r="AF148" s="417">
        <v>0</v>
      </c>
      <c r="AG148" s="417">
        <v>0</v>
      </c>
      <c r="AH148" s="417">
        <v>-8419</v>
      </c>
      <c r="AI148" s="417">
        <v>0</v>
      </c>
      <c r="AJ148" s="317">
        <f>SUM(OPX_LE3!$AC148:$AI148)</f>
        <v>-8419</v>
      </c>
      <c r="AK148" s="424">
        <v>0</v>
      </c>
      <c r="AL148" s="276">
        <f>SUM(OPX_LE3!$J148,OPX_LE3!$AB148,OPX_LE3!$S148,OPX_LE3!$AJ148,OPX_LE3!$R148,OPX_LE3!$AK148)</f>
        <v>-10664</v>
      </c>
      <c r="AM148" s="427">
        <v>0</v>
      </c>
      <c r="AN148" s="427">
        <v>0</v>
      </c>
    </row>
    <row r="149" spans="1:41" ht="15">
      <c r="A149" s="325" t="s">
        <v>581</v>
      </c>
      <c r="B149" s="322" t="str">
        <f>VLOOKUP(OPX_LE3!$A149,Tableau106[],3,FALSE)</f>
        <v>A063</v>
      </c>
      <c r="C149" s="322" t="str">
        <f>VLOOKUP(OPX_LE3!$A149,Tableau106[],2,FALSE)</f>
        <v>FR34E85E</v>
      </c>
      <c r="D149" s="322" t="str">
        <f>VLOOKUP(OPX_LE3!$A149,Tableau106[],8,FALSE)</f>
        <v>EOLIEN</v>
      </c>
      <c r="E149" s="324">
        <f>VLOOKUP(OPX_LE3!$A149,Tableau106[],4,FALSE)</f>
        <v>11.5</v>
      </c>
      <c r="F149" s="322" t="str">
        <f>VLOOKUP(OPX_LE3!$A149,Tableau106[],5,FALSE)</f>
        <v>FRA1</v>
      </c>
      <c r="G149" s="322" t="str">
        <f>VLOOKUP(OPX_LE3!$A149,Tableau106[],7,FALSE)</f>
        <v>FUTUREN</v>
      </c>
      <c r="H149" s="322" t="str">
        <f>VLOOKUP(OPX_LE3!$A149,Tableau106[],6,FALSE)</f>
        <v>S</v>
      </c>
      <c r="I149" s="322" t="str">
        <f>VLOOKUP(OPX_LE3!$A149,Tableau106[],9,FALSE)</f>
        <v>OdP</v>
      </c>
      <c r="J149" s="254">
        <v>-18390</v>
      </c>
      <c r="K149" s="228">
        <v>-10230</v>
      </c>
      <c r="L149" s="228"/>
      <c r="M149" s="229">
        <v>0</v>
      </c>
      <c r="N149" s="229">
        <v>0</v>
      </c>
      <c r="O149" s="229">
        <v>0</v>
      </c>
      <c r="P149" s="229">
        <v>-6900</v>
      </c>
      <c r="Q149" s="229">
        <f>-250*OPX_LE3!$E149</f>
        <v>-2875</v>
      </c>
      <c r="R149" s="311">
        <f>SUM(OPX_LE3!$K149:$Q149)</f>
        <v>-20005</v>
      </c>
      <c r="S149" s="337">
        <v>-459293</v>
      </c>
      <c r="T149" s="361">
        <v>0</v>
      </c>
      <c r="U149" s="362">
        <v>0</v>
      </c>
      <c r="V149" s="361">
        <v>-12600</v>
      </c>
      <c r="W149" s="361">
        <v>-6000</v>
      </c>
      <c r="X149" s="361">
        <v>0</v>
      </c>
      <c r="Y149" s="361">
        <v>0</v>
      </c>
      <c r="Z149" s="264">
        <v>-2875</v>
      </c>
      <c r="AA149" s="423">
        <v>-4000</v>
      </c>
      <c r="AB149" s="273">
        <f>SUM(OPX_LE3!$T149:$AA149)</f>
        <v>-25475</v>
      </c>
      <c r="AC149" s="426"/>
      <c r="AD149" s="426">
        <f>-4924*1.03</f>
        <v>-5071.72</v>
      </c>
      <c r="AE149" s="417">
        <v>0</v>
      </c>
      <c r="AF149" s="417">
        <v>-11680</v>
      </c>
      <c r="AG149" s="417">
        <v>-39400</v>
      </c>
      <c r="AH149" s="417">
        <v>0</v>
      </c>
      <c r="AI149" s="417">
        <v>-2000</v>
      </c>
      <c r="AJ149" s="317">
        <f>SUM(OPX_LE3!$AC149:$AI149)</f>
        <v>-58151.72</v>
      </c>
      <c r="AK149" s="424">
        <v>0</v>
      </c>
      <c r="AL149" s="276">
        <f>SUM(OPX_LE3!$J149,OPX_LE3!$AB149,OPX_LE3!$S149,OPX_LE3!$AJ149,OPX_LE3!$R149,OPX_LE3!$AK149)</f>
        <v>-581314.72</v>
      </c>
      <c r="AM149" s="427">
        <v>0</v>
      </c>
      <c r="AN149" s="427">
        <v>0</v>
      </c>
    </row>
    <row r="150" spans="1:41" ht="15">
      <c r="A150" s="244" t="s">
        <v>639</v>
      </c>
      <c r="B150" s="232" t="str">
        <f>VLOOKUP(OPX_LE3!$A150,Tableau106[],3,FALSE)</f>
        <v>A955</v>
      </c>
      <c r="C150" s="232" t="str">
        <f>VLOOKUP(OPX_LE3!$A150,Tableau106[],2,FALSE)</f>
        <v>FR05S03E</v>
      </c>
      <c r="D150" s="232" t="str">
        <f>VLOOKUP(OPX_LE3!$A150,Tableau106[],8,FALSE)</f>
        <v>SOLAIRE</v>
      </c>
      <c r="E150" s="233">
        <f>VLOOKUP(OPX_LE3!$A150,Tableau106[],4,FALSE)</f>
        <v>5</v>
      </c>
      <c r="F150" s="232" t="str">
        <f>VLOOKUP(OPX_LE3!$A150,Tableau106[],5,FALSE)</f>
        <v>ROCH</v>
      </c>
      <c r="G150" s="232" t="str">
        <f>VLOOKUP(OPX_LE3!$A150,Tableau106[],7,FALSE)</f>
        <v>GROUPE</v>
      </c>
      <c r="H150" s="232" t="str">
        <f>VLOOKUP(OPX_LE3!$A150,Tableau106[],6,FALSE)</f>
        <v>S</v>
      </c>
      <c r="I150" s="232" t="str">
        <f>VLOOKUP(OPX_LE3!$A150,Tableau106[],9,FALSE)</f>
        <v>BaA</v>
      </c>
      <c r="J150" s="254">
        <v>-40000</v>
      </c>
      <c r="K150" s="228">
        <v>0</v>
      </c>
      <c r="L150" s="228"/>
      <c r="M150" s="229">
        <v>0</v>
      </c>
      <c r="N150" s="229">
        <v>0</v>
      </c>
      <c r="O150" s="229">
        <v>0</v>
      </c>
      <c r="P150" s="229">
        <v>0</v>
      </c>
      <c r="Q150" s="229">
        <f>-250*OPX_LE3!$E150</f>
        <v>-1250</v>
      </c>
      <c r="R150" s="311">
        <f>SUM(OPX_LE3!$K150:$Q150)</f>
        <v>-1250</v>
      </c>
      <c r="S150" s="337"/>
      <c r="T150" s="361">
        <v>0</v>
      </c>
      <c r="U150" s="362">
        <v>0</v>
      </c>
      <c r="V150" s="361">
        <v>0</v>
      </c>
      <c r="W150" s="361">
        <v>0</v>
      </c>
      <c r="X150" s="361">
        <v>0</v>
      </c>
      <c r="Y150" s="361">
        <v>0</v>
      </c>
      <c r="Z150" s="264">
        <v>-1250</v>
      </c>
      <c r="AA150" s="423"/>
      <c r="AB150" s="273">
        <f>SUM(OPX_LE3!$T150:$AA150)</f>
        <v>-1250</v>
      </c>
      <c r="AC150" s="426"/>
      <c r="AD150" s="426">
        <v>0</v>
      </c>
      <c r="AE150" s="417">
        <v>0</v>
      </c>
      <c r="AF150" s="417">
        <v>0</v>
      </c>
      <c r="AG150" s="417">
        <v>0</v>
      </c>
      <c r="AH150" s="417">
        <v>0</v>
      </c>
      <c r="AI150" s="417">
        <v>0</v>
      </c>
      <c r="AJ150" s="317">
        <f>SUM(OPX_LE3!$AC150:$AI150)</f>
        <v>0</v>
      </c>
      <c r="AK150" s="424">
        <v>0</v>
      </c>
      <c r="AL150" s="276">
        <f>SUM(OPX_LE3!$J150,OPX_LE3!$AB150,OPX_LE3!$S150,OPX_LE3!$AJ150,OPX_LE3!$R150,OPX_LE3!$AK150)</f>
        <v>-42500</v>
      </c>
      <c r="AM150" s="427">
        <v>0</v>
      </c>
      <c r="AN150" s="427">
        <v>0</v>
      </c>
    </row>
    <row r="151" spans="1:41" ht="15">
      <c r="A151" s="325" t="s">
        <v>609</v>
      </c>
      <c r="B151" s="322" t="str">
        <f>VLOOKUP(OPX_LE3!$A151,Tableau106[],3,FALSE)</f>
        <v>A540</v>
      </c>
      <c r="C151" s="322" t="str">
        <f>VLOOKUP(OPX_LE3!$A151,Tableau106[],2,FALSE)</f>
        <v>FR56E06E</v>
      </c>
      <c r="D151" s="322" t="str">
        <f>VLOOKUP(OPX_LE3!$A151,Tableau106[],8,FALSE)</f>
        <v>EOLIEN</v>
      </c>
      <c r="E151" s="324">
        <f>VLOOKUP(OPX_LE3!$A151,Tableau106[],4,FALSE)</f>
        <v>6.85</v>
      </c>
      <c r="F151" s="322" t="str">
        <f>VLOOKUP(OPX_LE3!$A151,Tableau106[],5,FALSE)</f>
        <v>RODU</v>
      </c>
      <c r="G151" s="322" t="str">
        <f>VLOOKUP(OPX_LE3!$A151,Tableau106[],7,FALSE)</f>
        <v>EGM</v>
      </c>
      <c r="H151" s="322" t="str">
        <f>VLOOKUP(OPX_LE3!$A151,Tableau106[],6,FALSE)</f>
        <v>N</v>
      </c>
      <c r="I151" s="322" t="str">
        <f>VLOOKUP(OPX_LE3!$A151,Tableau106[],9,FALSE)</f>
        <v>DeN</v>
      </c>
      <c r="J151" s="254">
        <v>-186980</v>
      </c>
      <c r="K151" s="228">
        <v>-39110</v>
      </c>
      <c r="L151" s="228"/>
      <c r="M151" s="229">
        <v>0</v>
      </c>
      <c r="N151" s="229">
        <v>0</v>
      </c>
      <c r="O151" s="229">
        <v>0</v>
      </c>
      <c r="P151" s="229">
        <v>-2397.5</v>
      </c>
      <c r="Q151" s="229">
        <f>-250*OPX_LE3!$E151</f>
        <v>-1712.5</v>
      </c>
      <c r="R151" s="311">
        <f>SUM(OPX_LE3!$K151:$Q151)</f>
        <v>-43220</v>
      </c>
      <c r="S151" s="337">
        <v>0</v>
      </c>
      <c r="T151" s="361">
        <v>0</v>
      </c>
      <c r="U151" s="362">
        <v>0</v>
      </c>
      <c r="V151" s="361">
        <v>-1000</v>
      </c>
      <c r="W151" s="361">
        <v>0</v>
      </c>
      <c r="X151" s="361">
        <v>0</v>
      </c>
      <c r="Y151" s="361">
        <v>0</v>
      </c>
      <c r="Z151" s="264">
        <v>-1712.5</v>
      </c>
      <c r="AA151" s="423"/>
      <c r="AB151" s="273">
        <f>SUM(OPX_LE3!$T151:$AA151)</f>
        <v>-2712.5</v>
      </c>
      <c r="AC151" s="426"/>
      <c r="AD151" s="426"/>
      <c r="AE151" s="417">
        <v>0</v>
      </c>
      <c r="AF151" s="417">
        <v>0</v>
      </c>
      <c r="AG151" s="417">
        <v>0</v>
      </c>
      <c r="AH151" s="417">
        <v>0</v>
      </c>
      <c r="AI151" s="417">
        <v>0</v>
      </c>
      <c r="AJ151" s="317">
        <f>SUM(OPX_LE3!$AC151:$AI151)</f>
        <v>0</v>
      </c>
      <c r="AK151" s="424">
        <v>0</v>
      </c>
      <c r="AL151" s="276">
        <f>SUM(OPX_LE3!$J151,OPX_LE3!$AB151,OPX_LE3!$S151,OPX_LE3!$AJ151,OPX_LE3!$R151,OPX_LE3!$AK151)</f>
        <v>-232912.5</v>
      </c>
      <c r="AM151" s="427">
        <v>0</v>
      </c>
      <c r="AN151" s="427">
        <v>-35000</v>
      </c>
      <c r="AO151" s="6" t="s">
        <v>725</v>
      </c>
    </row>
    <row r="152" spans="1:41" ht="15">
      <c r="A152" s="244" t="s">
        <v>482</v>
      </c>
      <c r="B152" s="232" t="str">
        <f>VLOOKUP(OPX_LE3!$A152,Tableau106[],3,FALSE)</f>
        <v>A418</v>
      </c>
      <c r="C152" s="232" t="str">
        <f>VLOOKUP(OPX_LE3!$A152,Tableau106[],2,FALSE)</f>
        <v>FR87E03E</v>
      </c>
      <c r="D152" s="232" t="str">
        <f>VLOOKUP(OPX_LE3!$A152,Tableau106[],8,FALSE)</f>
        <v>EOLIEN</v>
      </c>
      <c r="E152" s="233">
        <f>VLOOKUP(OPX_LE3!$A152,Tableau106[],4,FALSE)</f>
        <v>15</v>
      </c>
      <c r="F152" s="232" t="str">
        <f>VLOOKUP(OPX_LE3!$A152,Tableau106[],5,FALSE)</f>
        <v>ROUS</v>
      </c>
      <c r="G152" s="232" t="str">
        <f>VLOOKUP(OPX_LE3!$A152,Tableau106[],7,FALSE)</f>
        <v>GROUPE</v>
      </c>
      <c r="H152" s="232" t="str">
        <f>VLOOKUP(OPX_LE3!$A152,Tableau106[],6,FALSE)</f>
        <v>S</v>
      </c>
      <c r="I152" s="232" t="str">
        <f>VLOOKUP(OPX_LE3!$A152,Tableau106[],9,FALSE)</f>
        <v>KéC</v>
      </c>
      <c r="J152" s="254">
        <v>0</v>
      </c>
      <c r="K152" s="228">
        <v>0</v>
      </c>
      <c r="L152" s="228"/>
      <c r="M152" s="229">
        <v>0</v>
      </c>
      <c r="N152" s="229">
        <v>0</v>
      </c>
      <c r="O152" s="229">
        <v>0</v>
      </c>
      <c r="P152" s="229">
        <v>-7072</v>
      </c>
      <c r="Q152" s="229">
        <f>-250*OPX_LE3!$E152</f>
        <v>-3750</v>
      </c>
      <c r="R152" s="311">
        <f>SUM(OPX_LE3!$K152:$Q152)</f>
        <v>-10822</v>
      </c>
      <c r="S152" s="337">
        <f>-193750-20300-8253</f>
        <v>-222303</v>
      </c>
      <c r="T152" s="361">
        <v>0</v>
      </c>
      <c r="U152" s="362">
        <v>0</v>
      </c>
      <c r="V152" s="361">
        <v>-10000</v>
      </c>
      <c r="W152" s="361">
        <f>-5*300</f>
        <v>-1500</v>
      </c>
      <c r="X152" s="361">
        <v>0</v>
      </c>
      <c r="Y152" s="361">
        <v>0</v>
      </c>
      <c r="Z152" s="264">
        <v>-3750</v>
      </c>
      <c r="AA152" s="423">
        <f>-0.002*CA_LE3!M142</f>
        <v>-4707.2541333079998</v>
      </c>
      <c r="AB152" s="273">
        <f>SUM(OPX_LE3!$T152:$AA152)</f>
        <v>-19957.254133308001</v>
      </c>
      <c r="AC152" s="426">
        <f>-20000</f>
        <v>-20000</v>
      </c>
      <c r="AD152" s="426"/>
      <c r="AE152" s="417">
        <v>0</v>
      </c>
      <c r="AF152" s="417">
        <v>-26198</v>
      </c>
      <c r="AG152" s="417">
        <v>-20244</v>
      </c>
      <c r="AH152" s="417">
        <v>0</v>
      </c>
      <c r="AI152" s="417">
        <v>-2017.03</v>
      </c>
      <c r="AJ152" s="317">
        <f>SUM(OPX_LE3!$AC152:$AI152)</f>
        <v>-68459.03</v>
      </c>
      <c r="AK152" s="424">
        <v>-5000</v>
      </c>
      <c r="AL152" s="276">
        <f>SUM(OPX_LE3!$J152,OPX_LE3!$AB152,OPX_LE3!$S152,OPX_LE3!$AJ152,OPX_LE3!$R152,OPX_LE3!$AK152)</f>
        <v>-326541.28413330799</v>
      </c>
      <c r="AM152" s="427">
        <v>0</v>
      </c>
      <c r="AN152" s="427">
        <v>0</v>
      </c>
    </row>
    <row r="153" spans="1:41" ht="15">
      <c r="A153" s="325" t="s">
        <v>573</v>
      </c>
      <c r="B153" s="322" t="str">
        <f>VLOOKUP(OPX_LE3!$A153,Tableau106[],3,FALSE)</f>
        <v>F037</v>
      </c>
      <c r="C153" s="322" t="str">
        <f>VLOOKUP(OPX_LE3!$A153,Tableau106[],2,FALSE)</f>
        <v>FR14E05E</v>
      </c>
      <c r="D153" s="322" t="str">
        <f>VLOOKUP(OPX_LE3!$A153,Tableau106[],8,FALSE)</f>
        <v>EOLIEN</v>
      </c>
      <c r="E153" s="324">
        <f>VLOOKUP(OPX_LE3!$A153,Tableau106[],4,FALSE)</f>
        <v>10</v>
      </c>
      <c r="F153" s="322" t="str">
        <f>VLOOKUP(OPX_LE3!$A153,Tableau106[],5,FALSE)</f>
        <v>SABL</v>
      </c>
      <c r="G153" s="322" t="str">
        <f>VLOOKUP(OPX_LE3!$A153,Tableau106[],7,FALSE)</f>
        <v>FUTUREN</v>
      </c>
      <c r="H153" s="322" t="str">
        <f>VLOOKUP(OPX_LE3!$A153,Tableau106[],6,FALSE)</f>
        <v>N</v>
      </c>
      <c r="I153" s="322" t="str">
        <f>VLOOKUP(OPX_LE3!$A153,Tableau106[],9,FALSE)</f>
        <v>AnN</v>
      </c>
      <c r="J153" s="254">
        <f>-107787-(0.00633*(CA_LE3!J89*1000))</f>
        <v>-233098.12380199999</v>
      </c>
      <c r="K153" s="228">
        <v>-65000</v>
      </c>
      <c r="L153" s="228"/>
      <c r="M153" s="229">
        <v>-1600</v>
      </c>
      <c r="N153" s="229">
        <v>0</v>
      </c>
      <c r="O153" s="229">
        <v>0</v>
      </c>
      <c r="P153" s="229">
        <v>0</v>
      </c>
      <c r="Q153" s="229">
        <f>-250*OPX_LE3!$E153</f>
        <v>-2500</v>
      </c>
      <c r="R153" s="311">
        <f>SUM(OPX_LE3!$K153:$Q153)</f>
        <v>-69100</v>
      </c>
      <c r="S153" s="337">
        <v>0</v>
      </c>
      <c r="T153" s="361">
        <v>0</v>
      </c>
      <c r="U153" s="362">
        <v>0</v>
      </c>
      <c r="V153" s="361">
        <f>-1600-1500</f>
        <v>-3100</v>
      </c>
      <c r="W153" s="361">
        <v>-1000</v>
      </c>
      <c r="X153" s="361">
        <v>0</v>
      </c>
      <c r="Y153" s="361">
        <v>0</v>
      </c>
      <c r="Z153" s="264">
        <v>-2500</v>
      </c>
      <c r="AA153" s="423"/>
      <c r="AB153" s="273">
        <f>SUM(OPX_LE3!$T153:$AA153)</f>
        <v>-6600</v>
      </c>
      <c r="AC153" s="426"/>
      <c r="AD153" s="426"/>
      <c r="AE153" s="417">
        <v>0</v>
      </c>
      <c r="AF153" s="417">
        <v>0</v>
      </c>
      <c r="AG153" s="417">
        <v>0</v>
      </c>
      <c r="AH153" s="417">
        <v>0</v>
      </c>
      <c r="AI153" s="417">
        <v>0</v>
      </c>
      <c r="AJ153" s="317">
        <f>SUM(OPX_LE3!$AC153:$AI153)</f>
        <v>0</v>
      </c>
      <c r="AK153" s="424">
        <v>0</v>
      </c>
      <c r="AL153" s="276">
        <f>SUM(OPX_LE3!$J153,OPX_LE3!$AB153,OPX_LE3!$S153,OPX_LE3!$AJ153,OPX_LE3!$R153,OPX_LE3!$AK153)</f>
        <v>-308798.12380199996</v>
      </c>
      <c r="AM153" s="427">
        <v>-15000</v>
      </c>
      <c r="AN153" s="427">
        <v>0</v>
      </c>
    </row>
    <row r="154" spans="1:41" ht="15">
      <c r="A154" s="244" t="s">
        <v>578</v>
      </c>
      <c r="B154" s="232" t="str">
        <f>VLOOKUP(OPX_LE3!$A154,Tableau106[],3,FALSE)</f>
        <v>A544</v>
      </c>
      <c r="C154" s="232" t="str">
        <f>VLOOKUP(OPX_LE3!$A154,Tableau106[],2,FALSE)</f>
        <v>FR55E07E</v>
      </c>
      <c r="D154" s="232" t="str">
        <f>VLOOKUP(OPX_LE3!$A154,Tableau106[],8,FALSE)</f>
        <v>EOLIEN</v>
      </c>
      <c r="E154" s="233">
        <f>VLOOKUP(OPX_LE3!$A154,Tableau106[],4,FALSE)</f>
        <v>12</v>
      </c>
      <c r="F154" s="232" t="str">
        <f>VLOOKUP(OPX_LE3!$A154,Tableau106[],5,FALSE)</f>
        <v>STAU</v>
      </c>
      <c r="G154" s="232" t="str">
        <f>VLOOKUP(OPX_LE3!$A154,Tableau106[],7,FALSE)</f>
        <v>EGM</v>
      </c>
      <c r="H154" s="232" t="str">
        <f>VLOOKUP(OPX_LE3!$A154,Tableau106[],6,FALSE)</f>
        <v>N</v>
      </c>
      <c r="I154" s="232" t="str">
        <f>VLOOKUP(OPX_LE3!$A154,Tableau106[],9,FALSE)</f>
        <v>NoS</v>
      </c>
      <c r="J154" s="254">
        <v>-309549</v>
      </c>
      <c r="K154" s="228">
        <v>-100000</v>
      </c>
      <c r="L154" s="228"/>
      <c r="M154" s="229">
        <v>0</v>
      </c>
      <c r="N154" s="229">
        <v>0</v>
      </c>
      <c r="O154" s="229">
        <v>0</v>
      </c>
      <c r="P154" s="229">
        <v>-4200</v>
      </c>
      <c r="Q154" s="334">
        <f>-250*OPX_LE3!$E154</f>
        <v>-3000</v>
      </c>
      <c r="R154" s="311">
        <f>SUM(OPX_LE3!$K154:$Q154)</f>
        <v>-107200</v>
      </c>
      <c r="S154" s="337">
        <v>0</v>
      </c>
      <c r="T154" s="361">
        <v>0</v>
      </c>
      <c r="U154" s="362">
        <v>0</v>
      </c>
      <c r="V154" s="361">
        <v>-2000</v>
      </c>
      <c r="W154" s="361">
        <v>0</v>
      </c>
      <c r="X154" s="361">
        <v>0</v>
      </c>
      <c r="Y154" s="361">
        <v>0</v>
      </c>
      <c r="Z154" s="264">
        <v>-3000</v>
      </c>
      <c r="AA154" s="423"/>
      <c r="AB154" s="273">
        <f>SUM(OPX_LE3!$T154:$AA154)</f>
        <v>-5000</v>
      </c>
      <c r="AC154" s="426"/>
      <c r="AD154" s="426"/>
      <c r="AE154" s="417">
        <v>0</v>
      </c>
      <c r="AF154" s="417">
        <v>0</v>
      </c>
      <c r="AG154" s="417">
        <v>0</v>
      </c>
      <c r="AH154" s="417">
        <v>0</v>
      </c>
      <c r="AI154" s="417">
        <v>0</v>
      </c>
      <c r="AJ154" s="317">
        <f>SUM(OPX_LE3!$AC154:$AI154)</f>
        <v>0</v>
      </c>
      <c r="AK154" s="424">
        <v>0</v>
      </c>
      <c r="AL154" s="276">
        <f>SUM(OPX_LE3!$J154,OPX_LE3!$AB154,OPX_LE3!$S154,OPX_LE3!$AJ154,OPX_LE3!$R154,OPX_LE3!$AK154)</f>
        <v>-421749</v>
      </c>
      <c r="AM154" s="427">
        <v>0</v>
      </c>
      <c r="AN154" s="427">
        <v>-95000</v>
      </c>
      <c r="AO154" s="6" t="s">
        <v>725</v>
      </c>
    </row>
    <row r="155" spans="1:41" ht="15">
      <c r="A155" s="325" t="s">
        <v>612</v>
      </c>
      <c r="B155" s="322" t="str">
        <f>VLOOKUP(OPX_LE3!$A155,Tableau106[],3,FALSE)</f>
        <v>A540</v>
      </c>
      <c r="C155" s="322" t="str">
        <f>VLOOKUP(OPX_LE3!$A155,Tableau106[],2,FALSE)</f>
        <v>FR56E07E</v>
      </c>
      <c r="D155" s="322" t="str">
        <f>VLOOKUP(OPX_LE3!$A155,Tableau106[],8,FALSE)</f>
        <v>EOLIEN</v>
      </c>
      <c r="E155" s="324">
        <f>VLOOKUP(OPX_LE3!$A155,Tableau106[],4,FALSE)</f>
        <v>8</v>
      </c>
      <c r="F155" s="322" t="str">
        <f>VLOOKUP(OPX_LE3!$A155,Tableau106[],5,FALSE)</f>
        <v>STME</v>
      </c>
      <c r="G155" s="322" t="str">
        <f>VLOOKUP(OPX_LE3!$A155,Tableau106[],7,FALSE)</f>
        <v>EGM</v>
      </c>
      <c r="H155" s="322" t="str">
        <f>VLOOKUP(OPX_LE3!$A155,Tableau106[],6,FALSE)</f>
        <v>N</v>
      </c>
      <c r="I155" s="322" t="str">
        <f>VLOOKUP(OPX_LE3!$A155,Tableau106[],9,FALSE)</f>
        <v>DeN</v>
      </c>
      <c r="J155" s="254">
        <v>-206499</v>
      </c>
      <c r="K155" s="228">
        <v>-34510</v>
      </c>
      <c r="L155" s="228"/>
      <c r="M155" s="229">
        <v>0</v>
      </c>
      <c r="N155" s="229">
        <v>0</v>
      </c>
      <c r="O155" s="229">
        <v>0</v>
      </c>
      <c r="P155" s="229">
        <v>-2800</v>
      </c>
      <c r="Q155" s="334">
        <f>-250*OPX_LE3!$E155</f>
        <v>-2000</v>
      </c>
      <c r="R155" s="311">
        <f>SUM(OPX_LE3!$K155:$Q155)</f>
        <v>-39310</v>
      </c>
      <c r="S155" s="337">
        <v>0</v>
      </c>
      <c r="T155" s="361">
        <v>0</v>
      </c>
      <c r="U155" s="362">
        <v>0</v>
      </c>
      <c r="V155" s="361">
        <v>-1000</v>
      </c>
      <c r="W155" s="361">
        <v>0</v>
      </c>
      <c r="X155" s="361">
        <v>0</v>
      </c>
      <c r="Y155" s="361">
        <v>0</v>
      </c>
      <c r="Z155" s="264">
        <v>-2000</v>
      </c>
      <c r="AA155" s="423"/>
      <c r="AB155" s="273">
        <f>SUM(OPX_LE3!$T155:$AA155)</f>
        <v>-3000</v>
      </c>
      <c r="AC155" s="426"/>
      <c r="AD155" s="426"/>
      <c r="AE155" s="417">
        <v>0</v>
      </c>
      <c r="AF155" s="417">
        <v>0</v>
      </c>
      <c r="AG155" s="417">
        <v>0</v>
      </c>
      <c r="AH155" s="417">
        <v>0</v>
      </c>
      <c r="AI155" s="417">
        <v>0</v>
      </c>
      <c r="AJ155" s="317">
        <f>SUM(OPX_LE3!$AC155:$AI155)</f>
        <v>0</v>
      </c>
      <c r="AK155" s="424">
        <v>0</v>
      </c>
      <c r="AL155" s="276">
        <f>SUM(OPX_LE3!$J155,OPX_LE3!$AB155,OPX_LE3!$S155,OPX_LE3!$AJ155,OPX_LE3!$R155,OPX_LE3!$AK155)</f>
        <v>-248809</v>
      </c>
      <c r="AM155" s="427">
        <v>0</v>
      </c>
      <c r="AN155" s="427">
        <v>-29500</v>
      </c>
      <c r="AO155" s="6" t="s">
        <v>725</v>
      </c>
    </row>
    <row r="156" spans="1:41" ht="15">
      <c r="A156" s="244" t="s">
        <v>589</v>
      </c>
      <c r="B156" s="232" t="str">
        <f>VLOOKUP(OPX_LE3!$A156,Tableau106[],3,FALSE)</f>
        <v>A135</v>
      </c>
      <c r="C156" s="232" t="str">
        <f>VLOOKUP(OPX_LE3!$A156,Tableau106[],2,FALSE)</f>
        <v>FR04S98E</v>
      </c>
      <c r="D156" s="232" t="str">
        <f>VLOOKUP(OPX_LE3!$A156,Tableau106[],8,FALSE)</f>
        <v>SOLAIRE</v>
      </c>
      <c r="E156" s="233">
        <f>VLOOKUP(OPX_LE3!$A156,Tableau106[],4,FALSE)</f>
        <v>5.2350000000000003</v>
      </c>
      <c r="F156" s="232" t="str">
        <f>VLOOKUP(OPX_LE3!$A156,Tableau106[],5,FALSE)</f>
        <v>STUL</v>
      </c>
      <c r="G156" s="232" t="str">
        <f>VLOOKUP(OPX_LE3!$A156,Tableau106[],7,FALSE)</f>
        <v>GROUPE</v>
      </c>
      <c r="H156" s="232" t="str">
        <f>VLOOKUP(OPX_LE3!$A156,Tableau106[],6,FALSE)</f>
        <v>S</v>
      </c>
      <c r="I156" s="232" t="str">
        <f>VLOOKUP(OPX_LE3!$A156,Tableau106[],9,FALSE)</f>
        <v>ArB</v>
      </c>
      <c r="J156" s="254">
        <v>-173010</v>
      </c>
      <c r="K156" s="228">
        <v>-15550</v>
      </c>
      <c r="L156" s="228"/>
      <c r="M156" s="229">
        <v>0</v>
      </c>
      <c r="N156" s="229">
        <v>0</v>
      </c>
      <c r="O156" s="229">
        <v>0</v>
      </c>
      <c r="P156" s="229">
        <v>0</v>
      </c>
      <c r="Q156" s="334">
        <f>-250*OPX_LE3!$E156</f>
        <v>-1308.75</v>
      </c>
      <c r="R156" s="311">
        <f>SUM(OPX_LE3!$K156:$Q156)</f>
        <v>-16858.75</v>
      </c>
      <c r="S156" s="337"/>
      <c r="T156" s="361">
        <v>0</v>
      </c>
      <c r="U156" s="362">
        <v>0</v>
      </c>
      <c r="V156" s="361">
        <v>0</v>
      </c>
      <c r="W156" s="361">
        <v>0</v>
      </c>
      <c r="X156" s="361">
        <v>0</v>
      </c>
      <c r="Y156" s="361">
        <v>0</v>
      </c>
      <c r="Z156" s="264">
        <v>-1308.75</v>
      </c>
      <c r="AA156" s="423">
        <v>-5000</v>
      </c>
      <c r="AB156" s="273">
        <f>SUM(OPX_LE3!$T156:$AA156)</f>
        <v>-6308.75</v>
      </c>
      <c r="AC156" s="426"/>
      <c r="AD156" s="426">
        <v>0</v>
      </c>
      <c r="AE156" s="417">
        <v>0</v>
      </c>
      <c r="AF156" s="417">
        <v>0</v>
      </c>
      <c r="AG156" s="417">
        <v>0</v>
      </c>
      <c r="AH156" s="417">
        <v>0</v>
      </c>
      <c r="AI156" s="417">
        <v>0</v>
      </c>
      <c r="AJ156" s="317">
        <f>SUM(OPX_LE3!$AC156:$AI156)</f>
        <v>0</v>
      </c>
      <c r="AK156" s="424">
        <v>-12000</v>
      </c>
      <c r="AL156" s="276">
        <f>SUM(OPX_LE3!$J156,OPX_LE3!$AB156,OPX_LE3!$S156,OPX_LE3!$AJ156,OPX_LE3!$R156,OPX_LE3!$AK156)</f>
        <v>-208177.5</v>
      </c>
      <c r="AM156" s="427">
        <v>0</v>
      </c>
      <c r="AN156" s="427">
        <v>0</v>
      </c>
    </row>
    <row r="157" spans="1:41" ht="14.25" customHeight="1">
      <c r="A157" s="325" t="s">
        <v>317</v>
      </c>
      <c r="B157" s="322" t="str">
        <f>VLOOKUP(OPX_LE3!$A157,Tableau106[],3,FALSE)</f>
        <v>F040</v>
      </c>
      <c r="C157" s="322" t="str">
        <f>VLOOKUP(OPX_LE3!$A157,Tableau106[],2,FALSE)</f>
        <v>FR14E04E</v>
      </c>
      <c r="D157" s="322" t="str">
        <f>VLOOKUP(OPX_LE3!$A157,Tableau106[],8,FALSE)</f>
        <v>EOLIEN</v>
      </c>
      <c r="E157" s="324">
        <f>VLOOKUP(OPX_LE3!$A157,Tableau106[],4,FALSE)</f>
        <v>8</v>
      </c>
      <c r="F157" s="322" t="str">
        <f>VLOOKUP(OPX_LE3!$A157,Tableau106[],5,FALSE)</f>
        <v>SALL</v>
      </c>
      <c r="G157" s="322" t="str">
        <f>VLOOKUP(OPX_LE3!$A157,Tableau106[],7,FALSE)</f>
        <v>FUTUREN</v>
      </c>
      <c r="H157" s="322" t="str">
        <f>VLOOKUP(OPX_LE3!$A157,Tableau106[],6,FALSE)</f>
        <v>N</v>
      </c>
      <c r="I157" s="322" t="str">
        <f>VLOOKUP(OPX_LE3!$A157,Tableau106[],9,FALSE)</f>
        <v>MéS</v>
      </c>
      <c r="J157" s="254">
        <v>-9112</v>
      </c>
      <c r="K157" s="228">
        <v>-5020.0000000000009</v>
      </c>
      <c r="L157" s="228"/>
      <c r="M157" s="229">
        <v>0</v>
      </c>
      <c r="N157" s="229">
        <v>0</v>
      </c>
      <c r="O157" s="229">
        <v>0</v>
      </c>
      <c r="P157" s="229">
        <f>-440*Tableau16[[#This Row],[MW]]/2</f>
        <v>-1760</v>
      </c>
      <c r="Q157" s="334">
        <f>-250*OPX_LE3!$E157</f>
        <v>-2000</v>
      </c>
      <c r="R157" s="311">
        <f>SUM(OPX_LE3!$K157:$Q157)</f>
        <v>-8780</v>
      </c>
      <c r="S157" s="337">
        <v>-182000</v>
      </c>
      <c r="T157" s="378">
        <f>-500</f>
        <v>-500</v>
      </c>
      <c r="U157" s="362">
        <v>0</v>
      </c>
      <c r="V157" s="386">
        <v>-2513</v>
      </c>
      <c r="W157" s="361">
        <v>0</v>
      </c>
      <c r="X157" s="361">
        <v>0</v>
      </c>
      <c r="Y157" s="361">
        <v>0</v>
      </c>
      <c r="Z157" s="264">
        <v>-2000</v>
      </c>
      <c r="AA157" s="423"/>
      <c r="AB157" s="273">
        <f>SUM(OPX_LE3!$T157:$AA157)</f>
        <v>-5013</v>
      </c>
      <c r="AC157" s="426"/>
      <c r="AD157" s="426"/>
      <c r="AE157" s="417">
        <v>0</v>
      </c>
      <c r="AF157" s="417">
        <v>0</v>
      </c>
      <c r="AG157" s="417">
        <v>0</v>
      </c>
      <c r="AH157" s="417">
        <v>0</v>
      </c>
      <c r="AI157" s="417">
        <v>0</v>
      </c>
      <c r="AJ157" s="317">
        <f>SUM(OPX_LE3!$AC157:$AI157)</f>
        <v>0</v>
      </c>
      <c r="AK157" s="424">
        <v>0</v>
      </c>
      <c r="AL157" s="276">
        <f>SUM(OPX_LE3!$J157,OPX_LE3!$AB157,OPX_LE3!$S157,OPX_LE3!$AJ157,OPX_LE3!$R157,OPX_LE3!$AK157)</f>
        <v>-204905</v>
      </c>
      <c r="AM157" s="427">
        <v>-15000</v>
      </c>
      <c r="AN157" s="427">
        <v>0</v>
      </c>
    </row>
    <row r="158" spans="1:41" ht="15">
      <c r="A158" s="244" t="s">
        <v>641</v>
      </c>
      <c r="B158" s="232" t="str">
        <f>VLOOKUP(OPX_LE3!$A158,Tableau106[],3,FALSE)</f>
        <v>A269</v>
      </c>
      <c r="C158" s="232" t="str">
        <f>VLOOKUP(OPX_LE3!$A158,Tableau106[],2,FALSE)</f>
        <v>FR13S17E</v>
      </c>
      <c r="D158" s="232" t="str">
        <f>VLOOKUP(OPX_LE3!$A158,Tableau106[],8,FALSE)</f>
        <v>SOLAIRE</v>
      </c>
      <c r="E158" s="233">
        <f>VLOOKUP(OPX_LE3!$A158,Tableau106[],4,FALSE)</f>
        <v>3.4</v>
      </c>
      <c r="F158" s="232" t="str">
        <f>VLOOKUP(OPX_LE3!$A158,Tableau106[],5,FALSE)</f>
        <v>SALP</v>
      </c>
      <c r="G158" s="232" t="str">
        <f>VLOOKUP(OPX_LE3!$A158,Tableau106[],7,FALSE)</f>
        <v>GROUPE</v>
      </c>
      <c r="H158" s="232" t="str">
        <f>VLOOKUP(OPX_LE3!$A158,Tableau106[],6,FALSE)</f>
        <v>S</v>
      </c>
      <c r="I158" s="232" t="str">
        <f>VLOOKUP(OPX_LE3!$A158,Tableau106[],9,FALSE)</f>
        <v>BaA</v>
      </c>
      <c r="J158" s="254">
        <v>-27200</v>
      </c>
      <c r="K158" s="228">
        <v>0</v>
      </c>
      <c r="L158" s="228"/>
      <c r="M158" s="229">
        <v>0</v>
      </c>
      <c r="N158" s="229">
        <v>0</v>
      </c>
      <c r="O158" s="229">
        <v>0</v>
      </c>
      <c r="P158" s="229">
        <v>0</v>
      </c>
      <c r="Q158" s="334">
        <f>-250*OPX_LE3!$E158</f>
        <v>-850</v>
      </c>
      <c r="R158" s="311">
        <f>SUM(OPX_LE3!$K158:$Q158)</f>
        <v>-850</v>
      </c>
      <c r="S158" s="337"/>
      <c r="T158" s="361">
        <v>0</v>
      </c>
      <c r="U158" s="362">
        <v>0</v>
      </c>
      <c r="V158" s="361">
        <v>0</v>
      </c>
      <c r="W158" s="361">
        <v>0</v>
      </c>
      <c r="X158" s="361">
        <v>0</v>
      </c>
      <c r="Y158" s="361">
        <v>0</v>
      </c>
      <c r="Z158" s="264">
        <v>-850</v>
      </c>
      <c r="AA158" s="423"/>
      <c r="AB158" s="273">
        <f>SUM(OPX_LE3!$T158:$AA158)</f>
        <v>-850</v>
      </c>
      <c r="AC158" s="426"/>
      <c r="AD158" s="426">
        <v>0</v>
      </c>
      <c r="AE158" s="417">
        <v>0</v>
      </c>
      <c r="AF158" s="417">
        <v>0</v>
      </c>
      <c r="AG158" s="417">
        <v>0</v>
      </c>
      <c r="AH158" s="417">
        <v>0</v>
      </c>
      <c r="AI158" s="417">
        <v>0</v>
      </c>
      <c r="AJ158" s="317">
        <f>SUM(OPX_LE3!$AC158:$AI158)</f>
        <v>0</v>
      </c>
      <c r="AK158" s="424">
        <v>0</v>
      </c>
      <c r="AL158" s="276">
        <f>SUM(OPX_LE3!$J158,OPX_LE3!$AB158,OPX_LE3!$S158,OPX_LE3!$AJ158,OPX_LE3!$R158,OPX_LE3!$AK158)</f>
        <v>-28900</v>
      </c>
      <c r="AM158" s="427">
        <v>0</v>
      </c>
      <c r="AN158" s="427">
        <v>0</v>
      </c>
    </row>
    <row r="159" spans="1:41" ht="15">
      <c r="A159" s="325" t="s">
        <v>591</v>
      </c>
      <c r="B159" s="322" t="str">
        <f>VLOOKUP(OPX_LE3!$A159,Tableau106[],3,FALSE)</f>
        <v>A272</v>
      </c>
      <c r="C159" s="322" t="str">
        <f>VLOOKUP(OPX_LE3!$A159,Tableau106[],2,FALSE)</f>
        <v>FR43S03E</v>
      </c>
      <c r="D159" s="322" t="str">
        <f>VLOOKUP(OPX_LE3!$A159,Tableau106[],8,FALSE)</f>
        <v>SOLAIRE</v>
      </c>
      <c r="E159" s="324">
        <f>VLOOKUP(OPX_LE3!$A159,Tableau106[],4,FALSE)</f>
        <v>4.2</v>
      </c>
      <c r="F159" s="322" t="str">
        <f>VLOOKUP(OPX_LE3!$A159,Tableau106[],5,FALSE)</f>
        <v>SALZ</v>
      </c>
      <c r="G159" s="322" t="str">
        <f>VLOOKUP(OPX_LE3!$A159,Tableau106[],7,FALSE)</f>
        <v>GROUPE</v>
      </c>
      <c r="H159" s="322" t="str">
        <f>VLOOKUP(OPX_LE3!$A159,Tableau106[],6,FALSE)</f>
        <v>S</v>
      </c>
      <c r="I159" s="322" t="str">
        <f>VLOOKUP(OPX_LE3!$A159,Tableau106[],9,FALSE)</f>
        <v>ArB</v>
      </c>
      <c r="J159" s="254">
        <v>-35290</v>
      </c>
      <c r="K159" s="228">
        <v>-5730</v>
      </c>
      <c r="L159" s="228"/>
      <c r="M159" s="229">
        <v>0</v>
      </c>
      <c r="N159" s="229">
        <v>0</v>
      </c>
      <c r="O159" s="229">
        <v>0</v>
      </c>
      <c r="P159" s="229">
        <v>0</v>
      </c>
      <c r="Q159" s="334">
        <f>-250*OPX_LE3!$E159</f>
        <v>-1050</v>
      </c>
      <c r="R159" s="311">
        <f>SUM(OPX_LE3!$K159:$Q159)</f>
        <v>-6780</v>
      </c>
      <c r="S159" s="337">
        <v>0</v>
      </c>
      <c r="T159" s="361">
        <v>0</v>
      </c>
      <c r="U159" s="362">
        <v>0</v>
      </c>
      <c r="V159" s="361">
        <v>-15000</v>
      </c>
      <c r="W159" s="361">
        <v>0</v>
      </c>
      <c r="X159" s="361">
        <v>0</v>
      </c>
      <c r="Y159" s="361">
        <v>0</v>
      </c>
      <c r="Z159" s="264">
        <v>-1050</v>
      </c>
      <c r="AA159" s="423">
        <v>-600</v>
      </c>
      <c r="AB159" s="273">
        <f>SUM(OPX_LE3!$T159:$AA159)</f>
        <v>-16650</v>
      </c>
      <c r="AC159" s="426"/>
      <c r="AD159" s="426">
        <v>0</v>
      </c>
      <c r="AE159" s="417">
        <v>0</v>
      </c>
      <c r="AF159" s="417">
        <v>0</v>
      </c>
      <c r="AG159" s="417">
        <v>0</v>
      </c>
      <c r="AH159" s="417">
        <v>0</v>
      </c>
      <c r="AI159" s="417">
        <v>0</v>
      </c>
      <c r="AJ159" s="317">
        <f>SUM(OPX_LE3!$AC159:$AI159)</f>
        <v>0</v>
      </c>
      <c r="AK159" s="424">
        <v>-3000</v>
      </c>
      <c r="AL159" s="276">
        <f>SUM(OPX_LE3!$J159,OPX_LE3!$AB159,OPX_LE3!$S159,OPX_LE3!$AJ159,OPX_LE3!$R159,OPX_LE3!$AK159)</f>
        <v>-61720</v>
      </c>
      <c r="AM159" s="427">
        <v>0</v>
      </c>
      <c r="AN159" s="427">
        <v>0</v>
      </c>
    </row>
    <row r="160" spans="1:41" ht="15">
      <c r="A160" s="244" t="s">
        <v>592</v>
      </c>
      <c r="B160" s="232" t="str">
        <f>VLOOKUP(OPX_LE3!$A160,Tableau106[],3,FALSE)</f>
        <v>A257</v>
      </c>
      <c r="C160" s="232" t="str">
        <f>VLOOKUP(OPX_LE3!$A160,Tableau106[],2,FALSE)</f>
        <v>FR01S03E</v>
      </c>
      <c r="D160" s="232" t="str">
        <f>VLOOKUP(OPX_LE3!$A160,Tableau106[],8,FALSE)</f>
        <v>SOLAIRE</v>
      </c>
      <c r="E160" s="233">
        <f>VLOOKUP(OPX_LE3!$A160,Tableau106[],4,FALSE)</f>
        <v>3.6</v>
      </c>
      <c r="F160" s="232" t="str">
        <f>VLOOKUP(OPX_LE3!$A160,Tableau106[],5,FALSE)</f>
        <v>SAMO</v>
      </c>
      <c r="G160" s="232" t="str">
        <f>VLOOKUP(OPX_LE3!$A160,Tableau106[],7,FALSE)</f>
        <v>GROUPE</v>
      </c>
      <c r="H160" s="232" t="str">
        <f>VLOOKUP(OPX_LE3!$A160,Tableau106[],6,FALSE)</f>
        <v>S</v>
      </c>
      <c r="I160" s="232" t="str">
        <f>VLOOKUP(OPX_LE3!$A160,Tableau106[],9,FALSE)</f>
        <v>ArB</v>
      </c>
      <c r="J160" s="254">
        <v>0</v>
      </c>
      <c r="K160" s="228">
        <v>0</v>
      </c>
      <c r="L160" s="228"/>
      <c r="M160" s="229">
        <v>0</v>
      </c>
      <c r="N160" s="229">
        <v>0</v>
      </c>
      <c r="O160" s="229">
        <v>0</v>
      </c>
      <c r="P160" s="229">
        <v>0</v>
      </c>
      <c r="Q160" s="229">
        <f>-250*OPX_LE3!$E160</f>
        <v>-900</v>
      </c>
      <c r="R160" s="311">
        <f>SUM(OPX_LE3!$K160:$Q160)</f>
        <v>-900</v>
      </c>
      <c r="S160" s="337">
        <v>-23750</v>
      </c>
      <c r="T160" s="361">
        <v>-2100</v>
      </c>
      <c r="U160" s="362">
        <v>0</v>
      </c>
      <c r="V160" s="361">
        <v>-3581</v>
      </c>
      <c r="W160" s="361">
        <v>0</v>
      </c>
      <c r="X160" s="361">
        <v>0</v>
      </c>
      <c r="Y160" s="361">
        <v>0</v>
      </c>
      <c r="Z160" s="264">
        <v>-900</v>
      </c>
      <c r="AA160" s="423">
        <v>-500</v>
      </c>
      <c r="AB160" s="273">
        <f>SUM(OPX_LE3!$T160:$AA160)</f>
        <v>-7081</v>
      </c>
      <c r="AC160" s="426"/>
      <c r="AD160" s="426">
        <v>0</v>
      </c>
      <c r="AE160" s="417">
        <v>0</v>
      </c>
      <c r="AF160" s="417">
        <v>0</v>
      </c>
      <c r="AG160" s="417">
        <v>0</v>
      </c>
      <c r="AH160" s="417">
        <v>0</v>
      </c>
      <c r="AI160" s="417">
        <v>0</v>
      </c>
      <c r="AJ160" s="317">
        <f>SUM(OPX_LE3!$AC160:$AI160)</f>
        <v>0</v>
      </c>
      <c r="AK160" s="424">
        <v>0</v>
      </c>
      <c r="AL160" s="276">
        <f>SUM(OPX_LE3!$J160,OPX_LE3!$AB160,OPX_LE3!$S160,OPX_LE3!$AJ160,OPX_LE3!$R160,OPX_LE3!$AK160)</f>
        <v>-31731</v>
      </c>
      <c r="AM160" s="427">
        <v>0</v>
      </c>
      <c r="AN160" s="427">
        <v>0</v>
      </c>
    </row>
    <row r="161" spans="1:41" ht="15">
      <c r="A161" s="325" t="s">
        <v>593</v>
      </c>
      <c r="B161" s="322" t="str">
        <f>VLOOKUP(OPX_LE3!$A161,Tableau106[],3,FALSE)</f>
        <v>A258</v>
      </c>
      <c r="C161" s="322" t="str">
        <f>VLOOKUP(OPX_LE3!$A161,Tableau106[],2,FALSE)</f>
        <v>FR49S01E</v>
      </c>
      <c r="D161" s="322" t="str">
        <f>VLOOKUP(OPX_LE3!$A161,Tableau106[],8,FALSE)</f>
        <v>SOLAIRE</v>
      </c>
      <c r="E161" s="324">
        <f>VLOOKUP(OPX_LE3!$A161,Tableau106[],4,FALSE)</f>
        <v>10.3</v>
      </c>
      <c r="F161" s="322" t="str">
        <f>VLOOKUP(OPX_LE3!$A161,Tableau106[],5,FALSE)</f>
        <v>SAUM</v>
      </c>
      <c r="G161" s="322" t="str">
        <f>VLOOKUP(OPX_LE3!$A161,Tableau106[],7,FALSE)</f>
        <v>GROUPE</v>
      </c>
      <c r="H161" s="322" t="str">
        <f>VLOOKUP(OPX_LE3!$A161,Tableau106[],6,FALSE)</f>
        <v>N</v>
      </c>
      <c r="I161" s="322" t="str">
        <f>VLOOKUP(OPX_LE3!$A161,Tableau106[],9,FALSE)</f>
        <v>ZaA</v>
      </c>
      <c r="J161" s="254">
        <v>-79100</v>
      </c>
      <c r="K161" s="228">
        <v>0</v>
      </c>
      <c r="L161" s="228"/>
      <c r="M161" s="229">
        <v>0</v>
      </c>
      <c r="N161" s="229">
        <v>0</v>
      </c>
      <c r="O161" s="229">
        <v>0</v>
      </c>
      <c r="P161" s="229">
        <v>0</v>
      </c>
      <c r="Q161" s="229">
        <f>0.15*Tableau16[[#This Row],[Contrat Groupe EDF Re : (WTG + PDL)]]</f>
        <v>-11865</v>
      </c>
      <c r="R161" s="311">
        <f>SUM(OPX_LE3!$K161:$Q161)</f>
        <v>-11865</v>
      </c>
      <c r="S161" s="337"/>
      <c r="T161" s="361">
        <v>0</v>
      </c>
      <c r="U161" s="362">
        <v>0</v>
      </c>
      <c r="V161" s="361">
        <v>0</v>
      </c>
      <c r="W161" s="361">
        <v>0</v>
      </c>
      <c r="X161" s="361">
        <v>0</v>
      </c>
      <c r="Y161" s="361">
        <v>0</v>
      </c>
      <c r="Z161" s="264">
        <f>-300*Tableau16[[#This Row],[MW]]</f>
        <v>-3090</v>
      </c>
      <c r="AA161" s="423"/>
      <c r="AB161" s="273">
        <f>SUM(OPX_LE3!$T161:$AA161)</f>
        <v>-3090</v>
      </c>
      <c r="AC161" s="426"/>
      <c r="AD161" s="426">
        <v>0</v>
      </c>
      <c r="AE161" s="417">
        <v>0</v>
      </c>
      <c r="AF161" s="417">
        <v>0</v>
      </c>
      <c r="AG161" s="417">
        <v>0</v>
      </c>
      <c r="AH161" s="417">
        <v>-4450</v>
      </c>
      <c r="AI161" s="417">
        <v>0</v>
      </c>
      <c r="AJ161" s="317">
        <f>SUM(OPX_LE3!$AC161:$AI161)</f>
        <v>-4450</v>
      </c>
      <c r="AK161" s="424">
        <v>0</v>
      </c>
      <c r="AL161" s="276">
        <f>SUM(OPX_LE3!$J161,OPX_LE3!$AB161,OPX_LE3!$S161,OPX_LE3!$AJ161,OPX_LE3!$R161,OPX_LE3!$AK161)</f>
        <v>-98505</v>
      </c>
      <c r="AM161" s="427">
        <v>0</v>
      </c>
      <c r="AN161" s="427">
        <v>0</v>
      </c>
    </row>
    <row r="162" spans="1:41" ht="15">
      <c r="A162" s="244" t="s">
        <v>517</v>
      </c>
      <c r="B162" s="232" t="str">
        <f>VLOOKUP(OPX_LE3!$A162,Tableau106[],3,FALSE)</f>
        <v>A125</v>
      </c>
      <c r="C162" s="232" t="str">
        <f>VLOOKUP(OPX_LE3!$A162,Tableau106[],2,FALSE)</f>
        <v>FR81E99E</v>
      </c>
      <c r="D162" s="232" t="str">
        <f>VLOOKUP(OPX_LE3!$A162,Tableau106[],8,FALSE)</f>
        <v>EOLIEN</v>
      </c>
      <c r="E162" s="233">
        <f>VLOOKUP(OPX_LE3!$A162,Tableau106[],4,FALSE)</f>
        <v>12</v>
      </c>
      <c r="F162" s="232" t="str">
        <f>VLOOKUP(OPX_LE3!$A162,Tableau106[],5,FALSE)</f>
        <v>SAUV</v>
      </c>
      <c r="G162" s="232" t="str">
        <f>VLOOKUP(OPX_LE3!$A162,Tableau106[],7,FALSE)</f>
        <v>GROUPE</v>
      </c>
      <c r="H162" s="232" t="str">
        <f>VLOOKUP(OPX_LE3!$A162,Tableau106[],6,FALSE)</f>
        <v>S</v>
      </c>
      <c r="I162" s="232" t="str">
        <f>VLOOKUP(OPX_LE3!$A162,Tableau106[],9,FALSE)</f>
        <v>ThC</v>
      </c>
      <c r="J162" s="254">
        <v>-10015</v>
      </c>
      <c r="K162" s="228">
        <v>-13880</v>
      </c>
      <c r="L162" s="228"/>
      <c r="M162" s="229">
        <v>0</v>
      </c>
      <c r="N162" s="229">
        <v>0</v>
      </c>
      <c r="O162" s="229">
        <v>0</v>
      </c>
      <c r="P162" s="229">
        <v>-5200</v>
      </c>
      <c r="Q162" s="229">
        <f>-250*OPX_LE3!$E162</f>
        <v>-3000</v>
      </c>
      <c r="R162" s="311">
        <f>SUM(OPX_LE3!$K162:$Q162)</f>
        <v>-22080</v>
      </c>
      <c r="S162" s="337">
        <v>-502654</v>
      </c>
      <c r="T162" s="361">
        <v>-31000</v>
      </c>
      <c r="U162" s="362">
        <v>0</v>
      </c>
      <c r="V162" s="361">
        <v>-38000</v>
      </c>
      <c r="W162" s="361">
        <v>-3000</v>
      </c>
      <c r="X162" s="361">
        <v>0</v>
      </c>
      <c r="Y162" s="423"/>
      <c r="Z162" s="264">
        <f>-3000-10000</f>
        <v>-13000</v>
      </c>
      <c r="AA162" s="423">
        <f>-0.002*1600000</f>
        <v>-3200</v>
      </c>
      <c r="AB162" s="273">
        <f>SUM(OPX_LE3!$T162:$AA162)</f>
        <v>-88200</v>
      </c>
      <c r="AC162" s="426"/>
      <c r="AD162" s="426"/>
      <c r="AE162" s="417">
        <v>0</v>
      </c>
      <c r="AF162" s="417">
        <v>-10000</v>
      </c>
      <c r="AG162" s="417">
        <v>-30000</v>
      </c>
      <c r="AH162" s="417">
        <v>0</v>
      </c>
      <c r="AI162" s="417">
        <v>0</v>
      </c>
      <c r="AJ162" s="317">
        <f>SUM(OPX_LE3!$AC162:$AI162)</f>
        <v>-40000</v>
      </c>
      <c r="AK162" s="424">
        <v>0</v>
      </c>
      <c r="AL162" s="276">
        <f>SUM(OPX_LE3!$J162,OPX_LE3!$AB162,OPX_LE3!$S162,OPX_LE3!$AJ162,OPX_LE3!$R162,OPX_LE3!$AK162)</f>
        <v>-662949</v>
      </c>
      <c r="AM162" s="427">
        <v>0</v>
      </c>
      <c r="AN162" s="427">
        <v>0</v>
      </c>
    </row>
    <row r="163" spans="1:41" ht="15">
      <c r="A163" s="325" t="s">
        <v>462</v>
      </c>
      <c r="B163" s="322" t="str">
        <f>VLOOKUP(OPX_LE3!$A163,Tableau106[],3,FALSE)</f>
        <v>A080</v>
      </c>
      <c r="C163" s="322" t="str">
        <f>VLOOKUP(OPX_LE3!$A163,Tableau106[],2,FALSE)</f>
        <v>FR12E98E</v>
      </c>
      <c r="D163" s="322" t="str">
        <f>VLOOKUP(OPX_LE3!$A163,Tableau106[],8,FALSE)</f>
        <v>EOLIEN</v>
      </c>
      <c r="E163" s="324">
        <f>VLOOKUP(OPX_LE3!$A163,Tableau106[],4,FALSE)</f>
        <v>60</v>
      </c>
      <c r="F163" s="322" t="str">
        <f>VLOOKUP(OPX_LE3!$A163,Tableau106[],5,FALSE)</f>
        <v>SACU</v>
      </c>
      <c r="G163" s="322" t="str">
        <f>VLOOKUP(OPX_LE3!$A163,Tableau106[],7,FALSE)</f>
        <v>GROUPE</v>
      </c>
      <c r="H163" s="322" t="str">
        <f>VLOOKUP(OPX_LE3!$A163,Tableau106[],6,FALSE)</f>
        <v>N</v>
      </c>
      <c r="I163" s="322" t="str">
        <f>VLOOKUP(OPX_LE3!$A163,Tableau106[],9,FALSE)</f>
        <v>AuE</v>
      </c>
      <c r="J163" s="254">
        <v>-1507668</v>
      </c>
      <c r="K163" s="228">
        <v>-32920</v>
      </c>
      <c r="L163" s="228"/>
      <c r="M163" s="229">
        <v>0</v>
      </c>
      <c r="N163" s="229">
        <v>-26000</v>
      </c>
      <c r="O163" s="229">
        <v>-3000</v>
      </c>
      <c r="P163" s="229">
        <v>-26400</v>
      </c>
      <c r="Q163" s="229">
        <f>-250*OPX_LE3!$E163</f>
        <v>-15000</v>
      </c>
      <c r="R163" s="311">
        <f>SUM(OPX_LE3!$K163:$Q163)</f>
        <v>-103320</v>
      </c>
      <c r="S163" s="337"/>
      <c r="T163" s="379">
        <f>-(2000/29)*20/2</f>
        <v>-689.65517241379314</v>
      </c>
      <c r="U163" s="362">
        <v>0</v>
      </c>
      <c r="V163" s="361">
        <v>-15000</v>
      </c>
      <c r="W163" s="361">
        <v>0</v>
      </c>
      <c r="X163" s="361">
        <v>-4000</v>
      </c>
      <c r="Y163" s="361">
        <v>0</v>
      </c>
      <c r="Z163" s="264">
        <v>-15000</v>
      </c>
      <c r="AA163" s="423">
        <f>-(0.2*CA_LE3!M153)/100</f>
        <v>-29266.218983159997</v>
      </c>
      <c r="AB163" s="273">
        <f>SUM(OPX_LE3!$T163:$AA163)</f>
        <v>-63955.874155573794</v>
      </c>
      <c r="AC163" s="426"/>
      <c r="AD163" s="426">
        <f t="shared" ref="AD163:AD168" si="6">-4924*1.03</f>
        <v>-5071.72</v>
      </c>
      <c r="AE163" s="417">
        <v>0</v>
      </c>
      <c r="AF163" s="417">
        <v>0</v>
      </c>
      <c r="AG163" s="417">
        <v>-20000</v>
      </c>
      <c r="AH163" s="417">
        <v>0</v>
      </c>
      <c r="AI163" s="417">
        <v>0</v>
      </c>
      <c r="AJ163" s="317">
        <f>SUM(OPX_LE3!$AC163:$AI163)</f>
        <v>-25071.72</v>
      </c>
      <c r="AK163" s="424">
        <v>-80000</v>
      </c>
      <c r="AL163" s="276">
        <f>SUM(OPX_LE3!$J163,OPX_LE3!$AB163,OPX_LE3!$S163,OPX_LE3!$AJ163,OPX_LE3!$R163,OPX_LE3!$AK163)</f>
        <v>-1780015.5941555738</v>
      </c>
      <c r="AM163" s="427">
        <v>0</v>
      </c>
      <c r="AN163" s="427">
        <v>0</v>
      </c>
      <c r="AO163" s="6" t="s">
        <v>876</v>
      </c>
    </row>
    <row r="164" spans="1:41" ht="15">
      <c r="A164" s="244" t="s">
        <v>460</v>
      </c>
      <c r="B164" s="232" t="str">
        <f>VLOOKUP(OPX_LE3!$A164,Tableau106[],3,FALSE)</f>
        <v>A081</v>
      </c>
      <c r="C164" s="232" t="str">
        <f>VLOOKUP(OPX_LE3!$A164,Tableau106[],2,FALSE)</f>
        <v>FR12E97E</v>
      </c>
      <c r="D164" s="232" t="str">
        <f>VLOOKUP(OPX_LE3!$A164,Tableau106[],8,FALSE)</f>
        <v>EOLIEN</v>
      </c>
      <c r="E164" s="233">
        <f>VLOOKUP(OPX_LE3!$A164,Tableau106[],4,FALSE)</f>
        <v>9</v>
      </c>
      <c r="F164" s="232" t="str">
        <f>VLOOKUP(OPX_LE3!$A164,Tableau106[],5,FALSE)</f>
        <v>SAPN</v>
      </c>
      <c r="G164" s="232" t="str">
        <f>VLOOKUP(OPX_LE3!$A164,Tableau106[],7,FALSE)</f>
        <v>GROUPE</v>
      </c>
      <c r="H164" s="232" t="str">
        <f>VLOOKUP(OPX_LE3!$A164,Tableau106[],6,FALSE)</f>
        <v>N</v>
      </c>
      <c r="I164" s="232" t="str">
        <f>VLOOKUP(OPX_LE3!$A164,Tableau106[],9,FALSE)</f>
        <v>AuE</v>
      </c>
      <c r="J164" s="254">
        <v>-211990</v>
      </c>
      <c r="K164" s="228">
        <v>-5900</v>
      </c>
      <c r="L164" s="228"/>
      <c r="M164" s="229">
        <v>0</v>
      </c>
      <c r="N164" s="229">
        <v>-4200</v>
      </c>
      <c r="O164" s="229">
        <v>0</v>
      </c>
      <c r="P164" s="229">
        <v>-3960</v>
      </c>
      <c r="Q164" s="229">
        <f>-250*OPX_LE3!$E164</f>
        <v>-2250</v>
      </c>
      <c r="R164" s="311">
        <f>SUM(OPX_LE3!$K164:$Q164)</f>
        <v>-16310</v>
      </c>
      <c r="S164" s="337"/>
      <c r="T164" s="379">
        <f>-(2000/29)*3/2</f>
        <v>-103.44827586206898</v>
      </c>
      <c r="U164" s="362">
        <v>0</v>
      </c>
      <c r="V164" s="361">
        <v>-3500</v>
      </c>
      <c r="W164" s="361">
        <v>0</v>
      </c>
      <c r="X164" s="361">
        <v>0</v>
      </c>
      <c r="Y164" s="361">
        <v>0</v>
      </c>
      <c r="Z164" s="264">
        <v>-2250</v>
      </c>
      <c r="AA164" s="423">
        <f>-(0.2*CA_LE3!M15)/100</f>
        <v>-5032.3928431083341</v>
      </c>
      <c r="AB164" s="273">
        <f>SUM(OPX_LE3!$T164:$AA164)</f>
        <v>-10885.841118970402</v>
      </c>
      <c r="AC164" s="426"/>
      <c r="AD164" s="426">
        <f t="shared" si="6"/>
        <v>-5071.72</v>
      </c>
      <c r="AE164" s="417">
        <v>0</v>
      </c>
      <c r="AF164" s="417">
        <v>0</v>
      </c>
      <c r="AG164" s="417">
        <v>0</v>
      </c>
      <c r="AH164" s="417">
        <v>0</v>
      </c>
      <c r="AI164" s="417">
        <v>0</v>
      </c>
      <c r="AJ164" s="317">
        <f>SUM(OPX_LE3!$AC164:$AI164)</f>
        <v>-5071.72</v>
      </c>
      <c r="AK164" s="424">
        <v>-20000</v>
      </c>
      <c r="AL164" s="276">
        <f>SUM(OPX_LE3!$J164,OPX_LE3!$AB164,OPX_LE3!$S164,OPX_LE3!$AJ164,OPX_LE3!$R164,OPX_LE3!$AK164)</f>
        <v>-264257.56111897039</v>
      </c>
      <c r="AM164" s="427">
        <v>-50000</v>
      </c>
      <c r="AN164" s="427">
        <v>0</v>
      </c>
      <c r="AO164" s="6" t="s">
        <v>876</v>
      </c>
    </row>
    <row r="165" spans="1:41" ht="15">
      <c r="A165" s="325" t="s">
        <v>339</v>
      </c>
      <c r="B165" s="322" t="str">
        <f>VLOOKUP(OPX_LE3!$A165,Tableau106[],3,FALSE)</f>
        <v>F033</v>
      </c>
      <c r="C165" s="322" t="str">
        <f>VLOOKUP(OPX_LE3!$A165,Tableau106[],2,FALSE)</f>
        <v>FR56E10E</v>
      </c>
      <c r="D165" s="322" t="str">
        <f>VLOOKUP(OPX_LE3!$A165,Tableau106[],8,FALSE)</f>
        <v>EOLIEN</v>
      </c>
      <c r="E165" s="324">
        <f>VLOOKUP(OPX_LE3!$A165,Tableau106[],4,FALSE)</f>
        <v>9</v>
      </c>
      <c r="F165" s="322" t="str">
        <f>VLOOKUP(OPX_LE3!$A165,Tableau106[],5,FALSE)</f>
        <v>SAMI</v>
      </c>
      <c r="G165" s="322" t="str">
        <f>VLOOKUP(OPX_LE3!$A165,Tableau106[],7,FALSE)</f>
        <v>FUTUREN</v>
      </c>
      <c r="H165" s="322" t="str">
        <f>VLOOKUP(OPX_LE3!$A165,Tableau106[],6,FALSE)</f>
        <v>N</v>
      </c>
      <c r="I165" s="322" t="str">
        <f>VLOOKUP(OPX_LE3!$A165,Tableau106[],9,FALSE)</f>
        <v>AnN</v>
      </c>
      <c r="J165" s="254">
        <f>-129344-(0.00792*(CA_LE3!J155*1000))</f>
        <v>-257253.38550500001</v>
      </c>
      <c r="K165" s="228">
        <v>-5260</v>
      </c>
      <c r="L165" s="228"/>
      <c r="M165" s="229">
        <v>-1500</v>
      </c>
      <c r="N165" s="229">
        <v>0</v>
      </c>
      <c r="O165" s="229">
        <v>0</v>
      </c>
      <c r="P165" s="229">
        <v>-3150</v>
      </c>
      <c r="Q165" s="229">
        <f>-250*OPX_LE3!$E165</f>
        <v>-2250</v>
      </c>
      <c r="R165" s="311">
        <f>SUM(OPX_LE3!$K165:$Q165)</f>
        <v>-12160</v>
      </c>
      <c r="S165" s="337">
        <v>0</v>
      </c>
      <c r="T165" s="361">
        <v>0</v>
      </c>
      <c r="U165" s="362">
        <v>-500</v>
      </c>
      <c r="V165" s="361">
        <v>-1500</v>
      </c>
      <c r="W165" s="361">
        <v>0</v>
      </c>
      <c r="X165" s="361">
        <v>0</v>
      </c>
      <c r="Y165" s="361">
        <v>0</v>
      </c>
      <c r="Z165" s="264">
        <v>-2250</v>
      </c>
      <c r="AA165" s="423"/>
      <c r="AB165" s="273">
        <f>SUM(OPX_LE3!$T165:$AA165)</f>
        <v>-4250</v>
      </c>
      <c r="AC165" s="426"/>
      <c r="AD165" s="426"/>
      <c r="AE165" s="417">
        <v>0</v>
      </c>
      <c r="AF165" s="417">
        <v>0</v>
      </c>
      <c r="AG165" s="417">
        <v>0</v>
      </c>
      <c r="AH165" s="417">
        <v>0</v>
      </c>
      <c r="AI165" s="417">
        <v>0</v>
      </c>
      <c r="AJ165" s="317">
        <f>SUM(OPX_LE3!$AC165:$AI165)</f>
        <v>0</v>
      </c>
      <c r="AK165" s="424">
        <v>0</v>
      </c>
      <c r="AL165" s="276">
        <f>SUM(OPX_LE3!$J165,OPX_LE3!$AB165,OPX_LE3!$S165,OPX_LE3!$AJ165,OPX_LE3!$R165,OPX_LE3!$AK165)</f>
        <v>-273663.38550500001</v>
      </c>
      <c r="AM165" s="427">
        <v>0</v>
      </c>
      <c r="AN165" s="427">
        <v>0</v>
      </c>
    </row>
    <row r="166" spans="1:41" ht="15">
      <c r="A166" s="244" t="s">
        <v>342</v>
      </c>
      <c r="B166" s="232" t="str">
        <f>VLOOKUP(OPX_LE3!$A166,Tableau106[],3,FALSE)</f>
        <v>A540</v>
      </c>
      <c r="C166" s="232" t="str">
        <f>VLOOKUP(OPX_LE3!$A166,Tableau106[],2,FALSE)</f>
        <v>FR02E05E</v>
      </c>
      <c r="D166" s="232" t="str">
        <f>VLOOKUP(OPX_LE3!$A166,Tableau106[],8,FALSE)</f>
        <v>EOLIEN</v>
      </c>
      <c r="E166" s="233">
        <f>VLOOKUP(OPX_LE3!$A166,Tableau106[],4,FALSE)</f>
        <v>8</v>
      </c>
      <c r="F166" s="232" t="str">
        <f>VLOOKUP(OPX_LE3!$A166,Tableau106[],5,FALSE)</f>
        <v>SERY</v>
      </c>
      <c r="G166" s="232" t="str">
        <f>VLOOKUP(OPX_LE3!$A166,Tableau106[],7,FALSE)</f>
        <v>EGM</v>
      </c>
      <c r="H166" s="232" t="str">
        <f>VLOOKUP(OPX_LE3!$A166,Tableau106[],6,FALSE)</f>
        <v>N</v>
      </c>
      <c r="I166" s="232" t="str">
        <f>VLOOKUP(OPX_LE3!$A166,Tableau106[],9,FALSE)</f>
        <v>NoS</v>
      </c>
      <c r="J166" s="254">
        <v>-206499</v>
      </c>
      <c r="K166" s="228">
        <v>-183000</v>
      </c>
      <c r="L166" s="228"/>
      <c r="M166" s="229">
        <v>0</v>
      </c>
      <c r="N166" s="229">
        <v>0</v>
      </c>
      <c r="O166" s="229">
        <v>-3000</v>
      </c>
      <c r="P166" s="229">
        <v>-2800</v>
      </c>
      <c r="Q166" s="229">
        <f>-250*OPX_LE3!$E166</f>
        <v>-2000</v>
      </c>
      <c r="R166" s="311">
        <f>SUM(OPX_LE3!$K166:$Q166)</f>
        <v>-190800</v>
      </c>
      <c r="S166" s="337">
        <v>0</v>
      </c>
      <c r="T166" s="361">
        <v>0</v>
      </c>
      <c r="U166" s="362">
        <v>0</v>
      </c>
      <c r="V166" s="361">
        <v>-1000</v>
      </c>
      <c r="W166" s="361">
        <v>0</v>
      </c>
      <c r="X166" s="361">
        <v>-4000</v>
      </c>
      <c r="Y166" s="361">
        <v>0</v>
      </c>
      <c r="Z166" s="264">
        <f>-2000-3240</f>
        <v>-5240</v>
      </c>
      <c r="AA166" s="423"/>
      <c r="AB166" s="273">
        <f>SUM(OPX_LE3!$T166:$AA166)</f>
        <v>-10240</v>
      </c>
      <c r="AC166" s="426"/>
      <c r="AD166" s="426"/>
      <c r="AE166" s="417">
        <v>0</v>
      </c>
      <c r="AF166" s="417">
        <v>0</v>
      </c>
      <c r="AG166" s="417">
        <v>0</v>
      </c>
      <c r="AH166" s="417">
        <v>0</v>
      </c>
      <c r="AI166" s="417">
        <v>0</v>
      </c>
      <c r="AJ166" s="317">
        <f>SUM(OPX_LE3!$AC166:$AI166)</f>
        <v>0</v>
      </c>
      <c r="AK166" s="424">
        <v>0</v>
      </c>
      <c r="AL166" s="276">
        <f>SUM(OPX_LE3!$J166,OPX_LE3!$AB166,OPX_LE3!$S166,OPX_LE3!$AJ166,OPX_LE3!$R166,OPX_LE3!$AK166)</f>
        <v>-407539</v>
      </c>
      <c r="AM166" s="427">
        <v>-52000</v>
      </c>
      <c r="AN166" s="427">
        <v>-126000</v>
      </c>
      <c r="AO166" s="6" t="s">
        <v>1529</v>
      </c>
    </row>
    <row r="167" spans="1:41" ht="15">
      <c r="A167" s="325" t="s">
        <v>600</v>
      </c>
      <c r="B167" s="322" t="str">
        <f>VLOOKUP(OPX_LE3!$A167,Tableau106[],3,FALSE)</f>
        <v>A065</v>
      </c>
      <c r="C167" s="322" t="str">
        <f>VLOOKUP(OPX_LE3!$A167,Tableau106[],2,FALSE)</f>
        <v>FR97S90E</v>
      </c>
      <c r="D167" s="322" t="str">
        <f>VLOOKUP(OPX_LE3!$A167,Tableau106[],8,FALSE)</f>
        <v>SOLAIRE DOM</v>
      </c>
      <c r="E167" s="324">
        <f>VLOOKUP(OPX_LE3!$A167,Tableau106[],4,FALSE)</f>
        <v>1.2569999999999999</v>
      </c>
      <c r="F167" s="322" t="str">
        <f>VLOOKUP(OPX_LE3!$A167,Tableau106[],5,FALSE)</f>
        <v>SIOU</v>
      </c>
      <c r="G167" s="322" t="str">
        <f>VLOOKUP(OPX_LE3!$A167,Tableau106[],7,FALSE)</f>
        <v>GROUPE</v>
      </c>
      <c r="H167" s="322" t="str">
        <f>VLOOKUP(OPX_LE3!$A167,Tableau106[],6,FALSE)</f>
        <v>DOM</v>
      </c>
      <c r="I167" s="322" t="str">
        <f>VLOOKUP(OPX_LE3!$A167,Tableau106[],9,FALSE)</f>
        <v>DoJ</v>
      </c>
      <c r="J167" s="254">
        <v>0</v>
      </c>
      <c r="K167" s="228">
        <v>0</v>
      </c>
      <c r="L167" s="228"/>
      <c r="M167" s="229">
        <v>0</v>
      </c>
      <c r="N167" s="229">
        <v>0</v>
      </c>
      <c r="O167" s="229">
        <v>0</v>
      </c>
      <c r="P167" s="229">
        <v>0</v>
      </c>
      <c r="Q167" s="229">
        <f>-250*OPX_LE3!$E167</f>
        <v>-314.25</v>
      </c>
      <c r="R167" s="311">
        <f>SUM(OPX_LE3!$K167:$Q167)</f>
        <v>-314.25</v>
      </c>
      <c r="S167" s="337">
        <v>-73620</v>
      </c>
      <c r="T167" s="361">
        <f>-7300-50000</f>
        <v>-57300</v>
      </c>
      <c r="U167" s="362">
        <v>0</v>
      </c>
      <c r="V167" s="364">
        <v>-12500</v>
      </c>
      <c r="W167" s="361">
        <f>-2400-1700</f>
        <v>-4100</v>
      </c>
      <c r="X167" s="361">
        <v>0</v>
      </c>
      <c r="Y167" s="361">
        <v>0</v>
      </c>
      <c r="Z167" s="264">
        <f>-1600</f>
        <v>-1600</v>
      </c>
      <c r="AA167" s="423">
        <f>-484498*0.002</f>
        <v>-968.99599999999998</v>
      </c>
      <c r="AB167" s="273">
        <f>SUM(OPX_LE3!$T167:$AA167)</f>
        <v>-76468.995999999999</v>
      </c>
      <c r="AC167" s="426"/>
      <c r="AD167" s="426">
        <v>0</v>
      </c>
      <c r="AE167" s="417">
        <v>0</v>
      </c>
      <c r="AF167" s="417">
        <v>0</v>
      </c>
      <c r="AG167" s="417">
        <v>0</v>
      </c>
      <c r="AH167" s="417">
        <v>0</v>
      </c>
      <c r="AI167" s="417">
        <v>0</v>
      </c>
      <c r="AJ167" s="317">
        <f>SUM(OPX_LE3!$AC167:$AI167)</f>
        <v>0</v>
      </c>
      <c r="AK167" s="424">
        <v>0</v>
      </c>
      <c r="AL167" s="276">
        <f>SUM(OPX_LE3!$J167,OPX_LE3!$AB167,OPX_LE3!$S167,OPX_LE3!$AJ167,OPX_LE3!$R167,OPX_LE3!$AK167)</f>
        <v>-150403.24599999998</v>
      </c>
      <c r="AM167" s="427">
        <v>0</v>
      </c>
      <c r="AN167" s="427">
        <v>0</v>
      </c>
    </row>
    <row r="168" spans="1:41" ht="15">
      <c r="A168" s="244" t="s">
        <v>349</v>
      </c>
      <c r="B168" s="232" t="str">
        <f>VLOOKUP(OPX_LE3!$A168,Tableau106[],3,FALSE)</f>
        <v>F099</v>
      </c>
      <c r="C168" s="232" t="str">
        <f>VLOOKUP(OPX_LE3!$A168,Tableau106[],2,FALSE)</f>
        <v>FR12E93E</v>
      </c>
      <c r="D168" s="232" t="str">
        <f>VLOOKUP(OPX_LE3!$A168,Tableau106[],8,FALSE)</f>
        <v>EOLIEN</v>
      </c>
      <c r="E168" s="233">
        <f>VLOOKUP(OPX_LE3!$A168,Tableau106[],4,FALSE)</f>
        <v>13.8</v>
      </c>
      <c r="F168" s="232" t="str">
        <f>VLOOKUP(OPX_LE3!$A168,Tableau106[],5,FALSE)</f>
        <v>FAYD</v>
      </c>
      <c r="G168" s="232" t="str">
        <f>VLOOKUP(OPX_LE3!$A168,Tableau106[],7,FALSE)</f>
        <v>FUTUREN</v>
      </c>
      <c r="H168" s="232" t="str">
        <f>VLOOKUP(OPX_LE3!$A168,Tableau106[],6,FALSE)</f>
        <v>S</v>
      </c>
      <c r="I168" s="232" t="str">
        <f>VLOOKUP(OPX_LE3!$A168,Tableau106[],9,FALSE)</f>
        <v>OdP</v>
      </c>
      <c r="J168" s="254">
        <v>-9526</v>
      </c>
      <c r="K168" s="228">
        <f>-5420+3450</f>
        <v>-1970</v>
      </c>
      <c r="L168" s="228"/>
      <c r="M168" s="229">
        <v>0</v>
      </c>
      <c r="N168" s="229">
        <v>0</v>
      </c>
      <c r="O168" s="229">
        <v>0</v>
      </c>
      <c r="P168" s="229">
        <v>-6900</v>
      </c>
      <c r="Q168" s="229">
        <f>-250*OPX_LE3!$E168</f>
        <v>-3450</v>
      </c>
      <c r="R168" s="311">
        <f>SUM(OPX_LE3!$K168:$Q168)</f>
        <v>-12320</v>
      </c>
      <c r="S168" s="337">
        <v>-130000</v>
      </c>
      <c r="T168" s="361">
        <v>-2000</v>
      </c>
      <c r="U168" s="362">
        <v>0</v>
      </c>
      <c r="V168" s="361">
        <v>-3500</v>
      </c>
      <c r="W168" s="361">
        <v>0</v>
      </c>
      <c r="X168" s="361">
        <v>0</v>
      </c>
      <c r="Y168" s="361">
        <v>0</v>
      </c>
      <c r="Z168" s="264">
        <v>-10000</v>
      </c>
      <c r="AA168" s="423">
        <v>-4000</v>
      </c>
      <c r="AB168" s="273">
        <f>SUM(OPX_LE3!$T168:$AA168)</f>
        <v>-19500</v>
      </c>
      <c r="AC168" s="426">
        <v>-12000</v>
      </c>
      <c r="AD168" s="426">
        <f t="shared" si="6"/>
        <v>-5071.72</v>
      </c>
      <c r="AE168" s="417">
        <f>-22800-7000</f>
        <v>-29800</v>
      </c>
      <c r="AF168" s="417">
        <v>-6289</v>
      </c>
      <c r="AG168" s="417">
        <v>-14675</v>
      </c>
      <c r="AH168" s="417">
        <v>0</v>
      </c>
      <c r="AI168" s="417">
        <v>0</v>
      </c>
      <c r="AJ168" s="317">
        <f>SUM(OPX_LE3!$AC168:$AI168)</f>
        <v>-67835.72</v>
      </c>
      <c r="AK168" s="424">
        <v>0</v>
      </c>
      <c r="AL168" s="276">
        <f>SUM(OPX_LE3!$J168,OPX_LE3!$AB168,OPX_LE3!$S168,OPX_LE3!$AJ168,OPX_LE3!$R168,OPX_LE3!$AK168)</f>
        <v>-239181.72</v>
      </c>
      <c r="AM168" s="427">
        <f>(-120000-15000)</f>
        <v>-135000</v>
      </c>
      <c r="AN168" s="427">
        <v>0</v>
      </c>
    </row>
    <row r="169" spans="1:41" ht="15">
      <c r="A169" s="325" t="s">
        <v>603</v>
      </c>
      <c r="B169" s="322" t="str">
        <f>VLOOKUP(OPX_LE3!$A169,Tableau106[],3,FALSE)</f>
        <v>A295</v>
      </c>
      <c r="C169" s="322" t="str">
        <f>VLOOKUP(OPX_LE3!$A169,Tableau106[],2,FALSE)</f>
        <v>FR18S01E</v>
      </c>
      <c r="D169" s="322" t="str">
        <f>VLOOKUP(OPX_LE3!$A169,Tableau106[],8,FALSE)</f>
        <v>SOLAIRE</v>
      </c>
      <c r="E169" s="324">
        <f>VLOOKUP(OPX_LE3!$A169,Tableau106[],4,FALSE)</f>
        <v>5</v>
      </c>
      <c r="F169" s="322" t="str">
        <f>VLOOKUP(OPX_LE3!$A169,Tableau106[],5,FALSE)</f>
        <v>SAMM</v>
      </c>
      <c r="G169" s="322" t="str">
        <f>VLOOKUP(OPX_LE3!$A169,Tableau106[],7,FALSE)</f>
        <v>GROUPE</v>
      </c>
      <c r="H169" s="322" t="str">
        <f>VLOOKUP(OPX_LE3!$A169,Tableau106[],6,FALSE)</f>
        <v>N</v>
      </c>
      <c r="I169" s="322" t="str">
        <f>VLOOKUP(OPX_LE3!$A169,Tableau106[],9,FALSE)</f>
        <v>ArB</v>
      </c>
      <c r="J169" s="254">
        <v>0</v>
      </c>
      <c r="K169" s="228">
        <v>0</v>
      </c>
      <c r="L169" s="228"/>
      <c r="M169" s="229">
        <v>0</v>
      </c>
      <c r="N169" s="229">
        <v>0</v>
      </c>
      <c r="O169" s="229">
        <v>0</v>
      </c>
      <c r="P169" s="229">
        <v>0</v>
      </c>
      <c r="Q169" s="229">
        <f>-250*OPX_LE3!$E169</f>
        <v>-1250</v>
      </c>
      <c r="R169" s="311">
        <f>SUM(OPX_LE3!$K169:$Q169)</f>
        <v>-1250</v>
      </c>
      <c r="S169" s="337">
        <v>-39900</v>
      </c>
      <c r="T169" s="361">
        <v>-2600</v>
      </c>
      <c r="U169" s="362">
        <v>0</v>
      </c>
      <c r="V169" s="361">
        <v>0</v>
      </c>
      <c r="W169" s="361">
        <v>0</v>
      </c>
      <c r="X169" s="361">
        <v>0</v>
      </c>
      <c r="Y169" s="361">
        <v>0</v>
      </c>
      <c r="Z169" s="264">
        <v>-1250</v>
      </c>
      <c r="AA169" s="423">
        <v>-1500</v>
      </c>
      <c r="AB169" s="273">
        <f>SUM(OPX_LE3!$T169:$AA169)</f>
        <v>-5350</v>
      </c>
      <c r="AC169" s="426"/>
      <c r="AD169" s="426">
        <v>0</v>
      </c>
      <c r="AE169" s="417">
        <v>0</v>
      </c>
      <c r="AF169" s="417">
        <v>0</v>
      </c>
      <c r="AG169" s="417">
        <v>0</v>
      </c>
      <c r="AH169" s="417">
        <v>0</v>
      </c>
      <c r="AI169" s="417">
        <v>0</v>
      </c>
      <c r="AJ169" s="317">
        <f>SUM(OPX_LE3!$AC169:$AI169)</f>
        <v>0</v>
      </c>
      <c r="AK169" s="424">
        <v>0</v>
      </c>
      <c r="AL169" s="276">
        <f>SUM(OPX_LE3!$J169,OPX_LE3!$AB169,OPX_LE3!$S169,OPX_LE3!$AJ169,OPX_LE3!$R169,OPX_LE3!$AK169)</f>
        <v>-46500</v>
      </c>
      <c r="AM169" s="427">
        <v>0</v>
      </c>
      <c r="AN169" s="427">
        <v>0</v>
      </c>
    </row>
    <row r="170" spans="1:41" ht="15">
      <c r="A170" s="244" t="s">
        <v>604</v>
      </c>
      <c r="B170" s="232" t="str">
        <f>VLOOKUP(OPX_LE3!$A170,Tableau106[],3,FALSE)</f>
        <v>A066</v>
      </c>
      <c r="C170" s="232" t="str">
        <f>VLOOKUP(OPX_LE3!$A170,Tableau106[],2,FALSE)</f>
        <v>FR97S99E</v>
      </c>
      <c r="D170" s="232" t="str">
        <f>VLOOKUP(OPX_LE3!$A170,Tableau106[],8,FALSE)</f>
        <v>SOLAIRE DOM</v>
      </c>
      <c r="E170" s="233">
        <f>VLOOKUP(OPX_LE3!$A170,Tableau106[],4,FALSE)</f>
        <v>3.6</v>
      </c>
      <c r="F170" s="232" t="str">
        <f>VLOOKUP(OPX_LE3!$A170,Tableau106[],5,FALSE)</f>
        <v>SFR1</v>
      </c>
      <c r="G170" s="232" t="str">
        <f>VLOOKUP(OPX_LE3!$A170,Tableau106[],7,FALSE)</f>
        <v>GROUPE</v>
      </c>
      <c r="H170" s="232" t="str">
        <f>VLOOKUP(OPX_LE3!$A170,Tableau106[],6,FALSE)</f>
        <v>DOM</v>
      </c>
      <c r="I170" s="232" t="str">
        <f>VLOOKUP(OPX_LE3!$A170,Tableau106[],9,FALSE)</f>
        <v>DoJ</v>
      </c>
      <c r="J170" s="254">
        <v>0</v>
      </c>
      <c r="K170" s="228">
        <v>0</v>
      </c>
      <c r="L170" s="228"/>
      <c r="M170" s="229">
        <v>0</v>
      </c>
      <c r="N170" s="229">
        <v>0</v>
      </c>
      <c r="O170" s="229">
        <v>0</v>
      </c>
      <c r="P170" s="229">
        <v>0</v>
      </c>
      <c r="Q170" s="229">
        <f>-250*OPX_LE3!$E170</f>
        <v>-900</v>
      </c>
      <c r="R170" s="311">
        <f>SUM(OPX_LE3!$K170:$Q170)</f>
        <v>-900</v>
      </c>
      <c r="S170" s="337">
        <f>-27000-42000-49000-2200-9000</f>
        <v>-129200</v>
      </c>
      <c r="T170" s="361">
        <v>-51000</v>
      </c>
      <c r="U170" s="362">
        <v>0</v>
      </c>
      <c r="V170" s="361">
        <v>0</v>
      </c>
      <c r="W170" s="361">
        <f>-1900-1400</f>
        <v>-3300</v>
      </c>
      <c r="X170" s="361">
        <v>0</v>
      </c>
      <c r="Y170" s="361">
        <v>-3500</v>
      </c>
      <c r="Z170" s="264">
        <f>-1600</f>
        <v>-1600</v>
      </c>
      <c r="AA170" s="423">
        <f>-1743101*0.002</f>
        <v>-3486.2020000000002</v>
      </c>
      <c r="AB170" s="273">
        <f>SUM(OPX_LE3!$T170:$AA170)</f>
        <v>-62886.201999999997</v>
      </c>
      <c r="AC170" s="426"/>
      <c r="AD170" s="426">
        <v>0</v>
      </c>
      <c r="AE170" s="417">
        <v>0</v>
      </c>
      <c r="AF170" s="417">
        <v>0</v>
      </c>
      <c r="AG170" s="417">
        <v>0</v>
      </c>
      <c r="AH170" s="417">
        <v>0</v>
      </c>
      <c r="AI170" s="417">
        <v>0</v>
      </c>
      <c r="AJ170" s="317">
        <f>SUM(OPX_LE3!$AC170:$AI170)</f>
        <v>0</v>
      </c>
      <c r="AK170" s="424">
        <v>0</v>
      </c>
      <c r="AL170" s="276">
        <f>SUM(OPX_LE3!$J170,OPX_LE3!$AB170,OPX_LE3!$S170,OPX_LE3!$AJ170,OPX_LE3!$R170,OPX_LE3!$AK170)</f>
        <v>-192986.20199999999</v>
      </c>
      <c r="AM170" s="427">
        <v>-70000</v>
      </c>
      <c r="AN170" s="427">
        <v>0</v>
      </c>
    </row>
    <row r="171" spans="1:41" ht="15">
      <c r="A171" s="325" t="s">
        <v>605</v>
      </c>
      <c r="B171" s="322" t="str">
        <f>VLOOKUP(OPX_LE3!$A171,Tableau106[],3,FALSE)</f>
        <v>A257</v>
      </c>
      <c r="C171" s="322" t="str">
        <f>VLOOKUP(OPX_LE3!$A171,Tableau106[],2,FALSE)</f>
        <v>FR01S07E</v>
      </c>
      <c r="D171" s="322" t="str">
        <f>VLOOKUP(OPX_LE3!$A171,Tableau106[],8,FALSE)</f>
        <v>SOLAIRE</v>
      </c>
      <c r="E171" s="324">
        <f>VLOOKUP(OPX_LE3!$A171,Tableau106[],4,FALSE)</f>
        <v>2.7</v>
      </c>
      <c r="F171" s="322" t="str">
        <f>VLOOKUP(OPX_LE3!$A171,Tableau106[],5,FALSE)</f>
        <v>SJLV</v>
      </c>
      <c r="G171" s="322" t="str">
        <f>VLOOKUP(OPX_LE3!$A171,Tableau106[],7,FALSE)</f>
        <v>GROUPE</v>
      </c>
      <c r="H171" s="322" t="str">
        <f>VLOOKUP(OPX_LE3!$A171,Tableau106[],6,FALSE)</f>
        <v>S</v>
      </c>
      <c r="I171" s="322" t="str">
        <f>VLOOKUP(OPX_LE3!$A171,Tableau106[],9,FALSE)</f>
        <v>ArB</v>
      </c>
      <c r="J171" s="254">
        <v>0</v>
      </c>
      <c r="K171" s="228">
        <v>0</v>
      </c>
      <c r="L171" s="228"/>
      <c r="M171" s="229">
        <v>0</v>
      </c>
      <c r="N171" s="229">
        <v>0</v>
      </c>
      <c r="O171" s="229">
        <v>0</v>
      </c>
      <c r="P171" s="229">
        <v>0</v>
      </c>
      <c r="Q171" s="229">
        <f>-250*OPX_LE3!$E171</f>
        <v>-675</v>
      </c>
      <c r="R171" s="311">
        <f>SUM(OPX_LE3!$K171:$Q171)</f>
        <v>-675</v>
      </c>
      <c r="S171" s="337">
        <v>-21480</v>
      </c>
      <c r="T171" s="361">
        <v>-2200</v>
      </c>
      <c r="U171" s="362">
        <v>0</v>
      </c>
      <c r="V171" s="361">
        <v>-2907</v>
      </c>
      <c r="W171" s="361">
        <v>0</v>
      </c>
      <c r="X171" s="361">
        <v>0</v>
      </c>
      <c r="Y171" s="361">
        <v>0</v>
      </c>
      <c r="Z171" s="264">
        <v>-675</v>
      </c>
      <c r="AA171" s="423">
        <v>-800</v>
      </c>
      <c r="AB171" s="273">
        <f>SUM(OPX_LE3!$T171:$AA171)</f>
        <v>-6582</v>
      </c>
      <c r="AC171" s="426"/>
      <c r="AD171" s="426">
        <v>0</v>
      </c>
      <c r="AE171" s="417">
        <v>0</v>
      </c>
      <c r="AF171" s="417">
        <v>0</v>
      </c>
      <c r="AG171" s="417">
        <v>0</v>
      </c>
      <c r="AH171" s="417">
        <v>0</v>
      </c>
      <c r="AI171" s="417">
        <v>0</v>
      </c>
      <c r="AJ171" s="317">
        <f>SUM(OPX_LE3!$AC171:$AI171)</f>
        <v>0</v>
      </c>
      <c r="AK171" s="424">
        <v>0</v>
      </c>
      <c r="AL171" s="276">
        <f>SUM(OPX_LE3!$J171,OPX_LE3!$AB171,OPX_LE3!$S171,OPX_LE3!$AJ171,OPX_LE3!$R171,OPX_LE3!$AK171)</f>
        <v>-28737</v>
      </c>
      <c r="AM171" s="427">
        <v>0</v>
      </c>
      <c r="AN171" s="427">
        <v>0</v>
      </c>
    </row>
    <row r="172" spans="1:41" ht="15">
      <c r="A172" s="244" t="s">
        <v>528</v>
      </c>
      <c r="B172" s="232" t="str">
        <f>VLOOKUP(OPX_LE3!$A172,Tableau106[],3,FALSE)</f>
        <v>A894</v>
      </c>
      <c r="C172" s="232" t="str">
        <f>VLOOKUP(OPX_LE3!$A172,Tableau106[],2,FALSE)</f>
        <v>FR14E99E</v>
      </c>
      <c r="D172" s="232" t="str">
        <f>VLOOKUP(OPX_LE3!$A172,Tableau106[],8,FALSE)</f>
        <v>EOLIEN</v>
      </c>
      <c r="E172" s="233">
        <f>VLOOKUP(OPX_LE3!$A172,Tableau106[],4,FALSE)</f>
        <v>6</v>
      </c>
      <c r="F172" s="232" t="str">
        <f>VLOOKUP(OPX_LE3!$A172,Tableau106[],5,FALSE)</f>
        <v>STMB</v>
      </c>
      <c r="G172" s="232" t="str">
        <f>VLOOKUP(OPX_LE3!$A172,Tableau106[],7,FALSE)</f>
        <v>GROUPE</v>
      </c>
      <c r="H172" s="232" t="str">
        <f>VLOOKUP(OPX_LE3!$A172,Tableau106[],6,FALSE)</f>
        <v>N</v>
      </c>
      <c r="I172" s="232" t="str">
        <f>VLOOKUP(OPX_LE3!$A172,Tableau106[],9,FALSE)</f>
        <v>AnN</v>
      </c>
      <c r="J172" s="254">
        <v>-68007</v>
      </c>
      <c r="K172" s="228">
        <v>-100000</v>
      </c>
      <c r="L172" s="228"/>
      <c r="M172" s="229">
        <v>0</v>
      </c>
      <c r="N172" s="229">
        <v>0</v>
      </c>
      <c r="O172" s="229">
        <v>0</v>
      </c>
      <c r="P172" s="229">
        <v>-2100</v>
      </c>
      <c r="Q172" s="229">
        <f>-250*OPX_LE3!$E172</f>
        <v>-1500</v>
      </c>
      <c r="R172" s="311">
        <f>SUM(OPX_LE3!$K172:$Q172)</f>
        <v>-103600</v>
      </c>
      <c r="S172" s="337">
        <v>0</v>
      </c>
      <c r="T172" s="361"/>
      <c r="U172" s="362">
        <v>0</v>
      </c>
      <c r="V172" s="361">
        <v>-1000</v>
      </c>
      <c r="W172" s="361">
        <v>0</v>
      </c>
      <c r="X172" s="361">
        <v>0</v>
      </c>
      <c r="Y172" s="361">
        <v>0</v>
      </c>
      <c r="Z172" s="264">
        <f>-2220-1500</f>
        <v>-3720</v>
      </c>
      <c r="AA172" s="423"/>
      <c r="AB172" s="273">
        <f>SUM(OPX_LE3!$T172:$AA172)</f>
        <v>-4720</v>
      </c>
      <c r="AC172" s="426"/>
      <c r="AD172" s="426"/>
      <c r="AE172" s="417">
        <v>0</v>
      </c>
      <c r="AF172" s="417">
        <v>0</v>
      </c>
      <c r="AG172" s="417">
        <v>0</v>
      </c>
      <c r="AH172" s="417">
        <v>0</v>
      </c>
      <c r="AI172" s="417">
        <v>0</v>
      </c>
      <c r="AJ172" s="317">
        <f>SUM(OPX_LE3!$AC172:$AI172)</f>
        <v>0</v>
      </c>
      <c r="AK172" s="424">
        <v>0</v>
      </c>
      <c r="AL172" s="276">
        <f>SUM(OPX_LE3!$J172,OPX_LE3!$AB172,OPX_LE3!$S172,OPX_LE3!$AJ172,OPX_LE3!$R172,OPX_LE3!$AK172)</f>
        <v>-176327</v>
      </c>
      <c r="AM172" s="427">
        <v>0</v>
      </c>
      <c r="AN172" s="427">
        <v>0</v>
      </c>
    </row>
    <row r="173" spans="1:41" ht="15">
      <c r="A173" s="325" t="s">
        <v>353</v>
      </c>
      <c r="B173" s="322" t="str">
        <f>VLOOKUP(OPX_LE3!$A173,Tableau106[],3,FALSE)</f>
        <v>A257</v>
      </c>
      <c r="C173" s="322" t="str">
        <f>VLOOKUP(OPX_LE3!$A173,Tableau106[],2,FALSE)</f>
        <v>FR11S06E</v>
      </c>
      <c r="D173" s="322" t="str">
        <f>VLOOKUP(OPX_LE3!$A173,Tableau106[],8,FALSE)</f>
        <v>SOLAIRE</v>
      </c>
      <c r="E173" s="324">
        <f>VLOOKUP(OPX_LE3!$A173,Tableau106[],4,FALSE)</f>
        <v>4.5999999999999996</v>
      </c>
      <c r="F173" s="322" t="str">
        <f>VLOOKUP(OPX_LE3!$A173,Tableau106[],5,FALSE)</f>
        <v>STPA</v>
      </c>
      <c r="G173" s="322" t="str">
        <f>VLOOKUP(OPX_LE3!$A173,Tableau106[],7,FALSE)</f>
        <v>GROUPE</v>
      </c>
      <c r="H173" s="322" t="str">
        <f>VLOOKUP(OPX_LE3!$A173,Tableau106[],6,FALSE)</f>
        <v>S</v>
      </c>
      <c r="I173" s="322" t="str">
        <f>VLOOKUP(OPX_LE3!$A173,Tableau106[],9,FALSE)</f>
        <v>BaA</v>
      </c>
      <c r="J173" s="254">
        <v>-25644</v>
      </c>
      <c r="K173" s="228">
        <v>-6400</v>
      </c>
      <c r="L173" s="228"/>
      <c r="M173" s="229">
        <v>0</v>
      </c>
      <c r="N173" s="229">
        <v>0</v>
      </c>
      <c r="O173" s="229">
        <v>0</v>
      </c>
      <c r="P173" s="229">
        <v>0</v>
      </c>
      <c r="Q173" s="229">
        <f>-250*OPX_LE3!$E173</f>
        <v>-1150</v>
      </c>
      <c r="R173" s="311">
        <f>SUM(OPX_LE3!$K173:$Q173)</f>
        <v>-7550</v>
      </c>
      <c r="S173" s="337">
        <v>0</v>
      </c>
      <c r="T173" s="361">
        <v>0</v>
      </c>
      <c r="U173" s="362">
        <v>0</v>
      </c>
      <c r="V173" s="386">
        <v>-1100</v>
      </c>
      <c r="W173" s="361">
        <v>0</v>
      </c>
      <c r="X173" s="361">
        <v>0</v>
      </c>
      <c r="Y173" s="361">
        <v>0</v>
      </c>
      <c r="Z173" s="264">
        <v>-31000</v>
      </c>
      <c r="AA173" s="423"/>
      <c r="AB173" s="273">
        <f>SUM(OPX_LE3!$T173:$AA173)</f>
        <v>-32100</v>
      </c>
      <c r="AC173" s="426"/>
      <c r="AD173" s="426">
        <v>0</v>
      </c>
      <c r="AE173" s="417">
        <v>0</v>
      </c>
      <c r="AF173" s="417">
        <v>0</v>
      </c>
      <c r="AG173" s="417">
        <v>0</v>
      </c>
      <c r="AH173" s="417">
        <v>-2160</v>
      </c>
      <c r="AI173" s="417">
        <v>0</v>
      </c>
      <c r="AJ173" s="317">
        <f>SUM(OPX_LE3!$AC173:$AI173)</f>
        <v>-2160</v>
      </c>
      <c r="AK173" s="424">
        <v>0</v>
      </c>
      <c r="AL173" s="276">
        <f>SUM(OPX_LE3!$J173,OPX_LE3!$AB173,OPX_LE3!$S173,OPX_LE3!$AJ173,OPX_LE3!$R173,OPX_LE3!$AK173)</f>
        <v>-67454</v>
      </c>
      <c r="AM173" s="427">
        <v>0</v>
      </c>
      <c r="AN173" s="427">
        <v>0</v>
      </c>
    </row>
    <row r="174" spans="1:41" ht="15">
      <c r="A174" s="244" t="s">
        <v>607</v>
      </c>
      <c r="B174" s="232" t="str">
        <f>VLOOKUP(OPX_LE3!$A174,Tableau106[],3,FALSE)</f>
        <v>A353</v>
      </c>
      <c r="C174" s="232" t="str">
        <f>VLOOKUP(OPX_LE3!$A174,Tableau106[],2,FALSE)</f>
        <v>FR34S01E</v>
      </c>
      <c r="D174" s="232" t="str">
        <f>VLOOKUP(OPX_LE3!$A174,Tableau106[],8,FALSE)</f>
        <v>SOLAIRE</v>
      </c>
      <c r="E174" s="233">
        <f>VLOOKUP(OPX_LE3!$A174,Tableau106[],4,FALSE)</f>
        <v>10.664</v>
      </c>
      <c r="F174" s="232" t="str">
        <f>VLOOKUP(OPX_LE3!$A174,Tableau106[],5,FALSE)</f>
        <v>SPAR</v>
      </c>
      <c r="G174" s="232" t="str">
        <f>VLOOKUP(OPX_LE3!$A174,Tableau106[],7,FALSE)</f>
        <v>GROUPE</v>
      </c>
      <c r="H174" s="232" t="str">
        <f>VLOOKUP(OPX_LE3!$A174,Tableau106[],6,FALSE)</f>
        <v>S</v>
      </c>
      <c r="I174" s="232" t="str">
        <f>VLOOKUP(OPX_LE3!$A174,Tableau106[],9,FALSE)</f>
        <v>BaA</v>
      </c>
      <c r="J174" s="254">
        <v>-122542</v>
      </c>
      <c r="K174" s="228">
        <v>-55660.000000000007</v>
      </c>
      <c r="L174" s="228"/>
      <c r="M174" s="229">
        <v>0</v>
      </c>
      <c r="N174" s="229">
        <v>0</v>
      </c>
      <c r="O174" s="229">
        <v>0</v>
      </c>
      <c r="P174" s="229">
        <v>0</v>
      </c>
      <c r="Q174" s="229">
        <v>-2666</v>
      </c>
      <c r="R174" s="311">
        <f>SUM(OPX_LE3!$K174:$Q174)</f>
        <v>-58326.000000000007</v>
      </c>
      <c r="S174" s="337">
        <v>0</v>
      </c>
      <c r="T174" s="361">
        <v>0</v>
      </c>
      <c r="U174" s="362">
        <v>0</v>
      </c>
      <c r="V174" s="361">
        <v>0</v>
      </c>
      <c r="W174" s="361">
        <v>0</v>
      </c>
      <c r="X174" s="361">
        <v>0</v>
      </c>
      <c r="Y174" s="361">
        <v>0</v>
      </c>
      <c r="Z174" s="264">
        <v>-5000</v>
      </c>
      <c r="AA174" s="423"/>
      <c r="AB174" s="273">
        <f>SUM(OPX_LE3!$T174:$AA174)</f>
        <v>-5000</v>
      </c>
      <c r="AC174" s="426"/>
      <c r="AD174" s="426">
        <v>0</v>
      </c>
      <c r="AE174" s="417">
        <v>0</v>
      </c>
      <c r="AF174" s="417">
        <v>0</v>
      </c>
      <c r="AG174" s="417">
        <v>0</v>
      </c>
      <c r="AH174" s="417">
        <v>0</v>
      </c>
      <c r="AI174" s="417">
        <v>0</v>
      </c>
      <c r="AJ174" s="317">
        <f>SUM(OPX_LE3!$AC174:$AI174)</f>
        <v>0</v>
      </c>
      <c r="AK174" s="424"/>
      <c r="AL174" s="276">
        <f>SUM(OPX_LE3!$J174,OPX_LE3!$AB174,OPX_LE3!$S174,OPX_LE3!$AJ174,OPX_LE3!$R174,OPX_LE3!$AK174)</f>
        <v>-185868</v>
      </c>
      <c r="AM174" s="427">
        <v>0</v>
      </c>
      <c r="AN174" s="427">
        <v>0</v>
      </c>
    </row>
    <row r="175" spans="1:41" ht="15">
      <c r="A175" s="325" t="s">
        <v>608</v>
      </c>
      <c r="B175" s="322" t="str">
        <f>VLOOKUP(OPX_LE3!$A175,Tableau106[],3,FALSE)</f>
        <v>A257</v>
      </c>
      <c r="C175" s="322" t="str">
        <f>VLOOKUP(OPX_LE3!$A175,Tableau106[],2,FALSE)</f>
        <v>FR69S05E</v>
      </c>
      <c r="D175" s="322" t="str">
        <f>VLOOKUP(OPX_LE3!$A175,Tableau106[],8,FALSE)</f>
        <v>SOLAIRE</v>
      </c>
      <c r="E175" s="324">
        <f>VLOOKUP(OPX_LE3!$A175,Tableau106[],4,FALSE)</f>
        <v>5</v>
      </c>
      <c r="F175" s="322" t="str">
        <f>VLOOKUP(OPX_LE3!$A175,Tableau106[],5,FALSE)</f>
        <v>SREG</v>
      </c>
      <c r="G175" s="322" t="str">
        <f>VLOOKUP(OPX_LE3!$A175,Tableau106[],7,FALSE)</f>
        <v>GROUPE</v>
      </c>
      <c r="H175" s="322" t="str">
        <f>VLOOKUP(OPX_LE3!$A175,Tableau106[],6,FALSE)</f>
        <v>S</v>
      </c>
      <c r="I175" s="322" t="str">
        <f>VLOOKUP(OPX_LE3!$A175,Tableau106[],9,FALSE)</f>
        <v>ArB</v>
      </c>
      <c r="J175" s="254"/>
      <c r="K175" s="228">
        <v>0</v>
      </c>
      <c r="L175" s="228"/>
      <c r="M175" s="229">
        <v>0</v>
      </c>
      <c r="N175" s="229">
        <v>0</v>
      </c>
      <c r="O175" s="229">
        <v>0</v>
      </c>
      <c r="P175" s="229">
        <v>0</v>
      </c>
      <c r="Q175" s="229">
        <f>-250*OPX_LE3!$E175</f>
        <v>-1250</v>
      </c>
      <c r="R175" s="311">
        <f>SUM(OPX_LE3!$K175:$Q175)</f>
        <v>-1250</v>
      </c>
      <c r="S175" s="337">
        <v>-40000</v>
      </c>
      <c r="T175" s="361">
        <v>-2100</v>
      </c>
      <c r="U175" s="362">
        <v>0</v>
      </c>
      <c r="V175" s="361">
        <v>0</v>
      </c>
      <c r="W175" s="361">
        <v>0</v>
      </c>
      <c r="X175" s="361">
        <v>0</v>
      </c>
      <c r="Y175" s="361">
        <v>0</v>
      </c>
      <c r="Z175" s="264">
        <v>-1250</v>
      </c>
      <c r="AA175" s="423">
        <v>-1500</v>
      </c>
      <c r="AB175" s="273">
        <f>SUM(OPX_LE3!$T175:$AA175)</f>
        <v>-4850</v>
      </c>
      <c r="AC175" s="426"/>
      <c r="AD175" s="426">
        <v>0</v>
      </c>
      <c r="AE175" s="417">
        <v>0</v>
      </c>
      <c r="AF175" s="417">
        <v>0</v>
      </c>
      <c r="AG175" s="417">
        <v>0</v>
      </c>
      <c r="AH175" s="417">
        <v>0</v>
      </c>
      <c r="AI175" s="417">
        <v>0</v>
      </c>
      <c r="AJ175" s="317">
        <f>SUM(OPX_LE3!$AC175:$AI175)</f>
        <v>0</v>
      </c>
      <c r="AK175" s="424">
        <v>0</v>
      </c>
      <c r="AL175" s="276">
        <f>SUM(OPX_LE3!$J175,OPX_LE3!$AB175,OPX_LE3!$S175,OPX_LE3!$AJ175,OPX_LE3!$R175,OPX_LE3!$AK175)</f>
        <v>-46100</v>
      </c>
      <c r="AM175" s="427">
        <v>0</v>
      </c>
      <c r="AN175" s="427">
        <v>0</v>
      </c>
    </row>
    <row r="176" spans="1:41" ht="15">
      <c r="A176" s="244" t="s">
        <v>625</v>
      </c>
      <c r="B176" s="232" t="str">
        <f>VLOOKUP(OPX_LE3!$A176,Tableau106[],3,FALSE)</f>
        <v>A892</v>
      </c>
      <c r="C176" s="232" t="str">
        <f>VLOOKUP(OPX_LE3!$A176,Tableau106[],2,FALSE)</f>
        <v>FR02E99E</v>
      </c>
      <c r="D176" s="232" t="str">
        <f>VLOOKUP(OPX_LE3!$A176,Tableau106[],8,FALSE)</f>
        <v>EOLIEN</v>
      </c>
      <c r="E176" s="233">
        <f>VLOOKUP(OPX_LE3!$A176,Tableau106[],4,FALSE)</f>
        <v>10.119999999999999</v>
      </c>
      <c r="F176" s="232" t="str">
        <f>VLOOKUP(OPX_LE3!$A176,Tableau106[],5,FALSE)</f>
        <v>STSI</v>
      </c>
      <c r="G176" s="232" t="str">
        <f>VLOOKUP(OPX_LE3!$A176,Tableau106[],7,FALSE)</f>
        <v>GROUPE</v>
      </c>
      <c r="H176" s="232" t="str">
        <f>VLOOKUP(OPX_LE3!$A176,Tableau106[],6,FALSE)</f>
        <v>N</v>
      </c>
      <c r="I176" s="232" t="str">
        <f>VLOOKUP(OPX_LE3!$A176,Tableau106[],9,FALSE)</f>
        <v>AyB</v>
      </c>
      <c r="J176" s="254">
        <f>-12000- 45000</f>
        <v>-57000</v>
      </c>
      <c r="K176" s="228">
        <v>-100000</v>
      </c>
      <c r="L176" s="228"/>
      <c r="M176" s="229">
        <v>-5000</v>
      </c>
      <c r="N176" s="229">
        <v>0</v>
      </c>
      <c r="O176" s="229">
        <v>0</v>
      </c>
      <c r="P176" s="229"/>
      <c r="Q176" s="229">
        <f>-250*OPX_LE3!$E176</f>
        <v>-2530</v>
      </c>
      <c r="R176" s="311">
        <f>SUM(OPX_LE3!$K176:$Q176)</f>
        <v>-107530</v>
      </c>
      <c r="S176" s="337">
        <v>0</v>
      </c>
      <c r="T176" s="361">
        <v>0</v>
      </c>
      <c r="U176" s="362">
        <v>0</v>
      </c>
      <c r="V176" s="361">
        <v>-10000</v>
      </c>
      <c r="W176" s="361"/>
      <c r="X176" s="361">
        <v>0</v>
      </c>
      <c r="Y176" s="361">
        <v>0</v>
      </c>
      <c r="Z176" s="264">
        <f>-250*Tableau16[[#This Row],[MW]]-40000</f>
        <v>-42530</v>
      </c>
      <c r="AA176" s="423"/>
      <c r="AB176" s="273">
        <f>SUM(OPX_LE3!$T176:$AA176)</f>
        <v>-52530</v>
      </c>
      <c r="AC176" s="426"/>
      <c r="AD176" s="426"/>
      <c r="AE176" s="417">
        <v>-31144</v>
      </c>
      <c r="AF176" s="417">
        <v>0</v>
      </c>
      <c r="AG176" s="417">
        <v>0</v>
      </c>
      <c r="AH176" s="417">
        <v>0</v>
      </c>
      <c r="AI176" s="417">
        <v>0</v>
      </c>
      <c r="AJ176" s="317">
        <f>SUM(OPX_LE3!$AC176:$AI176)</f>
        <v>-31144</v>
      </c>
      <c r="AK176" s="424">
        <v>0</v>
      </c>
      <c r="AL176" s="276">
        <f>SUM(OPX_LE3!$J176,OPX_LE3!$AB176,OPX_LE3!$S176,OPX_LE3!$AJ176,OPX_LE3!$R176,OPX_LE3!$AK176)</f>
        <v>-248204</v>
      </c>
      <c r="AM176" s="427">
        <v>0</v>
      </c>
      <c r="AN176" s="427">
        <v>0</v>
      </c>
    </row>
    <row r="177" spans="1:41" ht="15">
      <c r="A177" s="244" t="s">
        <v>680</v>
      </c>
      <c r="B177" s="330" t="str">
        <f>VLOOKUP(OPX_LE3!$A177,Tableau106[],3,FALSE)</f>
        <v>A9892</v>
      </c>
      <c r="C177" s="330" t="str">
        <f>VLOOKUP(OPX_LE3!$A177,Tableau106[],2,FALSE)</f>
        <v>FR02E993</v>
      </c>
      <c r="D177" s="330" t="str">
        <f>VLOOKUP(OPX_LE3!$A177,Tableau106[],8,FALSE)</f>
        <v>EOLIEN</v>
      </c>
      <c r="E177" s="331">
        <f>VLOOKUP(OPX_LE3!$A177,Tableau106[],4,FALSE)</f>
        <v>12</v>
      </c>
      <c r="F177" s="330" t="str">
        <f>VLOOKUP(OPX_LE3!$A177,Tableau106[],5,FALSE)</f>
        <v>STS2</v>
      </c>
      <c r="G177" s="330" t="str">
        <f>VLOOKUP(OPX_LE3!$A177,Tableau106[],7,FALSE)</f>
        <v>GROUPE</v>
      </c>
      <c r="H177" s="330" t="str">
        <f>VLOOKUP(OPX_LE3!$A177,Tableau106[],6,FALSE)</f>
        <v>N</v>
      </c>
      <c r="I177" s="330" t="str">
        <f>VLOOKUP(OPX_LE3!$A177,Tableau106[],9,FALSE)</f>
        <v>AyB</v>
      </c>
      <c r="J177" s="332"/>
      <c r="K177" s="228">
        <v>0</v>
      </c>
      <c r="L177" s="228"/>
      <c r="M177" s="229"/>
      <c r="N177" s="229"/>
      <c r="O177" s="229"/>
      <c r="P177" s="229"/>
      <c r="Q177" s="229"/>
      <c r="R177" s="457">
        <f>SUM(OPX_LE3!$K177:$Q177)</f>
        <v>0</v>
      </c>
      <c r="S177" s="388"/>
      <c r="T177" s="376"/>
      <c r="U177" s="396"/>
      <c r="V177" s="376"/>
      <c r="W177" s="376"/>
      <c r="X177" s="376"/>
      <c r="Y177" s="376"/>
      <c r="Z177" s="390"/>
      <c r="AA177" s="434"/>
      <c r="AB177" s="391">
        <f>SUM(OPX_LE3!$T177:$AA177)</f>
        <v>0</v>
      </c>
      <c r="AC177" s="426"/>
      <c r="AD177" s="426"/>
      <c r="AE177" s="417"/>
      <c r="AF177" s="417"/>
      <c r="AG177" s="417"/>
      <c r="AH177" s="417"/>
      <c r="AI177" s="417"/>
      <c r="AJ177" s="317">
        <f>SUM(OPX_LE3!$AC177:$AI177)</f>
        <v>0</v>
      </c>
      <c r="AK177" s="429"/>
      <c r="AL177" s="276">
        <f>SUM(OPX_LE3!$J177,OPX_LE3!$AB177,OPX_LE3!$S177,OPX_LE3!$AJ177,OPX_LE3!$R177,OPX_LE3!$AK177)</f>
        <v>0</v>
      </c>
      <c r="AM177" s="427">
        <v>0</v>
      </c>
      <c r="AN177" s="427">
        <v>0</v>
      </c>
    </row>
    <row r="178" spans="1:41" ht="15">
      <c r="A178" s="325" t="s">
        <v>642</v>
      </c>
      <c r="B178" s="322" t="str">
        <f>VLOOKUP(OPX_LE3!$A178,Tableau106[],3,FALSE)</f>
        <v>A235</v>
      </c>
      <c r="C178" s="322" t="str">
        <f>VLOOKUP(OPX_LE3!$A178,Tableau106[],2,FALSE)</f>
        <v>FR87S02E</v>
      </c>
      <c r="D178" s="322" t="str">
        <f>VLOOKUP(OPX_LE3!$A178,Tableau106[],8,FALSE)</f>
        <v>SOLAIRE</v>
      </c>
      <c r="E178" s="324">
        <f>VLOOKUP(OPX_LE3!$A178,Tableau106[],4,FALSE)</f>
        <v>3.6</v>
      </c>
      <c r="F178" s="322" t="str">
        <f>VLOOKUP(OPX_LE3!$A178,Tableau106[],5,FALSE)</f>
        <v>SOLE</v>
      </c>
      <c r="G178" s="322" t="str">
        <f>VLOOKUP(OPX_LE3!$A178,Tableau106[],7,FALSE)</f>
        <v>GROUPE</v>
      </c>
      <c r="H178" s="322" t="str">
        <f>VLOOKUP(OPX_LE3!$A178,Tableau106[],6,FALSE)</f>
        <v>N</v>
      </c>
      <c r="I178" s="322" t="str">
        <f>VLOOKUP(OPX_LE3!$A178,Tableau106[],9,FALSE)</f>
        <v>ArB</v>
      </c>
      <c r="J178" s="254">
        <v>-32000</v>
      </c>
      <c r="K178" s="228">
        <v>0</v>
      </c>
      <c r="L178" s="228"/>
      <c r="M178" s="229">
        <v>0</v>
      </c>
      <c r="N178" s="229">
        <v>-7800</v>
      </c>
      <c r="O178" s="229">
        <v>0</v>
      </c>
      <c r="P178" s="229">
        <v>0</v>
      </c>
      <c r="Q178" s="229">
        <f>-250*OPX_LE3!$E178-3200</f>
        <v>-4100</v>
      </c>
      <c r="R178" s="311">
        <f>SUM(OPX_LE3!$K178:$Q178)</f>
        <v>-11900</v>
      </c>
      <c r="S178" s="337"/>
      <c r="T178" s="361">
        <v>0</v>
      </c>
      <c r="U178" s="362">
        <v>0</v>
      </c>
      <c r="V178" s="361">
        <v>0</v>
      </c>
      <c r="W178" s="361">
        <v>0</v>
      </c>
      <c r="X178" s="361">
        <v>0</v>
      </c>
      <c r="Y178" s="361">
        <v>0</v>
      </c>
      <c r="Z178" s="264">
        <v>-900</v>
      </c>
      <c r="AA178" s="423"/>
      <c r="AB178" s="273">
        <f>SUM(OPX_LE3!$T178:$AA178)</f>
        <v>-900</v>
      </c>
      <c r="AC178" s="426">
        <v>0</v>
      </c>
      <c r="AD178" s="426">
        <v>0</v>
      </c>
      <c r="AE178" s="417">
        <v>0</v>
      </c>
      <c r="AF178" s="417">
        <v>0</v>
      </c>
      <c r="AG178" s="417">
        <v>0</v>
      </c>
      <c r="AH178" s="417">
        <v>0</v>
      </c>
      <c r="AI178" s="417">
        <v>0</v>
      </c>
      <c r="AJ178" s="317">
        <f>SUM(OPX_LE3!$AC178:$AI178)</f>
        <v>0</v>
      </c>
      <c r="AK178" s="424">
        <v>0</v>
      </c>
      <c r="AL178" s="276">
        <f>SUM(OPX_LE3!$J178,OPX_LE3!$AB178,OPX_LE3!$S178,OPX_LE3!$AJ178,OPX_LE3!$R178,OPX_LE3!$AK178)</f>
        <v>-44800</v>
      </c>
      <c r="AM178" s="427">
        <v>0</v>
      </c>
      <c r="AN178" s="427">
        <v>0</v>
      </c>
    </row>
    <row r="179" spans="1:41" ht="15">
      <c r="A179" s="244" t="s">
        <v>610</v>
      </c>
      <c r="B179" s="232" t="str">
        <f>VLOOKUP(OPX_LE3!$A179,Tableau106[],3,FALSE)</f>
        <v>A295</v>
      </c>
      <c r="C179" s="232" t="str">
        <f>VLOOKUP(OPX_LE3!$A179,Tableau106[],2,FALSE)</f>
        <v>FR01S05E</v>
      </c>
      <c r="D179" s="232" t="str">
        <f>VLOOKUP(OPX_LE3!$A179,Tableau106[],8,FALSE)</f>
        <v>SOLAIRE</v>
      </c>
      <c r="E179" s="233">
        <f>VLOOKUP(OPX_LE3!$A179,Tableau106[],4,FALSE)</f>
        <v>2.7</v>
      </c>
      <c r="F179" s="232" t="str">
        <f>VLOOKUP(OPX_LE3!$A179,Tableau106[],5,FALSE)</f>
        <v>STJU</v>
      </c>
      <c r="G179" s="232" t="str">
        <f>VLOOKUP(OPX_LE3!$A179,Tableau106[],7,FALSE)</f>
        <v>GROUPE</v>
      </c>
      <c r="H179" s="232" t="str">
        <f>VLOOKUP(OPX_LE3!$A179,Tableau106[],6,FALSE)</f>
        <v>S</v>
      </c>
      <c r="I179" s="232" t="str">
        <f>VLOOKUP(OPX_LE3!$A179,Tableau106[],9,FALSE)</f>
        <v>ArB</v>
      </c>
      <c r="J179" s="254">
        <v>0</v>
      </c>
      <c r="K179" s="228">
        <v>0</v>
      </c>
      <c r="L179" s="228"/>
      <c r="M179" s="229">
        <v>0</v>
      </c>
      <c r="N179" s="229">
        <v>0</v>
      </c>
      <c r="O179" s="229">
        <v>0</v>
      </c>
      <c r="P179" s="229">
        <v>0</v>
      </c>
      <c r="Q179" s="229">
        <f>-250*OPX_LE3!$E179</f>
        <v>-675</v>
      </c>
      <c r="R179" s="311">
        <f>SUM(OPX_LE3!$K179:$Q179)</f>
        <v>-675</v>
      </c>
      <c r="S179" s="337">
        <v>-70434</v>
      </c>
      <c r="T179" s="361">
        <v>-1600</v>
      </c>
      <c r="U179" s="362">
        <v>0</v>
      </c>
      <c r="V179" s="361">
        <v>0</v>
      </c>
      <c r="W179" s="361">
        <v>0</v>
      </c>
      <c r="X179" s="361">
        <v>0</v>
      </c>
      <c r="Y179" s="361">
        <v>0</v>
      </c>
      <c r="Z179" s="264">
        <v>-675</v>
      </c>
      <c r="AA179" s="423">
        <v>-800</v>
      </c>
      <c r="AB179" s="273">
        <f>SUM(OPX_LE3!$T179:$AA179)</f>
        <v>-3075</v>
      </c>
      <c r="AC179" s="426"/>
      <c r="AD179" s="426">
        <v>0</v>
      </c>
      <c r="AE179" s="417">
        <v>0</v>
      </c>
      <c r="AF179" s="417">
        <v>0</v>
      </c>
      <c r="AG179" s="417">
        <v>0</v>
      </c>
      <c r="AH179" s="417">
        <v>-5000</v>
      </c>
      <c r="AI179" s="417">
        <v>0</v>
      </c>
      <c r="AJ179" s="317">
        <f>SUM(OPX_LE3!$AC179:$AI179)</f>
        <v>-5000</v>
      </c>
      <c r="AK179" s="424">
        <v>0</v>
      </c>
      <c r="AL179" s="276">
        <f>SUM(OPX_LE3!$J179,OPX_LE3!$AB179,OPX_LE3!$S179,OPX_LE3!$AJ179,OPX_LE3!$R179,OPX_LE3!$AK179)</f>
        <v>-79184</v>
      </c>
      <c r="AM179" s="427">
        <v>0</v>
      </c>
      <c r="AN179" s="427">
        <v>0</v>
      </c>
    </row>
    <row r="180" spans="1:41" ht="15">
      <c r="A180" s="325" t="s">
        <v>611</v>
      </c>
      <c r="B180" s="322" t="str">
        <f>VLOOKUP(OPX_LE3!$A180,Tableau106[],3,FALSE)</f>
        <v>A307</v>
      </c>
      <c r="C180" s="322" t="str">
        <f>VLOOKUP(OPX_LE3!$A180,Tableau106[],2,FALSE)</f>
        <v>FR04S07E</v>
      </c>
      <c r="D180" s="322" t="str">
        <f>VLOOKUP(OPX_LE3!$A180,Tableau106[],8,FALSE)</f>
        <v>SOLAIRE</v>
      </c>
      <c r="E180" s="324">
        <f>VLOOKUP(OPX_LE3!$A180,Tableau106[],4,FALSE)</f>
        <v>2.8</v>
      </c>
      <c r="F180" s="322" t="str">
        <f>VLOOKUP(OPX_LE3!$A180,Tableau106[],5,FALSE)</f>
        <v>STLM</v>
      </c>
      <c r="G180" s="322" t="str">
        <f>VLOOKUP(OPX_LE3!$A180,Tableau106[],7,FALSE)</f>
        <v>GROUPE</v>
      </c>
      <c r="H180" s="322" t="str">
        <f>VLOOKUP(OPX_LE3!$A180,Tableau106[],6,FALSE)</f>
        <v>S</v>
      </c>
      <c r="I180" s="322" t="str">
        <f>VLOOKUP(OPX_LE3!$A180,Tableau106[],9,FALSE)</f>
        <v>BaA</v>
      </c>
      <c r="J180" s="254">
        <v>-24000</v>
      </c>
      <c r="K180" s="228">
        <v>0</v>
      </c>
      <c r="L180" s="228"/>
      <c r="M180" s="229">
        <v>0</v>
      </c>
      <c r="N180" s="229">
        <v>0</v>
      </c>
      <c r="O180" s="229">
        <v>0</v>
      </c>
      <c r="P180" s="229">
        <v>0</v>
      </c>
      <c r="Q180" s="229">
        <f>-250*OPX_LE3!$E180</f>
        <v>-700</v>
      </c>
      <c r="R180" s="311">
        <f>SUM(OPX_LE3!$K180:$Q180)</f>
        <v>-700</v>
      </c>
      <c r="S180" s="337"/>
      <c r="T180" s="361">
        <v>0</v>
      </c>
      <c r="U180" s="362">
        <v>0</v>
      </c>
      <c r="V180" s="361">
        <v>0</v>
      </c>
      <c r="W180" s="361">
        <v>0</v>
      </c>
      <c r="X180" s="361">
        <v>0</v>
      </c>
      <c r="Y180" s="361">
        <v>0</v>
      </c>
      <c r="Z180" s="264">
        <v>-700</v>
      </c>
      <c r="AA180" s="423"/>
      <c r="AB180" s="273">
        <f>SUM(OPX_LE3!$T180:$AA180)</f>
        <v>-700</v>
      </c>
      <c r="AC180" s="426">
        <v>0</v>
      </c>
      <c r="AD180" s="426">
        <v>0</v>
      </c>
      <c r="AE180" s="417">
        <v>0</v>
      </c>
      <c r="AF180" s="417">
        <v>0</v>
      </c>
      <c r="AG180" s="417">
        <v>0</v>
      </c>
      <c r="AH180" s="417">
        <v>-4850</v>
      </c>
      <c r="AI180" s="417">
        <v>0</v>
      </c>
      <c r="AJ180" s="317">
        <f>SUM(OPX_LE3!$AC180:$AI180)</f>
        <v>-4850</v>
      </c>
      <c r="AK180" s="424">
        <v>0</v>
      </c>
      <c r="AL180" s="276">
        <f>SUM(OPX_LE3!$J180,OPX_LE3!$AB180,OPX_LE3!$S180,OPX_LE3!$AJ180,OPX_LE3!$R180,OPX_LE3!$AK180)</f>
        <v>-30250</v>
      </c>
      <c r="AM180" s="427">
        <v>0</v>
      </c>
      <c r="AN180" s="427">
        <v>0</v>
      </c>
    </row>
    <row r="181" spans="1:41" ht="15">
      <c r="A181" s="244" t="s">
        <v>557</v>
      </c>
      <c r="B181" s="232" t="str">
        <f>VLOOKUP(OPX_LE3!$A181,Tableau106[],3,FALSE)</f>
        <v>A541</v>
      </c>
      <c r="C181" s="232" t="str">
        <f>VLOOKUP(OPX_LE3!$A181,Tableau106[],2,FALSE)</f>
        <v>FR55E08E</v>
      </c>
      <c r="D181" s="232" t="str">
        <f>VLOOKUP(OPX_LE3!$A181,Tableau106[],8,FALSE)</f>
        <v>EOLIEN</v>
      </c>
      <c r="E181" s="233">
        <f>VLOOKUP(OPX_LE3!$A181,Tableau106[],4,FALSE)</f>
        <v>11.5</v>
      </c>
      <c r="F181" s="232" t="str">
        <f>VLOOKUP(OPX_LE3!$A181,Tableau106[],5,FALSE)</f>
        <v>STEN</v>
      </c>
      <c r="G181" s="232" t="str">
        <f>VLOOKUP(OPX_LE3!$A181,Tableau106[],7,FALSE)</f>
        <v>EGM</v>
      </c>
      <c r="H181" s="232" t="str">
        <f>VLOOKUP(OPX_LE3!$A181,Tableau106[],6,FALSE)</f>
        <v>N</v>
      </c>
      <c r="I181" s="232" t="str">
        <f>VLOOKUP(OPX_LE3!$A181,Tableau106[],9,FALSE)</f>
        <v>MaA</v>
      </c>
      <c r="J181" s="254">
        <v>-258123</v>
      </c>
      <c r="K181" s="228">
        <v>-150000</v>
      </c>
      <c r="L181" s="228"/>
      <c r="M181" s="229">
        <v>0</v>
      </c>
      <c r="N181" s="229">
        <v>0</v>
      </c>
      <c r="O181" s="229">
        <v>0</v>
      </c>
      <c r="P181" s="229">
        <v>-4025</v>
      </c>
      <c r="Q181" s="229">
        <f>-250*OPX_LE3!$E181</f>
        <v>-2875</v>
      </c>
      <c r="R181" s="311">
        <f>SUM(OPX_LE3!$K181:$Q181)</f>
        <v>-156900</v>
      </c>
      <c r="S181" s="337">
        <v>0</v>
      </c>
      <c r="T181" s="361">
        <v>0</v>
      </c>
      <c r="U181" s="362">
        <v>0</v>
      </c>
      <c r="V181" s="361">
        <f>-2000-(1390*2)-15925</f>
        <v>-20705</v>
      </c>
      <c r="W181" s="361">
        <v>0</v>
      </c>
      <c r="X181" s="361">
        <v>0</v>
      </c>
      <c r="Y181" s="361">
        <v>0</v>
      </c>
      <c r="Z181" s="264">
        <v>-2875</v>
      </c>
      <c r="AA181" s="423"/>
      <c r="AB181" s="273">
        <f>SUM(OPX_LE3!$T181:$AA181)</f>
        <v>-23580</v>
      </c>
      <c r="AC181" s="426"/>
      <c r="AD181" s="426"/>
      <c r="AE181" s="417">
        <v>0</v>
      </c>
      <c r="AF181" s="417">
        <v>0</v>
      </c>
      <c r="AG181" s="417">
        <v>0</v>
      </c>
      <c r="AH181" s="417">
        <v>0</v>
      </c>
      <c r="AI181" s="417">
        <v>0</v>
      </c>
      <c r="AJ181" s="317">
        <f>SUM(OPX_LE3!$AC181:$AI181)</f>
        <v>0</v>
      </c>
      <c r="AK181" s="424">
        <v>-13086</v>
      </c>
      <c r="AL181" s="276">
        <f>SUM(OPX_LE3!$J181,OPX_LE3!$AB181,OPX_LE3!$S181,OPX_LE3!$AJ181,OPX_LE3!$R181,OPX_LE3!$AK181)</f>
        <v>-451689</v>
      </c>
      <c r="AM181" s="427">
        <v>0</v>
      </c>
      <c r="AN181" s="427">
        <v>-143000</v>
      </c>
      <c r="AO181" s="6" t="s">
        <v>725</v>
      </c>
    </row>
    <row r="182" spans="1:41" ht="15">
      <c r="A182" s="325" t="s">
        <v>613</v>
      </c>
      <c r="B182" s="322" t="str">
        <f>VLOOKUP(OPX_LE3!$A182,Tableau106[],3,FALSE)</f>
        <v>A313</v>
      </c>
      <c r="C182" s="322" t="str">
        <f>VLOOKUP(OPX_LE3!$A182,Tableau106[],2,FALSE)</f>
        <v>FR89S03E</v>
      </c>
      <c r="D182" s="322" t="str">
        <f>VLOOKUP(OPX_LE3!$A182,Tableau106[],8,FALSE)</f>
        <v>SOLAIRE</v>
      </c>
      <c r="E182" s="324">
        <f>VLOOKUP(OPX_LE3!$A182,Tableau106[],4,FALSE)</f>
        <v>10.1</v>
      </c>
      <c r="F182" s="322" t="str">
        <f>VLOOKUP(OPX_LE3!$A182,Tableau106[],5,FALSE)</f>
        <v>SUBL</v>
      </c>
      <c r="G182" s="322" t="str">
        <f>VLOOKUP(OPX_LE3!$A182,Tableau106[],7,FALSE)</f>
        <v>GROUPE</v>
      </c>
      <c r="H182" s="322" t="str">
        <f>VLOOKUP(OPX_LE3!$A182,Tableau106[],6,FALSE)</f>
        <v>N</v>
      </c>
      <c r="I182" s="322" t="str">
        <f>VLOOKUP(OPX_LE3!$A182,Tableau106[],9,FALSE)</f>
        <v>LoG</v>
      </c>
      <c r="J182" s="254">
        <v>-57000</v>
      </c>
      <c r="K182" s="228">
        <v>-20000</v>
      </c>
      <c r="L182" s="228"/>
      <c r="M182" s="229">
        <v>0</v>
      </c>
      <c r="N182" s="229">
        <v>0</v>
      </c>
      <c r="O182" s="229"/>
      <c r="P182" s="229"/>
      <c r="Q182" s="229">
        <f>-250*OPX_LE3!$E182-15015</f>
        <v>-17540</v>
      </c>
      <c r="R182" s="311">
        <f>SUM(OPX_LE3!$K182:$Q182)</f>
        <v>-37540</v>
      </c>
      <c r="S182" s="337">
        <v>0</v>
      </c>
      <c r="T182" s="361">
        <v>0</v>
      </c>
      <c r="U182" s="362">
        <v>0</v>
      </c>
      <c r="V182" s="361"/>
      <c r="W182" s="361"/>
      <c r="X182" s="361"/>
      <c r="Y182" s="361"/>
      <c r="Z182" s="264"/>
      <c r="AA182" s="423"/>
      <c r="AB182" s="273">
        <f>SUM(OPX_LE3!$T182:$AA182)</f>
        <v>0</v>
      </c>
      <c r="AC182" s="426">
        <v>0</v>
      </c>
      <c r="AD182" s="426">
        <v>0</v>
      </c>
      <c r="AE182" s="417">
        <v>0</v>
      </c>
      <c r="AF182" s="417">
        <v>0</v>
      </c>
      <c r="AG182" s="417">
        <v>0</v>
      </c>
      <c r="AH182" s="417">
        <v>0</v>
      </c>
      <c r="AI182" s="417">
        <v>0</v>
      </c>
      <c r="AJ182" s="317">
        <f>SUM(OPX_LE3!$AC182:$AI182)</f>
        <v>0</v>
      </c>
      <c r="AK182" s="424">
        <v>0</v>
      </c>
      <c r="AL182" s="276">
        <f>SUM(OPX_LE3!$J182,OPX_LE3!$AB182,OPX_LE3!$S182,OPX_LE3!$AJ182,OPX_LE3!$R182,OPX_LE3!$AK182)</f>
        <v>-94540</v>
      </c>
      <c r="AM182" s="427">
        <v>0</v>
      </c>
      <c r="AN182" s="427">
        <v>0</v>
      </c>
    </row>
    <row r="183" spans="1:41" ht="15">
      <c r="A183" s="244" t="s">
        <v>663</v>
      </c>
      <c r="B183" s="232" t="str">
        <f>VLOOKUP(OPX_LE3!$A183,Tableau106[],3,FALSE)</f>
        <v>A536</v>
      </c>
      <c r="C183" s="232" t="str">
        <f>VLOOKUP(OPX_LE3!$A183,Tableau106[],2,FALSE)</f>
        <v>FR62E04E</v>
      </c>
      <c r="D183" s="232" t="str">
        <f>VLOOKUP(OPX_LE3!$A183,Tableau106[],8,FALSE)</f>
        <v>EOLIEN</v>
      </c>
      <c r="E183" s="233">
        <f>VLOOKUP(OPX_LE3!$A183,Tableau106[],4,FALSE)</f>
        <v>21.6</v>
      </c>
      <c r="F183" s="232" t="str">
        <f>VLOOKUP(OPX_LE3!$A183,Tableau106[],5,FALSE)</f>
        <v>SARA</v>
      </c>
      <c r="G183" s="232" t="str">
        <f>VLOOKUP(OPX_LE3!$A183,Tableau106[],7,FALSE)</f>
        <v>GROUPE</v>
      </c>
      <c r="H183" s="232" t="str">
        <f>VLOOKUP(OPX_LE3!$A183,Tableau106[],6,FALSE)</f>
        <v>N</v>
      </c>
      <c r="I183" s="232" t="str">
        <f>VLOOKUP(OPX_LE3!$A183,Tableau106[],9,FALSE)</f>
        <v>NiL</v>
      </c>
      <c r="J183" s="254">
        <v>-18484</v>
      </c>
      <c r="K183" s="228">
        <v>-6440</v>
      </c>
      <c r="L183" s="228"/>
      <c r="M183" s="229">
        <v>0</v>
      </c>
      <c r="N183" s="229">
        <v>0</v>
      </c>
      <c r="O183" s="229">
        <v>0</v>
      </c>
      <c r="P183" s="229">
        <f>-440*Tableau16[[#This Row],[MW]]</f>
        <v>-9504</v>
      </c>
      <c r="Q183" s="229">
        <f>(-250*OPX_LE3!$E183)-1439.29</f>
        <v>-6839.29</v>
      </c>
      <c r="R183" s="311">
        <f>SUM(OPX_LE3!$K183:$Q183)</f>
        <v>-22783.29</v>
      </c>
      <c r="S183" s="337">
        <f>-69600*6*9/12</f>
        <v>-313200</v>
      </c>
      <c r="T183" s="361">
        <v>0</v>
      </c>
      <c r="U183" s="362">
        <v>0</v>
      </c>
      <c r="V183" s="361">
        <v>-600</v>
      </c>
      <c r="W183" s="361">
        <f>-450*6</f>
        <v>-2700</v>
      </c>
      <c r="X183" s="361">
        <v>0</v>
      </c>
      <c r="Y183" s="361">
        <v>0</v>
      </c>
      <c r="Z183" s="264">
        <f>-250*OPX_LE3!$E183</f>
        <v>-5400</v>
      </c>
      <c r="AA183" s="423"/>
      <c r="AB183" s="273">
        <f>SUM(OPX_LE3!$T183:$AA183)</f>
        <v>-8700</v>
      </c>
      <c r="AC183" s="426"/>
      <c r="AD183" s="426"/>
      <c r="AE183" s="417">
        <f>-(7255+5000)</f>
        <v>-12255</v>
      </c>
      <c r="AF183" s="417">
        <v>-14577</v>
      </c>
      <c r="AG183" s="417">
        <v>-38425</v>
      </c>
      <c r="AH183" s="417">
        <v>0</v>
      </c>
      <c r="AI183" s="417">
        <v>0</v>
      </c>
      <c r="AJ183" s="317">
        <f>SUM(OPX_LE3!$AC183:$AI183)</f>
        <v>-65257</v>
      </c>
      <c r="AK183" s="424">
        <v>0</v>
      </c>
      <c r="AL183" s="276">
        <f>SUM(OPX_LE3!$J183,OPX_LE3!$AB183,OPX_LE3!$S183,OPX_LE3!$AJ183,OPX_LE3!$R183,OPX_LE3!$AK183)</f>
        <v>-428424.29</v>
      </c>
      <c r="AM183" s="427">
        <v>-15000</v>
      </c>
      <c r="AN183" s="427">
        <v>0</v>
      </c>
    </row>
    <row r="184" spans="1:41" ht="15">
      <c r="A184" s="325" t="s">
        <v>436</v>
      </c>
      <c r="B184" s="322" t="str">
        <f>VLOOKUP(OPX_LE3!$A184,Tableau106[],3,FALSE)</f>
        <v>A280</v>
      </c>
      <c r="C184" s="322" t="str">
        <f>VLOOKUP(OPX_LE3!$A184,Tableau106[],2,FALSE)</f>
        <v>FR89E08E</v>
      </c>
      <c r="D184" s="322" t="str">
        <f>VLOOKUP(OPX_LE3!$A184,Tableau106[],8,FALSE)</f>
        <v>EOLIEN</v>
      </c>
      <c r="E184" s="324">
        <f>VLOOKUP(OPX_LE3!$A184,Tableau106[],4,FALSE)</f>
        <v>14.4</v>
      </c>
      <c r="F184" s="322" t="str">
        <f>VLOOKUP(OPX_LE3!$A184,Tableau106[],5,FALSE)</f>
        <v>TLGR</v>
      </c>
      <c r="G184" s="322" t="str">
        <f>VLOOKUP(OPX_LE3!$A184,Tableau106[],7,FALSE)</f>
        <v>GROUPE</v>
      </c>
      <c r="H184" s="322" t="str">
        <f>VLOOKUP(OPX_LE3!$A184,Tableau106[],6,FALSE)</f>
        <v>N</v>
      </c>
      <c r="I184" s="322" t="str">
        <f>VLOOKUP(OPX_LE3!$A184,Tableau106[],9,FALSE)</f>
        <v>LoH</v>
      </c>
      <c r="J184" s="254">
        <v>-9230</v>
      </c>
      <c r="K184" s="228">
        <v>-1500</v>
      </c>
      <c r="L184" s="228"/>
      <c r="M184" s="229">
        <v>0</v>
      </c>
      <c r="N184" s="229">
        <v>0</v>
      </c>
      <c r="O184" s="229">
        <v>0</v>
      </c>
      <c r="P184" s="229">
        <f>-440*Tableau16[[#This Row],[MW]]</f>
        <v>-6336</v>
      </c>
      <c r="Q184" s="229">
        <f>-250*OPX_LE3!$E184</f>
        <v>-3600</v>
      </c>
      <c r="R184" s="311">
        <f>SUM(OPX_LE3!$K184:$Q184)</f>
        <v>-11436</v>
      </c>
      <c r="S184" s="337">
        <v>-220826</v>
      </c>
      <c r="T184" s="361">
        <v>0</v>
      </c>
      <c r="U184" s="362">
        <v>0</v>
      </c>
      <c r="V184" s="361">
        <v>-2000</v>
      </c>
      <c r="W184" s="361">
        <v>-1800</v>
      </c>
      <c r="X184" s="361">
        <v>0</v>
      </c>
      <c r="Y184" s="361">
        <v>0</v>
      </c>
      <c r="Z184" s="264">
        <v>-3600</v>
      </c>
      <c r="AA184" s="423"/>
      <c r="AB184" s="273">
        <f>SUM(OPX_LE3!$T184:$AA184)</f>
        <v>-7400</v>
      </c>
      <c r="AC184" s="426">
        <f t="shared" ref="AC184:AC192" si="7">-((46000/8*4)/2)</f>
        <v>-11500</v>
      </c>
      <c r="AD184" s="426"/>
      <c r="AE184" s="417">
        <v>-13920</v>
      </c>
      <c r="AF184" s="417">
        <v>0</v>
      </c>
      <c r="AG184" s="417">
        <v>-17247.88</v>
      </c>
      <c r="AH184" s="417">
        <v>0</v>
      </c>
      <c r="AI184" s="417">
        <v>0</v>
      </c>
      <c r="AJ184" s="317">
        <f>SUM(OPX_LE3!$AC184:$AI184)</f>
        <v>-42667.880000000005</v>
      </c>
      <c r="AK184" s="424">
        <v>-2000</v>
      </c>
      <c r="AL184" s="276">
        <f>SUM(OPX_LE3!$J184,OPX_LE3!$AB184,OPX_LE3!$S184,OPX_LE3!$AJ184,OPX_LE3!$R184,OPX_LE3!$AK184)</f>
        <v>-293559.88</v>
      </c>
      <c r="AM184" s="427">
        <v>0</v>
      </c>
      <c r="AN184" s="427">
        <v>0</v>
      </c>
    </row>
    <row r="185" spans="1:41" ht="15">
      <c r="A185" s="325" t="s">
        <v>665</v>
      </c>
      <c r="B185" s="330" t="str">
        <f>VLOOKUP(OPX_LE3!$A185,Tableau106[],3,FALSE)</f>
        <v>A060</v>
      </c>
      <c r="C185" s="330" t="str">
        <f>VLOOKUP(OPX_LE3!$A185,Tableau106[],2,FALSE)</f>
        <v>FR2BE01E</v>
      </c>
      <c r="D185" s="330" t="str">
        <f>VLOOKUP(OPX_LE3!$A185,Tableau106[],8,FALSE)</f>
        <v>EOLIEN</v>
      </c>
      <c r="E185" s="331">
        <f>VLOOKUP(OPX_LE3!$A185,Tableau106[],4,FALSE)</f>
        <v>11.7</v>
      </c>
      <c r="F185" s="330" t="str">
        <f>VLOOKUP(OPX_LE3!$A185,Tableau106[],5,FALSE)</f>
        <v>TERE</v>
      </c>
      <c r="G185" s="330" t="str">
        <f>VLOOKUP(OPX_LE3!$A185,Tableau106[],7,FALSE)</f>
        <v>GROUPE</v>
      </c>
      <c r="H185" s="330" t="str">
        <f>VLOOKUP(OPX_LE3!$A185,Tableau106[],6,FALSE)</f>
        <v>S</v>
      </c>
      <c r="I185" s="330" t="str">
        <f>VLOOKUP(OPX_LE3!$A185,Tableau106[],9,FALSE)</f>
        <v>SaH</v>
      </c>
      <c r="J185" s="332"/>
      <c r="K185" s="228">
        <v>0</v>
      </c>
      <c r="L185" s="228"/>
      <c r="M185" s="229"/>
      <c r="N185" s="229"/>
      <c r="O185" s="229"/>
      <c r="P185" s="229"/>
      <c r="Q185" s="229">
        <f>-250*OPX_LE3!$E185</f>
        <v>-2925</v>
      </c>
      <c r="R185" s="311">
        <f>SUM(OPX_LE3!$K185:$Q185)</f>
        <v>-2925</v>
      </c>
      <c r="S185" s="388">
        <v>-5000</v>
      </c>
      <c r="T185" s="376"/>
      <c r="U185" s="396"/>
      <c r="V185" s="376"/>
      <c r="W185" s="376"/>
      <c r="X185" s="376"/>
      <c r="Y185" s="376"/>
      <c r="Z185" s="390"/>
      <c r="AA185" s="434"/>
      <c r="AB185" s="391">
        <f>SUM(OPX_LE3!$T185:$AA185)</f>
        <v>0</v>
      </c>
      <c r="AC185" s="426"/>
      <c r="AD185" s="426">
        <v>-3000</v>
      </c>
      <c r="AE185" s="417"/>
      <c r="AF185" s="417"/>
      <c r="AG185" s="417"/>
      <c r="AH185" s="417"/>
      <c r="AI185" s="417"/>
      <c r="AJ185" s="317">
        <f>SUM(OPX_LE3!$AC185:$AI185)</f>
        <v>-3000</v>
      </c>
      <c r="AK185" s="429"/>
      <c r="AL185" s="276">
        <f>SUM(OPX_LE3!$J185,OPX_LE3!$AB185,OPX_LE3!$S185,OPX_LE3!$AJ185,OPX_LE3!$R185,OPX_LE3!$AK185)</f>
        <v>-10925</v>
      </c>
      <c r="AM185" s="427">
        <v>0</v>
      </c>
      <c r="AN185" s="427">
        <v>0</v>
      </c>
    </row>
    <row r="186" spans="1:41" ht="15">
      <c r="A186" s="244" t="s">
        <v>614</v>
      </c>
      <c r="B186" s="232" t="str">
        <f>VLOOKUP(OPX_LE3!$A186,Tableau106[],3,FALSE)</f>
        <v>A168</v>
      </c>
      <c r="C186" s="232" t="str">
        <f>VLOOKUP(OPX_LE3!$A186,Tableau106[],2,FALSE)</f>
        <v>FR97S89E</v>
      </c>
      <c r="D186" s="232" t="str">
        <f>VLOOKUP(OPX_LE3!$A186,Tableau106[],8,FALSE)</f>
        <v>SOLAIRE DOM</v>
      </c>
      <c r="E186" s="233">
        <f>VLOOKUP(OPX_LE3!$A186,Tableau106[],4,FALSE)</f>
        <v>4.9980000000000002</v>
      </c>
      <c r="F186" s="232" t="str">
        <f>VLOOKUP(OPX_LE3!$A186,Tableau106[],5,FALSE)</f>
        <v>TOUC</v>
      </c>
      <c r="G186" s="232" t="str">
        <f>VLOOKUP(OPX_LE3!$A186,Tableau106[],7,FALSE)</f>
        <v>GROUPE</v>
      </c>
      <c r="H186" s="232" t="str">
        <f>VLOOKUP(OPX_LE3!$A186,Tableau106[],6,FALSE)</f>
        <v>DOM</v>
      </c>
      <c r="I186" s="232" t="str">
        <f>VLOOKUP(OPX_LE3!$A186,Tableau106[],9,FALSE)</f>
        <v>DoJ</v>
      </c>
      <c r="J186" s="254">
        <v>0</v>
      </c>
      <c r="K186" s="228">
        <v>0</v>
      </c>
      <c r="L186" s="228"/>
      <c r="M186" s="229">
        <v>0</v>
      </c>
      <c r="N186" s="229">
        <v>0</v>
      </c>
      <c r="O186" s="229">
        <v>0</v>
      </c>
      <c r="P186" s="229">
        <v>-5040</v>
      </c>
      <c r="Q186" s="229">
        <f>-250*OPX_LE3!$E186</f>
        <v>-1249.5</v>
      </c>
      <c r="R186" s="311">
        <f>SUM(OPX_LE3!$K186:$Q186)</f>
        <v>-6289.5</v>
      </c>
      <c r="S186" s="337">
        <v>-521421</v>
      </c>
      <c r="T186" s="361">
        <v>-52000</v>
      </c>
      <c r="U186" s="362">
        <v>0</v>
      </c>
      <c r="V186" s="361">
        <f>-13000-35000</f>
        <v>-48000</v>
      </c>
      <c r="W186" s="361">
        <f>-3900-4900</f>
        <v>-8800</v>
      </c>
      <c r="X186" s="361">
        <v>0</v>
      </c>
      <c r="Y186" s="361">
        <v>-1000</v>
      </c>
      <c r="Z186" s="264">
        <f>-1600-5000*6</f>
        <v>-31600</v>
      </c>
      <c r="AA186" s="423">
        <f>-753285*0.002</f>
        <v>-1506.57</v>
      </c>
      <c r="AB186" s="273">
        <f>SUM(OPX_LE3!$T186:$AA186)</f>
        <v>-142906.57</v>
      </c>
      <c r="AC186" s="426">
        <f>-((46000/8*AC1884)/2)</f>
        <v>0</v>
      </c>
      <c r="AD186" s="426">
        <v>0</v>
      </c>
      <c r="AE186" s="417">
        <v>0</v>
      </c>
      <c r="AF186" s="417">
        <v>0</v>
      </c>
      <c r="AG186" s="417">
        <v>0</v>
      </c>
      <c r="AH186" s="417">
        <v>0</v>
      </c>
      <c r="AI186" s="417">
        <v>0</v>
      </c>
      <c r="AJ186" s="317">
        <f>SUM(OPX_LE3!$AC186:$AI186)</f>
        <v>0</v>
      </c>
      <c r="AK186" s="424">
        <v>0</v>
      </c>
      <c r="AL186" s="276">
        <f>SUM(OPX_LE3!$J186,OPX_LE3!$AB186,OPX_LE3!$S186,OPX_LE3!$AJ186,OPX_LE3!$R186,OPX_LE3!$AK186)</f>
        <v>-670617.07000000007</v>
      </c>
      <c r="AM186" s="427">
        <v>0</v>
      </c>
      <c r="AN186" s="427">
        <v>0</v>
      </c>
    </row>
    <row r="187" spans="1:41" ht="15">
      <c r="A187" s="325" t="s">
        <v>367</v>
      </c>
      <c r="B187" s="322" t="str">
        <f>VLOOKUP(OPX_LE3!$A187,Tableau106[],3,FALSE)</f>
        <v>A167</v>
      </c>
      <c r="C187" s="322" t="str">
        <f>VLOOKUP(OPX_LE3!$A187,Tableau106[],2,FALSE)</f>
        <v>FR973S01E</v>
      </c>
      <c r="D187" s="322" t="str">
        <f>VLOOKUP(OPX_LE3!$A187,Tableau106[],8,FALSE)</f>
        <v>SOLAIRE DOM</v>
      </c>
      <c r="E187" s="324">
        <f>VLOOKUP(OPX_LE3!$A187,Tableau106[],4,FALSE)</f>
        <v>5</v>
      </c>
      <c r="F187" s="322" t="str">
        <f>VLOOKUP(OPX_LE3!$A187,Tableau106[],5,FALSE)</f>
        <v>TOC2</v>
      </c>
      <c r="G187" s="322" t="str">
        <f>VLOOKUP(OPX_LE3!$A187,Tableau106[],7,FALSE)</f>
        <v>GROUPE</v>
      </c>
      <c r="H187" s="322" t="str">
        <f>VLOOKUP(OPX_LE3!$A187,Tableau106[],6,FALSE)</f>
        <v>DOM</v>
      </c>
      <c r="I187" s="322" t="str">
        <f>VLOOKUP(OPX_LE3!$A187,Tableau106[],9,FALSE)</f>
        <v>DoJ</v>
      </c>
      <c r="J187" s="254">
        <v>0</v>
      </c>
      <c r="K187" s="228">
        <v>0</v>
      </c>
      <c r="L187" s="228"/>
      <c r="M187" s="229">
        <v>0</v>
      </c>
      <c r="N187" s="229">
        <v>0</v>
      </c>
      <c r="O187" s="229">
        <v>0</v>
      </c>
      <c r="P187" s="229">
        <v>0</v>
      </c>
      <c r="Q187" s="229">
        <f>-250*OPX_LE3!$E187</f>
        <v>-1250</v>
      </c>
      <c r="R187" s="311">
        <f>SUM(OPX_LE3!$K187:$Q187)</f>
        <v>-1250</v>
      </c>
      <c r="S187" s="337">
        <v>-126435</v>
      </c>
      <c r="T187" s="361">
        <v>-12600</v>
      </c>
      <c r="U187" s="362">
        <v>0</v>
      </c>
      <c r="V187" s="361">
        <f>-10000-80000</f>
        <v>-90000</v>
      </c>
      <c r="W187" s="361">
        <f>-5000-1.6</f>
        <v>-5001.6000000000004</v>
      </c>
      <c r="X187" s="361">
        <v>0</v>
      </c>
      <c r="Y187" s="361">
        <v>-1</v>
      </c>
      <c r="Z187" s="264">
        <f>-3300-5000*6-16000</f>
        <v>-49300</v>
      </c>
      <c r="AA187" s="423">
        <f>-601368*0.002</f>
        <v>-1202.7360000000001</v>
      </c>
      <c r="AB187" s="273">
        <f>SUM(OPX_LE3!$T187:$AA187)</f>
        <v>-158105.33600000001</v>
      </c>
      <c r="AC187" s="426">
        <f>-((46000/8*AC1885)/2)</f>
        <v>0</v>
      </c>
      <c r="AD187" s="426">
        <v>0</v>
      </c>
      <c r="AE187" s="417">
        <v>0</v>
      </c>
      <c r="AF187" s="417">
        <v>0</v>
      </c>
      <c r="AG187" s="417">
        <v>0</v>
      </c>
      <c r="AH187" s="417">
        <v>-7150</v>
      </c>
      <c r="AI187" s="417">
        <v>0</v>
      </c>
      <c r="AJ187" s="317">
        <f>SUM(OPX_LE3!$AC187:$AI187)</f>
        <v>-7150</v>
      </c>
      <c r="AK187" s="424">
        <v>0</v>
      </c>
      <c r="AL187" s="276">
        <f>SUM(OPX_LE3!$J187,OPX_LE3!$AB187,OPX_LE3!$S187,OPX_LE3!$AJ187,OPX_LE3!$R187,OPX_LE3!$AK187)</f>
        <v>-292940.33600000001</v>
      </c>
      <c r="AM187" s="427">
        <v>-79000</v>
      </c>
      <c r="AN187" s="427">
        <v>0</v>
      </c>
    </row>
    <row r="188" spans="1:41" ht="15">
      <c r="A188" s="244" t="s">
        <v>615</v>
      </c>
      <c r="B188" s="232" t="str">
        <f>VLOOKUP(OPX_LE3!$A188,Tableau106[],3,FALSE)</f>
        <v>A391</v>
      </c>
      <c r="C188" s="232" t="str">
        <f>VLOOKUP(OPX_LE3!$A188,Tableau106[],2,FALSE)</f>
        <v>FR54S01E</v>
      </c>
      <c r="D188" s="232" t="str">
        <f>VLOOKUP(OPX_LE3!$A188,Tableau106[],8,FALSE)</f>
        <v>SOLAIRE</v>
      </c>
      <c r="E188" s="233">
        <f>VLOOKUP(OPX_LE3!$A188,Tableau106[],4,FALSE)</f>
        <v>54.93</v>
      </c>
      <c r="F188" s="232" t="str">
        <f>VLOOKUP(OPX_LE3!$A188,Tableau106[],5,FALSE)</f>
        <v>TOUL</v>
      </c>
      <c r="G188" s="232" t="str">
        <f>VLOOKUP(OPX_LE3!$A188,Tableau106[],7,FALSE)</f>
        <v>GROUPE</v>
      </c>
      <c r="H188" s="232" t="str">
        <f>VLOOKUP(OPX_LE3!$A188,Tableau106[],6,FALSE)</f>
        <v>S</v>
      </c>
      <c r="I188" s="232" t="str">
        <f>VLOOKUP(OPX_LE3!$A188,Tableau106[],9,FALSE)</f>
        <v>LoG</v>
      </c>
      <c r="J188" s="254">
        <v>-1137734</v>
      </c>
      <c r="K188" s="228">
        <v>-49800.000000000007</v>
      </c>
      <c r="L188" s="228"/>
      <c r="M188" s="229">
        <v>0</v>
      </c>
      <c r="N188" s="229">
        <v>0</v>
      </c>
      <c r="O188" s="229">
        <v>0</v>
      </c>
      <c r="P188" s="229">
        <v>0</v>
      </c>
      <c r="Q188" s="229">
        <f>-250*OPX_LE3!$E188-30000</f>
        <v>-43732.5</v>
      </c>
      <c r="R188" s="311">
        <f>SUM(OPX_LE3!$K188:$Q188)</f>
        <v>-93532.5</v>
      </c>
      <c r="S188" s="337">
        <v>0</v>
      </c>
      <c r="T188" s="361">
        <v>-40000</v>
      </c>
      <c r="U188" s="362">
        <v>0</v>
      </c>
      <c r="V188" s="361">
        <v>-34200</v>
      </c>
      <c r="W188" s="361"/>
      <c r="X188" s="361">
        <v>0</v>
      </c>
      <c r="Y188" s="361">
        <v>0</v>
      </c>
      <c r="Z188" s="264">
        <v>-13732.5</v>
      </c>
      <c r="AA188" s="423"/>
      <c r="AB188" s="273">
        <f>SUM(OPX_LE3!$T188:$AA188)</f>
        <v>-87932.5</v>
      </c>
      <c r="AC188" s="426">
        <v>0</v>
      </c>
      <c r="AD188" s="426">
        <v>0</v>
      </c>
      <c r="AE188" s="417">
        <v>-8000</v>
      </c>
      <c r="AF188" s="417">
        <v>0</v>
      </c>
      <c r="AG188" s="417">
        <v>0</v>
      </c>
      <c r="AH188" s="417">
        <v>0</v>
      </c>
      <c r="AI188" s="417">
        <v>0</v>
      </c>
      <c r="AJ188" s="317">
        <f>SUM(OPX_LE3!$AC188:$AI188)</f>
        <v>-8000</v>
      </c>
      <c r="AK188" s="424">
        <v>0</v>
      </c>
      <c r="AL188" s="276">
        <f>SUM(OPX_LE3!$J188,OPX_LE3!$AB188,OPX_LE3!$S188,OPX_LE3!$AJ188,OPX_LE3!$R188,OPX_LE3!$AK188)</f>
        <v>-1327199</v>
      </c>
      <c r="AM188" s="427">
        <v>0</v>
      </c>
      <c r="AN188" s="427">
        <v>0</v>
      </c>
    </row>
    <row r="189" spans="1:41" ht="14.25" customHeight="1">
      <c r="A189" s="325" t="s">
        <v>451</v>
      </c>
      <c r="B189" s="322" t="str">
        <f>VLOOKUP(OPX_LE3!$A189,Tableau106[],3,FALSE)</f>
        <v>A541</v>
      </c>
      <c r="C189" s="322" t="str">
        <f>VLOOKUP(OPX_LE3!$A189,Tableau106[],2,FALSE)</f>
        <v>FR79E02E</v>
      </c>
      <c r="D189" s="322" t="str">
        <f>VLOOKUP(OPX_LE3!$A189,Tableau106[],8,FALSE)</f>
        <v>EOLIEN</v>
      </c>
      <c r="E189" s="324">
        <f>VLOOKUP(OPX_LE3!$A189,Tableau106[],4,FALSE)</f>
        <v>10</v>
      </c>
      <c r="F189" s="322" t="str">
        <f>VLOOKUP(OPX_LE3!$A189,Tableau106[],5,FALSE)</f>
        <v>TRAY</v>
      </c>
      <c r="G189" s="322" t="str">
        <f>VLOOKUP(OPX_LE3!$A189,Tableau106[],7,FALSE)</f>
        <v>EGM</v>
      </c>
      <c r="H189" s="322" t="str">
        <f>VLOOKUP(OPX_LE3!$A189,Tableau106[],6,FALSE)</f>
        <v>N</v>
      </c>
      <c r="I189" s="322" t="str">
        <f>VLOOKUP(OPX_LE3!$A189,Tableau106[],9,FALSE)</f>
        <v>BoK</v>
      </c>
      <c r="J189" s="254">
        <v>-258123</v>
      </c>
      <c r="K189" s="228">
        <v>-407000</v>
      </c>
      <c r="L189" s="228"/>
      <c r="M189" s="229">
        <v>0</v>
      </c>
      <c r="N189" s="229">
        <v>0</v>
      </c>
      <c r="O189" s="229">
        <v>0</v>
      </c>
      <c r="P189" s="229">
        <v>0</v>
      </c>
      <c r="Q189" s="229">
        <f>-250*OPX_LE3!$E189</f>
        <v>-2500</v>
      </c>
      <c r="R189" s="311">
        <f>SUM(OPX_LE3!$K189:$Q189)</f>
        <v>-409500</v>
      </c>
      <c r="S189" s="337">
        <v>0</v>
      </c>
      <c r="T189" s="361">
        <v>0</v>
      </c>
      <c r="U189" s="362">
        <v>-70000</v>
      </c>
      <c r="V189" s="361">
        <v>-40000</v>
      </c>
      <c r="W189" s="361">
        <v>0</v>
      </c>
      <c r="X189" s="361">
        <v>0</v>
      </c>
      <c r="Y189" s="361">
        <v>0</v>
      </c>
      <c r="Z189" s="264">
        <f>-2500-3750</f>
        <v>-6250</v>
      </c>
      <c r="AA189" s="423"/>
      <c r="AB189" s="273">
        <f>SUM(OPX_LE3!$T189:$AA189)</f>
        <v>-116250</v>
      </c>
      <c r="AC189" s="426"/>
      <c r="AD189" s="426">
        <f t="shared" ref="AD189" si="8">-4924*1.03</f>
        <v>-5071.72</v>
      </c>
      <c r="AE189" s="417">
        <v>0</v>
      </c>
      <c r="AF189" s="417">
        <v>-10000</v>
      </c>
      <c r="AG189" s="417">
        <v>-21000</v>
      </c>
      <c r="AH189" s="417">
        <v>0</v>
      </c>
      <c r="AI189" s="417">
        <v>0</v>
      </c>
      <c r="AJ189" s="317">
        <f>SUM(OPX_LE3!$AC189:$AI189)</f>
        <v>-36071.72</v>
      </c>
      <c r="AK189" s="424">
        <v>0</v>
      </c>
      <c r="AL189" s="276">
        <f>SUM(OPX_LE3!$J189,OPX_LE3!$AB189,OPX_LE3!$S189,OPX_LE3!$AJ189,OPX_LE3!$R189,OPX_LE3!$AK189)</f>
        <v>-819944.72</v>
      </c>
      <c r="AM189" s="427">
        <v>-62000</v>
      </c>
      <c r="AN189" s="427">
        <v>-338000</v>
      </c>
      <c r="AO189" s="6" t="s">
        <v>1537</v>
      </c>
    </row>
    <row r="190" spans="1:41" ht="15">
      <c r="A190" s="325" t="s">
        <v>594</v>
      </c>
      <c r="B190" s="330" t="str">
        <f>VLOOKUP(OPX_LE3!$A190,Tableau106[],3,FALSE)</f>
        <v>A938</v>
      </c>
      <c r="C190" s="330" t="str">
        <f>VLOOKUP(OPX_LE3!$A190,Tableau106[],2,FALSE)</f>
        <v>FR34E81E</v>
      </c>
      <c r="D190" s="330" t="str">
        <f>VLOOKUP(OPX_LE3!$A190,Tableau106[],8,FALSE)</f>
        <v>EOLIEN</v>
      </c>
      <c r="E190" s="331">
        <f>VLOOKUP(OPX_LE3!$A190,Tableau106[],4,FALSE)</f>
        <v>6</v>
      </c>
      <c r="F190" s="330" t="str">
        <f>VLOOKUP(OPX_LE3!$A190,Tableau106[],5,FALSE)</f>
        <v>TRFR</v>
      </c>
      <c r="G190" s="330" t="str">
        <f>VLOOKUP(OPX_LE3!$A190,Tableau106[],7,FALSE)</f>
        <v>FUTUREN</v>
      </c>
      <c r="H190" s="330" t="str">
        <f>VLOOKUP(OPX_LE3!$A190,Tableau106[],6,FALSE)</f>
        <v>S</v>
      </c>
      <c r="I190" s="330" t="str">
        <f>VLOOKUP(OPX_LE3!$A190,Tableau106[],9,FALSE)</f>
        <v>KéD</v>
      </c>
      <c r="J190" s="332">
        <v>-189061</v>
      </c>
      <c r="K190" s="228">
        <v>-45990</v>
      </c>
      <c r="L190" s="228"/>
      <c r="M190" s="229">
        <v>0</v>
      </c>
      <c r="N190" s="229">
        <v>0</v>
      </c>
      <c r="O190" s="229">
        <v>0</v>
      </c>
      <c r="P190" s="229">
        <v>-2100</v>
      </c>
      <c r="Q190" s="229">
        <f>-250*OPX_LE3!$E190</f>
        <v>-1500</v>
      </c>
      <c r="R190" s="311">
        <f>SUM(OPX_LE3!$K190:$Q190)</f>
        <v>-49590</v>
      </c>
      <c r="S190" s="338">
        <v>0</v>
      </c>
      <c r="T190" s="361">
        <v>0</v>
      </c>
      <c r="U190" s="362">
        <v>0</v>
      </c>
      <c r="V190" s="361">
        <f>-(5000)</f>
        <v>-5000</v>
      </c>
      <c r="W190" s="361">
        <v>0</v>
      </c>
      <c r="X190" s="361">
        <v>0</v>
      </c>
      <c r="Y190" s="361">
        <v>0</v>
      </c>
      <c r="Z190" s="264">
        <v>-1500</v>
      </c>
      <c r="AA190" s="423"/>
      <c r="AB190" s="273">
        <f>SUM(OPX_LE3!$T190:$AA190)</f>
        <v>-6500</v>
      </c>
      <c r="AC190" s="231">
        <f>-((6184*3)+1500)</f>
        <v>-20052</v>
      </c>
      <c r="AD190" s="426"/>
      <c r="AE190" s="417">
        <v>-2190</v>
      </c>
      <c r="AF190" s="417"/>
      <c r="AG190" s="417">
        <v>-15160.5</v>
      </c>
      <c r="AH190" s="417">
        <v>0</v>
      </c>
      <c r="AI190" s="417">
        <v>-10390</v>
      </c>
      <c r="AJ190" s="317">
        <f>SUM(OPX_LE3!$AC190:$AI190)</f>
        <v>-47792.5</v>
      </c>
      <c r="AK190" s="429">
        <v>0</v>
      </c>
      <c r="AL190" s="276">
        <f>SUM(OPX_LE3!$J190,OPX_LE3!$AB190,OPX_LE3!$S190,OPX_LE3!$AJ190,OPX_LE3!$R190,OPX_LE3!$AK190)</f>
        <v>-292943.5</v>
      </c>
      <c r="AM190" s="427">
        <v>0</v>
      </c>
      <c r="AN190" s="427">
        <v>0</v>
      </c>
    </row>
    <row r="191" spans="1:41" ht="15">
      <c r="A191" s="325" t="s">
        <v>619</v>
      </c>
      <c r="B191" s="330" t="str">
        <f>VLOOKUP(OPX_LE3!$A191,Tableau106[],3,FALSE)</f>
        <v>A046</v>
      </c>
      <c r="C191" s="330" t="str">
        <f>VLOOKUP(OPX_LE3!$A191,Tableau106[],2,FALSE)</f>
        <v>FR97S75E</v>
      </c>
      <c r="D191" s="330" t="str">
        <f>VLOOKUP(OPX_LE3!$A191,Tableau106[],8,FALSE)</f>
        <v>SOLAIRE DOM</v>
      </c>
      <c r="E191" s="331">
        <f>VLOOKUP(OPX_LE3!$A191,Tableau106[],4,FALSE)</f>
        <v>0.68200000000000005</v>
      </c>
      <c r="F191" s="330" t="str">
        <f>VLOOKUP(OPX_LE3!$A191,Tableau106[],5,FALSE)</f>
        <v>TROI</v>
      </c>
      <c r="G191" s="330" t="str">
        <f>VLOOKUP(OPX_LE3!$A191,Tableau106[],7,FALSE)</f>
        <v>GROUPE</v>
      </c>
      <c r="H191" s="330" t="str">
        <f>VLOOKUP(OPX_LE3!$A191,Tableau106[],6,FALSE)</f>
        <v>DOM</v>
      </c>
      <c r="I191" s="330" t="str">
        <f>VLOOKUP(OPX_LE3!$A191,Tableau106[],9,FALSE)</f>
        <v>DoJ</v>
      </c>
      <c r="J191" s="332">
        <v>0</v>
      </c>
      <c r="K191" s="228">
        <v>0</v>
      </c>
      <c r="L191" s="333"/>
      <c r="M191" s="334">
        <v>0</v>
      </c>
      <c r="N191" s="334">
        <v>0</v>
      </c>
      <c r="O191" s="334">
        <v>0</v>
      </c>
      <c r="P191" s="334">
        <v>-2100</v>
      </c>
      <c r="Q191" s="229">
        <f>-250*OPX_LE3!$E191</f>
        <v>-170.5</v>
      </c>
      <c r="R191" s="311">
        <f>SUM(OPX_LE3!$K191:$Q191)</f>
        <v>-2270.5</v>
      </c>
      <c r="S191" s="338">
        <v>-33543</v>
      </c>
      <c r="T191" s="361">
        <v>-3500</v>
      </c>
      <c r="U191" s="363">
        <v>0</v>
      </c>
      <c r="V191" s="364">
        <v>-7200</v>
      </c>
      <c r="W191" s="361">
        <f>-1900-1200</f>
        <v>-3100</v>
      </c>
      <c r="X191" s="364">
        <v>0</v>
      </c>
      <c r="Y191" s="364">
        <v>0</v>
      </c>
      <c r="Z191" s="264">
        <f>-1600</f>
        <v>-1600</v>
      </c>
      <c r="AA191" s="423">
        <f>-312281*0.002</f>
        <v>-624.56200000000001</v>
      </c>
      <c r="AB191" s="273">
        <f>SUM(OPX_LE3!$T191:$AA191)</f>
        <v>-16024.562</v>
      </c>
      <c r="AC191" s="431">
        <v>0</v>
      </c>
      <c r="AD191" s="426">
        <v>0</v>
      </c>
      <c r="AE191" s="417">
        <v>0</v>
      </c>
      <c r="AF191" s="432">
        <v>0</v>
      </c>
      <c r="AG191" s="432">
        <v>0</v>
      </c>
      <c r="AH191" s="432">
        <v>0</v>
      </c>
      <c r="AI191" s="417">
        <v>0</v>
      </c>
      <c r="AJ191" s="317">
        <f>SUM(OPX_LE3!$AC191:$AI191)</f>
        <v>0</v>
      </c>
      <c r="AK191" s="429">
        <v>0</v>
      </c>
      <c r="AL191" s="276">
        <f>SUM(OPX_LE3!$J191,OPX_LE3!$AB191,OPX_LE3!$S191,OPX_LE3!$AJ191,OPX_LE3!$R191,OPX_LE3!$AK191)</f>
        <v>-51838.061999999998</v>
      </c>
      <c r="AM191" s="427">
        <v>0</v>
      </c>
      <c r="AN191" s="427">
        <v>0</v>
      </c>
    </row>
    <row r="192" spans="1:41" ht="15">
      <c r="A192" s="325" t="s">
        <v>447</v>
      </c>
      <c r="B192" s="330" t="str">
        <f>VLOOKUP(OPX_LE3!$A192,Tableau106[],3,FALSE)</f>
        <v>A898</v>
      </c>
      <c r="C192" s="330" t="str">
        <f>VLOOKUP(OPX_LE3!$A192,Tableau106[],2,FALSE)</f>
        <v>FR55E12E</v>
      </c>
      <c r="D192" s="330" t="str">
        <f>VLOOKUP(OPX_LE3!$A192,Tableau106[],8,FALSE)</f>
        <v>EOLIEN</v>
      </c>
      <c r="E192" s="331">
        <f>VLOOKUP(OPX_LE3!$A192,Tableau106[],4,FALSE)</f>
        <v>24</v>
      </c>
      <c r="F192" s="330" t="str">
        <f>VLOOKUP(OPX_LE3!$A192,Tableau106[],5,FALSE)</f>
        <v>SOUR</v>
      </c>
      <c r="G192" s="330" t="str">
        <f>VLOOKUP(OPX_LE3!$A192,Tableau106[],7,FALSE)</f>
        <v>GROUPE</v>
      </c>
      <c r="H192" s="330" t="str">
        <f>VLOOKUP(OPX_LE3!$A192,Tableau106[],6,FALSE)</f>
        <v>N</v>
      </c>
      <c r="I192" s="330" t="str">
        <f>VLOOKUP(OPX_LE3!$A192,Tableau106[],9,FALSE)</f>
        <v>LoH</v>
      </c>
      <c r="J192" s="332">
        <v>-22614</v>
      </c>
      <c r="K192" s="228">
        <v>-12680</v>
      </c>
      <c r="L192" s="333"/>
      <c r="M192" s="334">
        <v>0</v>
      </c>
      <c r="N192" s="334">
        <v>0</v>
      </c>
      <c r="O192" s="334">
        <v>0</v>
      </c>
      <c r="P192" s="334">
        <f>-440*Tableau16[[#This Row],[MW]]</f>
        <v>-10560</v>
      </c>
      <c r="Q192" s="229">
        <f>-250*OPX_LE3!$E192</f>
        <v>-6000</v>
      </c>
      <c r="R192" s="311">
        <f>SUM(OPX_LE3!$K192:$Q192)</f>
        <v>-29240</v>
      </c>
      <c r="S192" s="338">
        <v>-543600</v>
      </c>
      <c r="T192" s="361">
        <v>-25000</v>
      </c>
      <c r="U192" s="363">
        <v>0</v>
      </c>
      <c r="V192" s="364">
        <v>-63000</v>
      </c>
      <c r="W192" s="364">
        <v>-5400</v>
      </c>
      <c r="X192" s="364">
        <v>0</v>
      </c>
      <c r="Y192" s="364">
        <v>-4500</v>
      </c>
      <c r="Z192" s="340">
        <v>-6000</v>
      </c>
      <c r="AA192" s="423"/>
      <c r="AB192" s="273">
        <f>SUM(OPX_LE3!$T192:$AA192)</f>
        <v>-103900</v>
      </c>
      <c r="AC192" s="431">
        <f t="shared" si="7"/>
        <v>-11500</v>
      </c>
      <c r="AD192" s="431"/>
      <c r="AE192" s="417">
        <v>0</v>
      </c>
      <c r="AF192" s="432">
        <v>0</v>
      </c>
      <c r="AG192" s="432">
        <v>0</v>
      </c>
      <c r="AH192" s="432">
        <v>0</v>
      </c>
      <c r="AI192" s="417">
        <v>0</v>
      </c>
      <c r="AJ192" s="317">
        <f>SUM(OPX_LE3!$AC192:$AI192)</f>
        <v>-11500</v>
      </c>
      <c r="AK192" s="429">
        <v>-2000</v>
      </c>
      <c r="AL192" s="276">
        <f>SUM(OPX_LE3!$J192,OPX_LE3!$AB192,OPX_LE3!$S192,OPX_LE3!$AJ192,OPX_LE3!$R192,OPX_LE3!$AK192)</f>
        <v>-712854</v>
      </c>
      <c r="AM192" s="427">
        <v>-18907</v>
      </c>
      <c r="AN192" s="427">
        <v>0</v>
      </c>
    </row>
    <row r="193" spans="1:41" ht="15">
      <c r="A193" s="325" t="s">
        <v>474</v>
      </c>
      <c r="B193" s="330" t="str">
        <f>VLOOKUP(OPX_LE3!$A193,Tableau106[],3,FALSE)</f>
        <v>A530</v>
      </c>
      <c r="C193" s="330" t="str">
        <f>VLOOKUP(OPX_LE3!$A193,Tableau106[],2,FALSE)</f>
        <v>FR51E02E</v>
      </c>
      <c r="D193" s="330" t="str">
        <f>VLOOKUP(OPX_LE3!$A193,Tableau106[],8,FALSE)</f>
        <v>EOLIEN</v>
      </c>
      <c r="E193" s="331">
        <f>VLOOKUP(OPX_LE3!$A193,Tableau106[],4,FALSE)</f>
        <v>8.5</v>
      </c>
      <c r="F193" s="330" t="str">
        <f>VLOOKUP(OPX_LE3!$A193,Tableau106[],5,FALSE)</f>
        <v>VANA</v>
      </c>
      <c r="G193" s="330" t="str">
        <f>VLOOKUP(OPX_LE3!$A193,Tableau106[],7,FALSE)</f>
        <v>GROUPE</v>
      </c>
      <c r="H193" s="330" t="str">
        <f>VLOOKUP(OPX_LE3!$A193,Tableau106[],6,FALSE)</f>
        <v>N</v>
      </c>
      <c r="I193" s="330" t="str">
        <f>VLOOKUP(OPX_LE3!$A193,Tableau106[],9,FALSE)</f>
        <v>BaB</v>
      </c>
      <c r="J193" s="332">
        <v>-9553</v>
      </c>
      <c r="K193" s="228">
        <v>-14150</v>
      </c>
      <c r="L193" s="333"/>
      <c r="M193" s="334">
        <v>0</v>
      </c>
      <c r="N193" s="334">
        <v>-5000</v>
      </c>
      <c r="O193" s="334">
        <v>0</v>
      </c>
      <c r="P193" s="334">
        <v>0</v>
      </c>
      <c r="Q193" s="229">
        <f>-250*OPX_LE3!$E193</f>
        <v>-2125</v>
      </c>
      <c r="R193" s="311">
        <f>SUM(OPX_LE3!$K193:$Q193)</f>
        <v>-21275</v>
      </c>
      <c r="S193" s="338">
        <v>-339217</v>
      </c>
      <c r="T193" s="361">
        <v>-5000</v>
      </c>
      <c r="U193" s="363">
        <v>0</v>
      </c>
      <c r="V193" s="364">
        <v>-6000</v>
      </c>
      <c r="W193" s="364">
        <v>-5400</v>
      </c>
      <c r="X193" s="364">
        <v>0</v>
      </c>
      <c r="Y193" s="364">
        <v>0</v>
      </c>
      <c r="Z193" s="340">
        <v>-2125</v>
      </c>
      <c r="AA193" s="423"/>
      <c r="AB193" s="273">
        <f>SUM(OPX_LE3!$T193:$AA193)</f>
        <v>-18525</v>
      </c>
      <c r="AC193" s="431"/>
      <c r="AD193" s="431"/>
      <c r="AE193" s="417">
        <v>0</v>
      </c>
      <c r="AF193" s="432">
        <v>0</v>
      </c>
      <c r="AG193" s="432">
        <v>0</v>
      </c>
      <c r="AH193" s="432">
        <v>0</v>
      </c>
      <c r="AI193" s="417">
        <v>0</v>
      </c>
      <c r="AJ193" s="317">
        <f>SUM(OPX_LE3!$AC193:$AI193)</f>
        <v>0</v>
      </c>
      <c r="AK193" s="429">
        <v>0</v>
      </c>
      <c r="AL193" s="276">
        <f>SUM(OPX_LE3!$J193,OPX_LE3!$AB193,OPX_LE3!$S193,OPX_LE3!$AJ193,OPX_LE3!$R193,OPX_LE3!$AK193)</f>
        <v>-388570</v>
      </c>
      <c r="AM193" s="427">
        <v>0</v>
      </c>
      <c r="AN193" s="427">
        <v>0</v>
      </c>
    </row>
    <row r="194" spans="1:41" ht="15">
      <c r="A194" s="325" t="s">
        <v>441</v>
      </c>
      <c r="B194" s="330" t="str">
        <f>VLOOKUP(OPX_LE3!$A194,Tableau106[],3,FALSE)</f>
        <v>F244</v>
      </c>
      <c r="C194" s="330" t="str">
        <f>VLOOKUP(OPX_LE3!$A194,Tableau106[],2,FALSE)</f>
        <v>FR17E08E</v>
      </c>
      <c r="D194" s="330" t="str">
        <f>VLOOKUP(OPX_LE3!$A194,Tableau106[],8,FALSE)</f>
        <v>EOLIEN</v>
      </c>
      <c r="E194" s="331">
        <f>VLOOKUP(OPX_LE3!$A194,Tableau106[],4,FALSE)</f>
        <v>8.8000000000000007</v>
      </c>
      <c r="F194" s="330" t="str">
        <f>VLOOKUP(OPX_LE3!$A194,Tableau106[],5,FALSE)</f>
        <v>VARA</v>
      </c>
      <c r="G194" s="330" t="str">
        <f>VLOOKUP(OPX_LE3!$A194,Tableau106[],7,FALSE)</f>
        <v>FUTUREN</v>
      </c>
      <c r="H194" s="330" t="s">
        <v>871</v>
      </c>
      <c r="I194" s="330" t="str">
        <f>VLOOKUP(OPX_LE3!$A194,Tableau106[],9,FALSE)</f>
        <v>PiM</v>
      </c>
      <c r="J194" s="332">
        <v>0</v>
      </c>
      <c r="K194" s="228">
        <v>0</v>
      </c>
      <c r="L194" s="333"/>
      <c r="M194" s="334">
        <v>0</v>
      </c>
      <c r="N194" s="334">
        <v>-35625</v>
      </c>
      <c r="O194" s="334">
        <v>0</v>
      </c>
      <c r="P194" s="334">
        <v>-3900</v>
      </c>
      <c r="Q194" s="229">
        <f>-250*OPX_LE3!$E194</f>
        <v>-2200</v>
      </c>
      <c r="R194" s="311">
        <f>SUM(OPX_LE3!$K194:$Q194)</f>
        <v>-41725</v>
      </c>
      <c r="S194" s="338">
        <v>-149735</v>
      </c>
      <c r="T194" s="361">
        <f>-3000</f>
        <v>-3000</v>
      </c>
      <c r="U194" s="363">
        <v>0</v>
      </c>
      <c r="V194" s="364">
        <v>-3000</v>
      </c>
      <c r="W194" s="364">
        <f>-2250-1310</f>
        <v>-3560</v>
      </c>
      <c r="X194" s="364">
        <v>0</v>
      </c>
      <c r="Y194" s="364">
        <v>0</v>
      </c>
      <c r="Z194" s="340">
        <f>-250*Tableau16[[#This Row],[MW]]-1485.6-1000-3200-1600-1600</f>
        <v>-11085.6</v>
      </c>
      <c r="AA194" s="423"/>
      <c r="AB194" s="273">
        <f>SUM(OPX_LE3!$T194:$AA194)</f>
        <v>-20645.599999999999</v>
      </c>
      <c r="AC194" s="431"/>
      <c r="AD194" s="431"/>
      <c r="AE194" s="417">
        <v>-5300</v>
      </c>
      <c r="AF194" s="432">
        <f>-8900-10400</f>
        <v>-19300</v>
      </c>
      <c r="AG194" s="432">
        <f>-22834</f>
        <v>-22834</v>
      </c>
      <c r="AH194" s="432">
        <v>0</v>
      </c>
      <c r="AI194" s="417">
        <v>-10000</v>
      </c>
      <c r="AJ194" s="317">
        <f>SUM(OPX_LE3!$AC194:$AI194)</f>
        <v>-57434</v>
      </c>
      <c r="AK194" s="436">
        <v>-3350</v>
      </c>
      <c r="AL194" s="276">
        <f>SUM(OPX_LE3!$J194,OPX_LE3!$AB194,OPX_LE3!$S194,OPX_LE3!$AJ194,OPX_LE3!$R194,OPX_LE3!$AK194)</f>
        <v>-272889.59999999998</v>
      </c>
      <c r="AM194" s="427">
        <v>0</v>
      </c>
      <c r="AN194" s="427">
        <v>0</v>
      </c>
    </row>
    <row r="195" spans="1:41" ht="15">
      <c r="A195" s="325" t="s">
        <v>643</v>
      </c>
      <c r="B195" s="330" t="str">
        <f>VLOOKUP(OPX_LE3!$A195,Tableau106[],3,FALSE)</f>
        <v>A310</v>
      </c>
      <c r="C195" s="330" t="str">
        <f>VLOOKUP(OPX_LE3!$A195,Tableau106[],2,FALSE)</f>
        <v>FR45S04E</v>
      </c>
      <c r="D195" s="330" t="str">
        <f>VLOOKUP(OPX_LE3!$A195,Tableau106[],8,FALSE)</f>
        <v>SOLAIRE</v>
      </c>
      <c r="E195" s="331">
        <f>VLOOKUP(OPX_LE3!$A195,Tableau106[],4,FALSE)</f>
        <v>5</v>
      </c>
      <c r="F195" s="330" t="str">
        <f>VLOOKUP(OPX_LE3!$A195,Tableau106[],5,FALSE)</f>
        <v>VACH</v>
      </c>
      <c r="G195" s="330" t="str">
        <f>VLOOKUP(OPX_LE3!$A195,Tableau106[],7,FALSE)</f>
        <v>GROUPE</v>
      </c>
      <c r="H195" s="330" t="str">
        <f>VLOOKUP(OPX_LE3!$A195,Tableau106[],6,FALSE)</f>
        <v>N</v>
      </c>
      <c r="I195" s="330" t="str">
        <f>VLOOKUP(OPX_LE3!$A195,Tableau106[],9,FALSE)</f>
        <v>LoG</v>
      </c>
      <c r="J195" s="332">
        <v>-7000</v>
      </c>
      <c r="K195" s="228">
        <v>-1000</v>
      </c>
      <c r="L195" s="333"/>
      <c r="M195" s="334">
        <v>0</v>
      </c>
      <c r="N195" s="334">
        <v>0</v>
      </c>
      <c r="O195" s="334">
        <v>0</v>
      </c>
      <c r="P195" s="334">
        <v>0</v>
      </c>
      <c r="Q195" s="229">
        <f>-250*OPX_LE3!$E195-4000</f>
        <v>-5250</v>
      </c>
      <c r="R195" s="311">
        <f>SUM(OPX_LE3!$K195:$Q195)</f>
        <v>-6250</v>
      </c>
      <c r="S195" s="338"/>
      <c r="T195" s="361"/>
      <c r="U195" s="363"/>
      <c r="V195" s="364"/>
      <c r="W195" s="364"/>
      <c r="X195" s="364"/>
      <c r="Y195" s="364"/>
      <c r="Z195" s="340"/>
      <c r="AA195" s="423"/>
      <c r="AB195" s="273">
        <f>SUM(OPX_LE3!$T195:$AA195)</f>
        <v>0</v>
      </c>
      <c r="AC195" s="431"/>
      <c r="AD195" s="426">
        <v>0</v>
      </c>
      <c r="AE195" s="417">
        <f>-Tableau16[[#This Row],[Prestations pour les suivis Chiroptères]]</f>
        <v>0</v>
      </c>
      <c r="AF195" s="417">
        <f>-Tableau16[[#This Row],[Prestations pour les suivis mortalités]]</f>
        <v>0</v>
      </c>
      <c r="AG195" s="417">
        <f>-Tableau16[[#This Row],[Autres suivis /Etudes (+ dédiée PV)]]</f>
        <v>0</v>
      </c>
      <c r="AH195" s="432">
        <v>0</v>
      </c>
      <c r="AI195" s="432">
        <v>0</v>
      </c>
      <c r="AJ195" s="317">
        <f>SUM(OPX_LE3!$AC195:$AI195)</f>
        <v>0</v>
      </c>
      <c r="AK195" s="429">
        <v>0</v>
      </c>
      <c r="AL195" s="276">
        <f>SUM(OPX_LE3!$J195,OPX_LE3!$AB195,OPX_LE3!$S195,OPX_LE3!$AJ195,OPX_LE3!$R195,OPX_LE3!$AK195)</f>
        <v>-13250</v>
      </c>
      <c r="AM195" s="427">
        <v>0</v>
      </c>
      <c r="AN195" s="427">
        <v>0</v>
      </c>
    </row>
    <row r="196" spans="1:41" ht="15">
      <c r="A196" s="325" t="s">
        <v>585</v>
      </c>
      <c r="B196" s="330" t="str">
        <f>VLOOKUP(OPX_LE3!$A196,Tableau106[],3,FALSE)</f>
        <v>A104</v>
      </c>
      <c r="C196" s="330" t="str">
        <f>VLOOKUP(OPX_LE3!$A196,Tableau106[],2,FALSE)</f>
        <v>FR76E98E</v>
      </c>
      <c r="D196" s="330" t="str">
        <f>VLOOKUP(OPX_LE3!$A196,Tableau106[],8,FALSE)</f>
        <v>EOLIEN</v>
      </c>
      <c r="E196" s="331">
        <f>VLOOKUP(OPX_LE3!$A196,Tableau106[],4,FALSE)</f>
        <v>8</v>
      </c>
      <c r="F196" s="330" t="str">
        <f>VLOOKUP(OPX_LE3!$A196,Tableau106[],5,FALSE)</f>
        <v>VEUL</v>
      </c>
      <c r="G196" s="330" t="str">
        <f>VLOOKUP(OPX_LE3!$A196,Tableau106[],7,FALSE)</f>
        <v>GROUPE</v>
      </c>
      <c r="H196" s="330" t="str">
        <f>VLOOKUP(OPX_LE3!$A196,Tableau106[],6,FALSE)</f>
        <v>N</v>
      </c>
      <c r="I196" s="330" t="str">
        <f>VLOOKUP(OPX_LE3!$A196,Tableau106[],9,FALSE)</f>
        <v>AnN</v>
      </c>
      <c r="J196" s="332">
        <v>-9803</v>
      </c>
      <c r="K196" s="228">
        <v>-5700</v>
      </c>
      <c r="L196" s="333"/>
      <c r="M196" s="334">
        <v>0</v>
      </c>
      <c r="N196" s="334">
        <v>0</v>
      </c>
      <c r="O196" s="334">
        <v>0</v>
      </c>
      <c r="P196" s="334"/>
      <c r="Q196" s="229">
        <f>-250*OPX_LE3!$E196</f>
        <v>-2000</v>
      </c>
      <c r="R196" s="311">
        <f>SUM(OPX_LE3!$K196:$Q196)</f>
        <v>-7700</v>
      </c>
      <c r="S196" s="338">
        <v>-140000</v>
      </c>
      <c r="T196" s="361">
        <v>-1870</v>
      </c>
      <c r="U196" s="363">
        <v>0</v>
      </c>
      <c r="V196" s="364">
        <v>-2600</v>
      </c>
      <c r="W196" s="364">
        <v>-2080</v>
      </c>
      <c r="X196" s="364">
        <v>0</v>
      </c>
      <c r="Y196" s="364">
        <v>-8000</v>
      </c>
      <c r="Z196" s="340">
        <f>-5820-2000</f>
        <v>-7820</v>
      </c>
      <c r="AA196" s="423"/>
      <c r="AB196" s="273">
        <f>SUM(OPX_LE3!$T196:$AA196)</f>
        <v>-22370</v>
      </c>
      <c r="AC196" s="431">
        <v>0</v>
      </c>
      <c r="AD196" s="431"/>
      <c r="AE196" s="417">
        <v>0</v>
      </c>
      <c r="AF196" s="417">
        <v>0</v>
      </c>
      <c r="AG196" s="417">
        <v>0</v>
      </c>
      <c r="AH196" s="432">
        <v>0</v>
      </c>
      <c r="AI196" s="417">
        <v>0</v>
      </c>
      <c r="AJ196" s="317">
        <f>SUM(OPX_LE3!$AC196:$AI196)</f>
        <v>0</v>
      </c>
      <c r="AK196" s="429">
        <v>0</v>
      </c>
      <c r="AL196" s="276">
        <f>SUM(OPX_LE3!$J196,OPX_LE3!$AB196,OPX_LE3!$S196,OPX_LE3!$AJ196,OPX_LE3!$R196,OPX_LE3!$AK196)</f>
        <v>-179873</v>
      </c>
      <c r="AM196" s="427">
        <v>0</v>
      </c>
      <c r="AN196" s="427">
        <v>0</v>
      </c>
    </row>
    <row r="197" spans="1:41" ht="15">
      <c r="A197" s="325" t="s">
        <v>488</v>
      </c>
      <c r="B197" s="330" t="str">
        <f>VLOOKUP(OPX_LE3!$A197,Tableau106[],3,FALSE)</f>
        <v>A540</v>
      </c>
      <c r="C197" s="330" t="str">
        <f>VLOOKUP(OPX_LE3!$A197,Tableau106[],2,FALSE)</f>
        <v>FR02E06E</v>
      </c>
      <c r="D197" s="330" t="str">
        <f>VLOOKUP(OPX_LE3!$A197,Tableau106[],8,FALSE)</f>
        <v>EOLIEN</v>
      </c>
      <c r="E197" s="331">
        <f>VLOOKUP(OPX_LE3!$A197,Tableau106[],4,FALSE)</f>
        <v>6</v>
      </c>
      <c r="F197" s="330" t="str">
        <f>VLOOKUP(OPX_LE3!$A197,Tableau106[],5,FALSE)</f>
        <v>VISE</v>
      </c>
      <c r="G197" s="330" t="str">
        <f>VLOOKUP(OPX_LE3!$A197,Tableau106[],7,FALSE)</f>
        <v>EGM</v>
      </c>
      <c r="H197" s="330" t="str">
        <f>VLOOKUP(OPX_LE3!$A197,Tableau106[],6,FALSE)</f>
        <v>N</v>
      </c>
      <c r="I197" s="330" t="str">
        <f>VLOOKUP(OPX_LE3!$A197,Tableau106[],9,FALSE)</f>
        <v>NoS</v>
      </c>
      <c r="J197" s="332">
        <v>-154874</v>
      </c>
      <c r="K197" s="228">
        <v>-88000</v>
      </c>
      <c r="L197" s="333"/>
      <c r="M197" s="334">
        <v>0</v>
      </c>
      <c r="N197" s="334">
        <v>0</v>
      </c>
      <c r="O197" s="334">
        <v>0</v>
      </c>
      <c r="P197" s="334">
        <v>-2800</v>
      </c>
      <c r="Q197" s="229">
        <f>-250*OPX_LE3!$E197</f>
        <v>-1500</v>
      </c>
      <c r="R197" s="311">
        <f>SUM(OPX_LE3!$K197:$Q197)</f>
        <v>-92300</v>
      </c>
      <c r="S197" s="338">
        <v>0</v>
      </c>
      <c r="T197" s="361">
        <v>-5000</v>
      </c>
      <c r="U197" s="363">
        <v>0</v>
      </c>
      <c r="V197" s="364">
        <v>-2600</v>
      </c>
      <c r="W197" s="364">
        <v>0</v>
      </c>
      <c r="X197" s="364">
        <v>0</v>
      </c>
      <c r="Y197" s="364">
        <v>0</v>
      </c>
      <c r="Z197" s="340">
        <f>-1500-2730</f>
        <v>-4230</v>
      </c>
      <c r="AA197" s="423"/>
      <c r="AB197" s="273">
        <f>SUM(OPX_LE3!$T197:$AA197)</f>
        <v>-11830</v>
      </c>
      <c r="AC197" s="431"/>
      <c r="AD197" s="431"/>
      <c r="AE197" s="417">
        <v>0</v>
      </c>
      <c r="AF197" s="432">
        <v>0</v>
      </c>
      <c r="AG197" s="432">
        <v>0</v>
      </c>
      <c r="AH197" s="432">
        <v>0</v>
      </c>
      <c r="AI197" s="417">
        <v>0</v>
      </c>
      <c r="AJ197" s="317">
        <f>SUM(OPX_LE3!$AC197:$AI197)</f>
        <v>0</v>
      </c>
      <c r="AK197" s="429">
        <v>0</v>
      </c>
      <c r="AL197" s="276">
        <f>SUM(OPX_LE3!$J197,OPX_LE3!$AB197,OPX_LE3!$S197,OPX_LE3!$AJ197,OPX_LE3!$R197,OPX_LE3!$AK197)</f>
        <v>-259004</v>
      </c>
      <c r="AM197" s="427">
        <v>0</v>
      </c>
      <c r="AN197" s="427">
        <v>-38000</v>
      </c>
      <c r="AO197" s="6" t="s">
        <v>1544</v>
      </c>
    </row>
    <row r="198" spans="1:41" ht="15">
      <c r="A198" s="325" t="s">
        <v>596</v>
      </c>
      <c r="B198" s="330" t="str">
        <f>VLOOKUP(OPX_LE3!$A198,Tableau106[],3,FALSE)</f>
        <v>A056</v>
      </c>
      <c r="C198" s="330" t="str">
        <f>VLOOKUP(OPX_LE3!$A198,Tableau106[],2,FALSE)</f>
        <v>FR11E91E</v>
      </c>
      <c r="D198" s="330" t="str">
        <f>VLOOKUP(OPX_LE3!$A198,Tableau106[],8,FALSE)</f>
        <v>EOLIEN</v>
      </c>
      <c r="E198" s="331">
        <v>50.6</v>
      </c>
      <c r="F198" s="330" t="str">
        <f>VLOOKUP(OPX_LE3!$A198,Tableau106[],5,FALSE)</f>
        <v>VLSQ</v>
      </c>
      <c r="G198" s="330" t="str">
        <f>VLOOKUP(OPX_LE3!$A198,Tableau106[],7,FALSE)</f>
        <v>GROUPE</v>
      </c>
      <c r="H198" s="330" t="str">
        <f>VLOOKUP(OPX_LE3!$A198,Tableau106[],6,FALSE)</f>
        <v>S</v>
      </c>
      <c r="I198" s="330" t="str">
        <f>VLOOKUP(OPX_LE3!$A198,Tableau106[],9,FALSE)</f>
        <v>ThC</v>
      </c>
      <c r="J198" s="332">
        <v>-97613</v>
      </c>
      <c r="K198" s="228">
        <v>-25770</v>
      </c>
      <c r="L198" s="333"/>
      <c r="M198" s="334">
        <v>0</v>
      </c>
      <c r="N198" s="334">
        <v>0</v>
      </c>
      <c r="O198" s="334">
        <v>0</v>
      </c>
      <c r="P198" s="334">
        <v>-22500</v>
      </c>
      <c r="Q198" s="229">
        <f>-250*OPX_LE3!$E198-24000</f>
        <v>-36650</v>
      </c>
      <c r="R198" s="311">
        <f>SUM(OPX_LE3!$K198:$Q198)</f>
        <v>-84920</v>
      </c>
      <c r="S198" s="338">
        <v>-1685600</v>
      </c>
      <c r="T198" s="361">
        <v>-5000</v>
      </c>
      <c r="U198" s="363">
        <v>0</v>
      </c>
      <c r="V198" s="364">
        <v>-20000</v>
      </c>
      <c r="W198" s="364">
        <v>0</v>
      </c>
      <c r="X198" s="364">
        <v>0</v>
      </c>
      <c r="Y198" s="361">
        <v>-5000</v>
      </c>
      <c r="Z198" s="340">
        <f>-3450-3000</f>
        <v>-6450</v>
      </c>
      <c r="AA198" s="423">
        <v>-8000</v>
      </c>
      <c r="AB198" s="273">
        <f>SUM(OPX_LE3!$T198:$AA198)</f>
        <v>-44450</v>
      </c>
      <c r="AC198" s="431"/>
      <c r="AD198" s="431"/>
      <c r="AE198" s="417">
        <v>0</v>
      </c>
      <c r="AF198" s="432">
        <v>0</v>
      </c>
      <c r="AG198" s="432">
        <v>-88575</v>
      </c>
      <c r="AH198" s="432">
        <f>-532-31143.75</f>
        <v>-31675.75</v>
      </c>
      <c r="AI198" s="417">
        <v>0</v>
      </c>
      <c r="AJ198" s="317">
        <f>SUM(OPX_LE3!$AC198:$AI198)</f>
        <v>-120250.75</v>
      </c>
      <c r="AK198" s="429">
        <v>0</v>
      </c>
      <c r="AL198" s="276">
        <f>SUM(OPX_LE3!$J198,OPX_LE3!$AB198,OPX_LE3!$S198,OPX_LE3!$AJ198,OPX_LE3!$R198,OPX_LE3!$AK198)</f>
        <v>-2032833.75</v>
      </c>
      <c r="AM198" s="427">
        <v>0</v>
      </c>
      <c r="AN198" s="427">
        <v>0</v>
      </c>
    </row>
    <row r="199" spans="1:41" ht="15.75" thickBot="1">
      <c r="A199" s="325" t="s">
        <v>1484</v>
      </c>
      <c r="B199" s="475" t="str">
        <f>VLOOKUP(OPX_LE3!$A199,Tableau106[],3,FALSE)</f>
        <v>A282</v>
      </c>
      <c r="C199" s="475" t="str">
        <f>VLOOKUP(OPX_LE3!$A199,Tableau106[],2,FALSE)</f>
        <v>FR66K02E</v>
      </c>
      <c r="D199" s="475" t="str">
        <f>VLOOKUP(OPX_LE3!$A199,Tableau106[],8,FALSE)</f>
        <v>BATTERIE</v>
      </c>
      <c r="E199" s="476">
        <f>VLOOKUP(OPX_LE3!$A199,Tableau106[],4,FALSE)</f>
        <v>20.6</v>
      </c>
      <c r="F199" s="475" t="str">
        <f>VLOOKUP(OPX_LE3!$A199,Tableau106[],5,FALSE)</f>
        <v>SECB</v>
      </c>
      <c r="G199" s="475" t="str">
        <f>VLOOKUP(OPX_LE3!$A199,Tableau106[],7,FALSE)</f>
        <v>GROUPE</v>
      </c>
      <c r="H199" s="475" t="str">
        <f>VLOOKUP(OPX_LE3!$A199,Tableau106[],6,FALSE)</f>
        <v>S</v>
      </c>
      <c r="I199" s="475" t="str">
        <f>VLOOKUP(OPX_LE3!$A199,Tableau106[],9,FALSE)</f>
        <v>PiM</v>
      </c>
      <c r="J199" s="360">
        <v>-47000</v>
      </c>
      <c r="K199" s="333"/>
      <c r="L199" s="333"/>
      <c r="M199" s="334"/>
      <c r="N199" s="334"/>
      <c r="O199" s="334"/>
      <c r="P199" s="334"/>
      <c r="Q199" s="229"/>
      <c r="R199" s="477">
        <f>SUM(OPX_LE3!$K199:$Q199)</f>
        <v>0</v>
      </c>
      <c r="S199" s="478">
        <v>-29000</v>
      </c>
      <c r="T199" s="364"/>
      <c r="U199" s="363"/>
      <c r="V199" s="364">
        <v>-1000</v>
      </c>
      <c r="W199" s="364"/>
      <c r="X199" s="364"/>
      <c r="Y199" s="364"/>
      <c r="Z199" s="340">
        <v>-20000</v>
      </c>
      <c r="AA199" s="445"/>
      <c r="AB199" s="446">
        <f>SUM(OPX_LE3!$T199:$AA199)</f>
        <v>-21000</v>
      </c>
      <c r="AC199" s="431"/>
      <c r="AD199" s="431"/>
      <c r="AE199" s="432"/>
      <c r="AF199" s="432"/>
      <c r="AG199" s="432"/>
      <c r="AH199" s="432"/>
      <c r="AI199" s="432"/>
      <c r="AJ199" s="479">
        <f>SUM(OPX_LE3!$AC199:$AI199)</f>
        <v>0</v>
      </c>
      <c r="AK199" s="480"/>
      <c r="AL199" s="449">
        <f>SUM(OPX_LE3!$J199,OPX_LE3!$AB199,OPX_LE3!$S199,OPX_LE3!$AJ199,OPX_LE3!$R199,OPX_LE3!$AK199)</f>
        <v>-97000</v>
      </c>
      <c r="AM199" s="427">
        <v>0</v>
      </c>
      <c r="AN199" s="427">
        <v>0</v>
      </c>
    </row>
    <row r="200" spans="1:41" ht="32.25" customHeight="1" thickTop="1">
      <c r="A200" s="255">
        <f>SUBTOTAL(103,Tableau16[OPEX VARIABLES en €
BN 2023])</f>
        <v>194</v>
      </c>
      <c r="B200" s="235"/>
      <c r="C200" s="236"/>
      <c r="D200" s="236"/>
      <c r="E200" s="235"/>
      <c r="F200" s="236"/>
      <c r="G200" s="236"/>
      <c r="H200" s="235"/>
      <c r="I200" s="318"/>
      <c r="J200" s="237">
        <f>SUBTOTAL(109,Tableau16[Contrat Groupe EDF Re : (WTG + PDL)])</f>
        <v>-26940769.465216998</v>
      </c>
      <c r="K200" s="335">
        <f>SUBTOTAL(109,Tableau16[Tâches réalisées par EDF RS en sus du contrat  + DI])</f>
        <v>-8867605</v>
      </c>
      <c r="L200" s="335">
        <f>SUBTOTAL(109,Tableau16[Préstations effectuées dans le cadre de MCR (GBX, génératrice, composant HTA…) par EDF RS
PV : Sinistre])</f>
        <v>0</v>
      </c>
      <c r="M200" s="307">
        <f>SUBTOTAL(109,Tableau16[Entretien du BoP (pistes, végétation, plateformes, nettoyage panneaux…) ou travaux sur le BOP])</f>
        <v>-28100</v>
      </c>
      <c r="N200" s="307">
        <f>SUBTOTAL(109,Tableau16[Préstations pour des inpsections sur les pales, fin de vie, fin de garantie.. en sus du contrat réalisé en interne])</f>
        <v>-132135.41</v>
      </c>
      <c r="O200" s="307">
        <f>SUBTOTAL(109,Tableau16[Préstations sur les MdM et équipements météo (entretien, maintenance corrective…)])</f>
        <v>-51482</v>
      </c>
      <c r="P200" s="307">
        <f>SUBTOTAL(109,Tableau16[Préstations sur les outils Télésurveillance / SCADA / Telecom, les abonnements RDL / Internet / Genesys / Wonder…])</f>
        <v>-676507.4</v>
      </c>
      <c r="Q200" s="307">
        <f>SUBTOTAL(109,Tableau16[Prestations diverses  &amp; accompagnements interne (1,6 k€ par jour d''acc)])</f>
        <v>-838499.57000000007</v>
      </c>
      <c r="R200" s="308">
        <f>SUBTOTAL(109,Tableau16[TOTAL CORRECTIF 0&amp;M GROUPE])</f>
        <v>-10594329.379999999</v>
      </c>
      <c r="S200" s="237">
        <f>SUBTOTAL(109,Tableau16[Contrats (WTG + PDL) hors EDF RS])</f>
        <v>-27507365.701733336</v>
      </c>
      <c r="T200" s="309">
        <f>SUBTOTAL(109,Tableau16[Tâches réalisées en sus du contrat])</f>
        <v>-629752.0534482759</v>
      </c>
      <c r="U200" s="309">
        <f>SUBTOTAL(109,Tableau16[Préstations effectuées dans le cadre de MCR (GBX, génératrice, composant HTA…) par EDF RS
PV : Sinistre2])</f>
        <v>-1208464</v>
      </c>
      <c r="V200" s="309">
        <f>SUBTOTAL(109,Tableau16[Entretien du BoP (pistes, végétation, plateformes, nettoyage panneaux…) ou travaux sur le BOP3])</f>
        <v>-1839127.9</v>
      </c>
      <c r="W200" s="309">
        <f>SUBTOTAL(109,Tableau16[Prestations pour des inpsections sur les pales, Fin de vie, Fin de garantie.. En sus du contrat ])</f>
        <v>-382196.6</v>
      </c>
      <c r="X200" s="309">
        <f>SUBTOTAL(109,Tableau16[Préstations sur les MdM et équipements météo (entretien, maintenance corrective…)4])</f>
        <v>-234000</v>
      </c>
      <c r="Y200" s="309">
        <f>SUBTOTAL(109,Tableau16[Préstations sur les outils Télésurveillance / SCADA / Telecom, les abonnements RDL / Internet / Genesys / Wonder…5])</f>
        <v>-135427.31450000001</v>
      </c>
      <c r="Z200" s="309">
        <f>SUBTOTAL(109,Tableau16[Prestations diverses  &amp; accompagnements (1,6 k€ par jour d''acc)])</f>
        <v>-1158108.3500000001</v>
      </c>
      <c r="AA200" s="309">
        <f>SUBTOTAL(109,Tableau16[[Prestations locale pour ancrage territorial ]])</f>
        <v>-602042.88271701895</v>
      </c>
      <c r="AB200" s="309">
        <f>SUBTOTAL(109,Tableau16[TOTAL CORRECTIF O&amp;M HORS GROUPE])</f>
        <v>-6189869.1006652955</v>
      </c>
      <c r="AC200" s="312">
        <f>SUBTOTAL(109,Tableau16[SDA (loc nacelle, contrat O&amp;M, dépannage)])</f>
        <v>-629164.88</v>
      </c>
      <c r="AD200" s="312">
        <f>SUBTOTAL(109,Tableau16[Location des containers, prestations de mise en place…])</f>
        <v>-81928.08</v>
      </c>
      <c r="AE200" s="312">
        <f>SUBTOTAL(109,Tableau16[Prestations pour les suivis avifaune (hors morta)])</f>
        <v>-410819.3</v>
      </c>
      <c r="AF200" s="312">
        <f>SUBTOTAL(109,Tableau16[Prestations pour les suivis Chiroptères])</f>
        <v>-338933.33</v>
      </c>
      <c r="AG200" s="312">
        <f>SUBTOTAL(109,Tableau16[Prestations pour les suivis mortalités])</f>
        <v>-1260304.0699999998</v>
      </c>
      <c r="AH200" s="312">
        <f>SUBTOTAL(109,Tableau16[Autres suivis /Etudes (+ dédiée PV)])</f>
        <v>-194564.22999999998</v>
      </c>
      <c r="AI200" s="312">
        <f>SUBTOTAL(109,Tableau16[(mesures compensatoires du PC ou autres)])</f>
        <v>-380045.45000000007</v>
      </c>
      <c r="AJ200" s="313">
        <f>SUBTOTAL(109,Tableau16[TOTAL ENVIRO])</f>
        <v>-3295759.3400000012</v>
      </c>
      <c r="AK200" s="314">
        <f>SUBTOTAL(109,Tableau16[Bonus, dédommagement sinistre])</f>
        <v>-875299.68</v>
      </c>
      <c r="AL200" s="315" t="e">
        <f>SUBTOTAL(109,Tableau16[GRAND TOTAL])</f>
        <v>#REF!</v>
      </c>
      <c r="AM200" s="357">
        <f>SUBTOTAL(109,Tableau16[CAPEX])</f>
        <v>-2975187.84</v>
      </c>
      <c r="AN200" s="357">
        <f>SUBTOTAL(109,AN6:AN199)</f>
        <v>-4600000</v>
      </c>
      <c r="AO200"/>
    </row>
    <row r="201" spans="1:41">
      <c r="Q201" s="6"/>
    </row>
    <row r="202" spans="1:41">
      <c r="Q202" s="6"/>
    </row>
    <row r="203" spans="1:41">
      <c r="Q203" s="6"/>
    </row>
    <row r="204" spans="1:41">
      <c r="Q204" s="6"/>
    </row>
    <row r="205" spans="1:41">
      <c r="Q205" s="6"/>
    </row>
    <row r="206" spans="1:41">
      <c r="Q206" s="6"/>
    </row>
    <row r="207" spans="1:41">
      <c r="Q207" s="6"/>
    </row>
    <row r="208" spans="1:41">
      <c r="Q208" s="6"/>
    </row>
    <row r="209" spans="14:19">
      <c r="Q209" s="6"/>
      <c r="R209" s="6"/>
      <c r="S209" s="122"/>
    </row>
    <row r="210" spans="14:19">
      <c r="Q210" s="6"/>
      <c r="R210" s="6"/>
      <c r="S210" s="122"/>
    </row>
    <row r="211" spans="14:19">
      <c r="Q211" s="6"/>
      <c r="R211" s="6"/>
      <c r="S211" s="122"/>
    </row>
    <row r="212" spans="14:19">
      <c r="Q212" s="6"/>
      <c r="R212" s="6"/>
      <c r="S212" s="122"/>
    </row>
    <row r="213" spans="14:19">
      <c r="N213" s="6" t="s">
        <v>877</v>
      </c>
      <c r="Q213" s="6"/>
    </row>
    <row r="214" spans="14:19">
      <c r="Q214" s="6"/>
    </row>
    <row r="215" spans="14:19">
      <c r="Q215" s="6"/>
    </row>
    <row r="216" spans="14:19">
      <c r="Q216" s="6"/>
    </row>
    <row r="217" spans="14:19">
      <c r="Q217" s="6"/>
    </row>
    <row r="218" spans="14:19">
      <c r="Q218" s="6"/>
    </row>
    <row r="219" spans="14:19">
      <c r="Q219" s="6"/>
    </row>
    <row r="220" spans="14:19">
      <c r="Q220" s="6"/>
    </row>
    <row r="221" spans="14:19">
      <c r="Q221" s="6"/>
    </row>
    <row r="222" spans="14:19">
      <c r="Q222" s="6"/>
    </row>
    <row r="223" spans="14:19">
      <c r="Q223" s="6"/>
    </row>
    <row r="224" spans="14:19">
      <c r="Q224" s="6"/>
    </row>
    <row r="225" spans="17:17">
      <c r="Q225" s="6"/>
    </row>
    <row r="226" spans="17:17">
      <c r="Q226" s="6"/>
    </row>
    <row r="227" spans="17:17">
      <c r="Q227" s="6"/>
    </row>
    <row r="228" spans="17:17">
      <c r="Q228" s="6"/>
    </row>
    <row r="229" spans="17:17">
      <c r="Q229" s="6"/>
    </row>
    <row r="230" spans="17:17">
      <c r="Q230" s="6"/>
    </row>
    <row r="231" spans="17:17">
      <c r="Q231" s="6"/>
    </row>
    <row r="232" spans="17:17">
      <c r="Q232" s="6"/>
    </row>
    <row r="233" spans="17:17">
      <c r="Q233" s="6"/>
    </row>
    <row r="234" spans="17:17">
      <c r="Q234" s="6"/>
    </row>
    <row r="235" spans="17:17">
      <c r="Q235" s="6"/>
    </row>
    <row r="236" spans="17:17">
      <c r="Q236" s="6"/>
    </row>
    <row r="237" spans="17:17">
      <c r="Q237" s="6"/>
    </row>
    <row r="238" spans="17:17">
      <c r="Q238" s="6"/>
    </row>
    <row r="239" spans="17:17">
      <c r="Q239" s="6"/>
    </row>
    <row r="240" spans="17:17">
      <c r="Q240" s="6"/>
    </row>
    <row r="241" spans="17:17">
      <c r="Q241" s="6"/>
    </row>
    <row r="242" spans="17:17">
      <c r="Q242" s="6"/>
    </row>
    <row r="243" spans="17:17">
      <c r="Q243" s="6"/>
    </row>
    <row r="244" spans="17:17">
      <c r="Q244" s="6"/>
    </row>
    <row r="245" spans="17:17">
      <c r="Q245" s="6"/>
    </row>
    <row r="246" spans="17:17">
      <c r="Q246" s="6"/>
    </row>
    <row r="247" spans="17:17">
      <c r="Q247" s="6"/>
    </row>
    <row r="248" spans="17:17">
      <c r="Q248" s="6"/>
    </row>
    <row r="249" spans="17:17">
      <c r="Q249" s="6"/>
    </row>
    <row r="250" spans="17:17">
      <c r="Q250" s="6"/>
    </row>
    <row r="251" spans="17:17">
      <c r="Q251" s="6"/>
    </row>
    <row r="252" spans="17:17">
      <c r="Q252" s="6"/>
    </row>
    <row r="253" spans="17:17">
      <c r="Q253" s="6"/>
    </row>
    <row r="254" spans="17:17">
      <c r="Q254" s="6"/>
    </row>
    <row r="255" spans="17:17">
      <c r="Q255" s="6"/>
    </row>
    <row r="256" spans="17:17">
      <c r="Q256" s="6"/>
    </row>
    <row r="257" spans="17:17">
      <c r="Q257" s="6"/>
    </row>
    <row r="258" spans="17:17">
      <c r="Q258" s="6"/>
    </row>
    <row r="259" spans="17:17">
      <c r="Q259" s="6"/>
    </row>
    <row r="260" spans="17:17">
      <c r="Q260" s="6"/>
    </row>
    <row r="261" spans="17:17">
      <c r="Q261" s="6"/>
    </row>
    <row r="262" spans="17:17">
      <c r="Q262" s="6"/>
    </row>
    <row r="263" spans="17:17">
      <c r="Q263" s="6"/>
    </row>
    <row r="264" spans="17:17">
      <c r="Q264" s="6"/>
    </row>
    <row r="265" spans="17:17">
      <c r="Q265" s="6"/>
    </row>
    <row r="266" spans="17:17">
      <c r="Q266" s="6"/>
    </row>
    <row r="267" spans="17:17">
      <c r="Q267" s="6"/>
    </row>
    <row r="268" spans="17:17">
      <c r="Q268" s="6"/>
    </row>
    <row r="269" spans="17:17">
      <c r="Q269" s="6"/>
    </row>
    <row r="270" spans="17:17">
      <c r="Q270" s="6"/>
    </row>
    <row r="271" spans="17:17">
      <c r="Q271" s="6"/>
    </row>
    <row r="272" spans="17:17">
      <c r="Q272" s="6"/>
    </row>
    <row r="273" spans="17:17">
      <c r="Q273" s="6"/>
    </row>
    <row r="274" spans="17:17">
      <c r="Q274" s="6"/>
    </row>
    <row r="275" spans="17:17">
      <c r="Q275" s="6"/>
    </row>
    <row r="276" spans="17:17">
      <c r="Q276" s="6"/>
    </row>
    <row r="277" spans="17:17">
      <c r="Q277" s="6"/>
    </row>
    <row r="278" spans="17:17">
      <c r="Q278" s="6"/>
    </row>
    <row r="279" spans="17:17">
      <c r="Q279" s="6"/>
    </row>
    <row r="280" spans="17:17">
      <c r="Q280" s="6"/>
    </row>
    <row r="281" spans="17:17">
      <c r="Q281" s="6"/>
    </row>
    <row r="282" spans="17:17">
      <c r="Q282" s="6"/>
    </row>
    <row r="283" spans="17:17">
      <c r="Q283" s="6"/>
    </row>
    <row r="284" spans="17:17">
      <c r="Q284" s="6"/>
    </row>
    <row r="285" spans="17:17">
      <c r="Q285" s="6"/>
    </row>
    <row r="286" spans="17:17">
      <c r="Q286" s="6"/>
    </row>
    <row r="287" spans="17:17">
      <c r="Q287" s="6"/>
    </row>
    <row r="288" spans="17:17">
      <c r="Q288" s="6"/>
    </row>
    <row r="289" spans="17:17">
      <c r="Q289" s="6"/>
    </row>
    <row r="290" spans="17:17">
      <c r="Q290" s="6"/>
    </row>
    <row r="291" spans="17:17">
      <c r="Q291" s="6"/>
    </row>
    <row r="292" spans="17:17">
      <c r="Q292" s="6"/>
    </row>
    <row r="293" spans="17:17">
      <c r="Q293" s="6"/>
    </row>
    <row r="294" spans="17:17">
      <c r="Q294" s="6"/>
    </row>
    <row r="295" spans="17:17">
      <c r="Q295" s="6"/>
    </row>
    <row r="296" spans="17:17">
      <c r="Q296" s="6"/>
    </row>
    <row r="297" spans="17:17">
      <c r="Q297" s="6"/>
    </row>
    <row r="298" spans="17:17">
      <c r="Q298" s="6"/>
    </row>
    <row r="299" spans="17:17">
      <c r="Q299" s="6"/>
    </row>
    <row r="300" spans="17:17">
      <c r="Q300" s="6"/>
    </row>
    <row r="301" spans="17:17">
      <c r="Q301" s="6"/>
    </row>
    <row r="302" spans="17:17">
      <c r="Q302" s="6"/>
    </row>
    <row r="303" spans="17:17">
      <c r="Q303" s="6"/>
    </row>
    <row r="304" spans="17:17">
      <c r="Q304" s="6"/>
    </row>
    <row r="305" spans="17:17">
      <c r="Q305" s="6"/>
    </row>
    <row r="306" spans="17:17">
      <c r="Q306" s="6"/>
    </row>
    <row r="307" spans="17:17">
      <c r="Q307" s="6"/>
    </row>
    <row r="308" spans="17:17">
      <c r="Q308" s="6"/>
    </row>
    <row r="309" spans="17:17">
      <c r="Q309" s="6"/>
    </row>
    <row r="310" spans="17:17">
      <c r="Q310" s="6"/>
    </row>
    <row r="311" spans="17:17">
      <c r="Q311" s="6"/>
    </row>
    <row r="312" spans="17:17">
      <c r="Q312" s="6"/>
    </row>
    <row r="313" spans="17:17">
      <c r="Q313" s="6"/>
    </row>
    <row r="314" spans="17:17">
      <c r="Q314" s="6"/>
    </row>
  </sheetData>
  <mergeCells count="4">
    <mergeCell ref="J1:R1"/>
    <mergeCell ref="S1:AB1"/>
    <mergeCell ref="AC1:AD1"/>
    <mergeCell ref="AE1:AJ1"/>
  </mergeCells>
  <conditionalFormatting sqref="J6:P6 P11 Z13:AL13 AI14:AL14 U19:AL19 AB23:AL23 AI24:AL24 L41 R41:S41 U41 Z41 AB41:AH41 AJ41 AL41 R65:S65 U65 W65:AL65 W93:AJ93 U93:U94 X94:Z94 AB94:AJ94 AJ110:AL110 T113:AL113 AI156:AL156 U157 AB162:AL162 W173:AC173 AH196:AL196 U99:AL99 AA37:AC37 AA170:AC170 X187:Y187 AA186:AC187 AE15:AL16 AE14:AG14 AA33:AL33 AD37:AL39 AA117:AL117 AA143:AL143 AA167:AL167 AD169:AL171 AD173:AL175 AD186:AL188 AA191:AL191 R66 T66:AL66 L66:O66 L67:P67 L93:O93 L79:P79 L65:N65 L11:N11 L7:P10 J7:K198 AI61:AL61 L78:O78 L68:O68 L81:P92 L80:O80 W83:AL83 AL93:AL94 W157:AL157 R13:X13 L12:P17 R17:AL17 R14:AD16 L18:AL18 L19:S19 L20:P26 R25:AL26 R23:Z23 R20:AL22 R24:AG24 L27:AL29 R30:AL32 L30:P40 R33:Y33 R40:AL40 R34:AL36 R37:Y37 R38:AC39 R42:AL60 R61:AG61 L42:P64 R62:AL64 L69:P77 L94:P110 R67:AL82 R83:U83 R93:S94 R99:S99 R84:AL92 R95:AL98 R100:AL109 R110:AH110 L111:AL112 L113:R113 L114:P118 R118:AL118 R114:AL116 R117:Y117 L119:AL126 L127:P139 R127:AL139 L140:AL140 L141:P143 R141:AL142 R143:Y143 L151:P153 R151:AL153 L154:AL155 R157:S157 R156:AG156 L156:P171 R162:S162 R163:AL166 R158:AL161 R168:AL168 R167:Y167 R170:Y170 R171:AC171 R169:AC169 L172:AL172 L173:U173 L174:P180 R176:AL180 R174:AC175 L181:AL183 L184:P198 R184:AL185 R187:V187 R186:Y186 R188:AC188 R189:AL190 R191:Y191 R192:AL195 R197:AL198 R196:AE196 R6:AL12 L144:AL150">
    <cfRule type="cellIs" dxfId="313" priority="51" operator="greaterThan">
      <formula>0</formula>
    </cfRule>
  </conditionalFormatting>
  <conditionalFormatting sqref="M41">
    <cfRule type="cellIs" dxfId="312" priority="45" operator="greaterThan">
      <formula>0</formula>
    </cfRule>
  </conditionalFormatting>
  <conditionalFormatting sqref="N41">
    <cfRule type="cellIs" dxfId="311" priority="46" operator="greaterThan">
      <formula>0</formula>
    </cfRule>
  </conditionalFormatting>
  <conditionalFormatting sqref="O41">
    <cfRule type="cellIs" dxfId="310" priority="48" operator="greaterThan">
      <formula>0</formula>
    </cfRule>
  </conditionalFormatting>
  <conditionalFormatting sqref="O65">
    <cfRule type="cellIs" dxfId="309" priority="42" operator="greaterThan">
      <formula>0</formula>
    </cfRule>
  </conditionalFormatting>
  <conditionalFormatting sqref="P41">
    <cfRule type="cellIs" dxfId="308" priority="47" operator="greaterThan">
      <formula>0</formula>
    </cfRule>
  </conditionalFormatting>
  <conditionalFormatting sqref="P65:P66 P68 P78 P80 P93">
    <cfRule type="cellIs" dxfId="307" priority="26" operator="greaterThan">
      <formula>0</formula>
    </cfRule>
  </conditionalFormatting>
  <conditionalFormatting sqref="T41">
    <cfRule type="cellIs" dxfId="306" priority="41" operator="greaterThan">
      <formula>0</formula>
    </cfRule>
  </conditionalFormatting>
  <conditionalFormatting sqref="T65">
    <cfRule type="cellIs" dxfId="305" priority="40" operator="greaterThan">
      <formula>0</formula>
    </cfRule>
  </conditionalFormatting>
  <conditionalFormatting sqref="T93">
    <cfRule type="cellIs" dxfId="304" priority="38" operator="greaterThan">
      <formula>0</formula>
    </cfRule>
  </conditionalFormatting>
  <conditionalFormatting sqref="T157">
    <cfRule type="cellIs" dxfId="303" priority="37" operator="greaterThan">
      <formula>0</formula>
    </cfRule>
  </conditionalFormatting>
  <conditionalFormatting sqref="T162:X162 Z162:AA162">
    <cfRule type="cellIs" dxfId="302" priority="29" operator="greaterThan">
      <formula>0</formula>
    </cfRule>
  </conditionalFormatting>
  <conditionalFormatting sqref="V65">
    <cfRule type="cellIs" dxfId="301" priority="35" operator="greaterThan">
      <formula>0</formula>
    </cfRule>
  </conditionalFormatting>
  <conditionalFormatting sqref="V83">
    <cfRule type="cellIs" dxfId="300" priority="25" operator="greaterThan">
      <formula>0</formula>
    </cfRule>
  </conditionalFormatting>
  <conditionalFormatting sqref="V93:V94">
    <cfRule type="cellIs" dxfId="299" priority="33" operator="greaterThan">
      <formula>0</formula>
    </cfRule>
  </conditionalFormatting>
  <conditionalFormatting sqref="Y13">
    <cfRule type="cellIs" dxfId="298" priority="22" operator="greaterThan">
      <formula>0</formula>
    </cfRule>
  </conditionalFormatting>
  <conditionalFormatting sqref="Y162">
    <cfRule type="cellIs" dxfId="297" priority="30" operator="greaterThan">
      <formula>0</formula>
    </cfRule>
  </conditionalFormatting>
  <conditionalFormatting sqref="AA23">
    <cfRule type="cellIs" dxfId="296" priority="23" operator="greaterThan">
      <formula>0</formula>
    </cfRule>
  </conditionalFormatting>
  <conditionalFormatting sqref="AH24">
    <cfRule type="cellIs" dxfId="295" priority="27" operator="greaterThan">
      <formula>0</formula>
    </cfRule>
  </conditionalFormatting>
  <conditionalFormatting sqref="AH156">
    <cfRule type="cellIs" dxfId="294" priority="21" operator="greaterThan">
      <formula>0</formula>
    </cfRule>
  </conditionalFormatting>
  <conditionalFormatting sqref="AI110">
    <cfRule type="cellIs" dxfId="293" priority="24" operator="greaterThan">
      <formula>0</formula>
    </cfRule>
  </conditionalFormatting>
  <conditionalFormatting sqref="AH14">
    <cfRule type="cellIs" dxfId="292" priority="17" operator="greaterThan">
      <formula>0</formula>
    </cfRule>
  </conditionalFormatting>
  <conditionalFormatting sqref="W187">
    <cfRule type="cellIs" dxfId="291" priority="16" operator="greaterThan">
      <formula>0</formula>
    </cfRule>
  </conditionalFormatting>
  <conditionalFormatting sqref="AF196:AG196">
    <cfRule type="cellIs" dxfId="290" priority="18" operator="greaterThan">
      <formula>0</formula>
    </cfRule>
  </conditionalFormatting>
  <conditionalFormatting sqref="Z33">
    <cfRule type="cellIs" dxfId="289" priority="14" operator="greaterThan">
      <formula>0</formula>
    </cfRule>
  </conditionalFormatting>
  <conditionalFormatting sqref="Z37">
    <cfRule type="cellIs" dxfId="288" priority="13" operator="greaterThan">
      <formula>0</formula>
    </cfRule>
  </conditionalFormatting>
  <conditionalFormatting sqref="Z143">
    <cfRule type="cellIs" dxfId="287" priority="12" operator="greaterThan">
      <formula>0</formula>
    </cfRule>
  </conditionalFormatting>
  <conditionalFormatting sqref="Z167">
    <cfRule type="cellIs" dxfId="286" priority="11" operator="greaterThan">
      <formula>0</formula>
    </cfRule>
  </conditionalFormatting>
  <conditionalFormatting sqref="Z170">
    <cfRule type="cellIs" dxfId="285" priority="10" operator="greaterThan">
      <formula>0</formula>
    </cfRule>
  </conditionalFormatting>
  <conditionalFormatting sqref="Z186">
    <cfRule type="cellIs" dxfId="284" priority="9" operator="greaterThan">
      <formula>0</formula>
    </cfRule>
  </conditionalFormatting>
  <conditionalFormatting sqref="Z191">
    <cfRule type="cellIs" dxfId="283" priority="8" operator="greaterThan">
      <formula>0</formula>
    </cfRule>
  </conditionalFormatting>
  <conditionalFormatting sqref="Z187">
    <cfRule type="cellIs" dxfId="282" priority="7" operator="greaterThan">
      <formula>0</formula>
    </cfRule>
  </conditionalFormatting>
  <conditionalFormatting sqref="Q184:Q186 Q188:Q199 Q174:Q180 Q156:Q171 Q151:Q153 Q141:Q143 Q127:Q139 Q114:Q118 Q78:Q110 Q66 Q68:Q76 Q56 Q58:Q64 Q30:Q32 Q34:Q53 Q20:Q26 Q6:Q17">
    <cfRule type="cellIs" dxfId="281" priority="6" operator="greaterThan">
      <formula>0</formula>
    </cfRule>
  </conditionalFormatting>
  <conditionalFormatting sqref="Q187 Q33">
    <cfRule type="cellIs" dxfId="280" priority="5" operator="greaterThan">
      <formula>0</formula>
    </cfRule>
  </conditionalFormatting>
  <conditionalFormatting sqref="Q77 Q65 Q67 Q54:Q55 Q57">
    <cfRule type="cellIs" dxfId="279" priority="4" operator="greaterThan">
      <formula>0</formula>
    </cfRule>
  </conditionalFormatting>
  <conditionalFormatting sqref="AM95:AN199">
    <cfRule type="cellIs" dxfId="278" priority="3" operator="greaterThan">
      <formula>0</formula>
    </cfRule>
  </conditionalFormatting>
  <conditionalFormatting sqref="AM6:AN9 AM11:AN94 AN10">
    <cfRule type="cellIs" dxfId="277" priority="2" operator="greaterThan">
      <formula>0</formula>
    </cfRule>
  </conditionalFormatting>
  <conditionalFormatting sqref="AM10">
    <cfRule type="cellIs" dxfId="276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'Pour listes'!$C$2:$C$17</xm:f>
          </x14:formula1>
          <xm:sqref>L13</xm:sqref>
        </x14:dataValidation>
        <x14:dataValidation type="list" allowBlank="1" showInputMessage="1" showErrorMessage="1" error="Utiliser la liste déroulante._x000a_Merci." xr:uid="{00000000-0002-0000-0800-000001000000}">
          <x14:formula1>
            <xm:f>DATA!$A$3:$A$241</xm:f>
          </x14:formula1>
          <xm:sqref>A6:A199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0cfb5c-b2c7-4d6c-9108-92e53811e18c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t H G b V j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L R x m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c Z t W K I p H u A 4 A A A A R A A A A E w A c A E Z v c m 1 1 b G F z L 1 N l Y 3 R p b 2 4 x L m 0 g o h g A K K A U A A A A A A A A A A A A A A A A A A A A A A A A A A A A K 0 5 N L s n M z 1 M I h t C G 1 g B Q S w E C L Q A U A A I A C A C 0 c Z t W M D f H m a U A A A D 1 A A A A E g A A A A A A A A A A A A A A A A A A A A A A Q 2 9 u Z m l n L 1 B h Y 2 t h Z 2 U u e G 1 s U E s B A i 0 A F A A C A A g A t H G b V g / K 6 a u k A A A A 6 Q A A A B M A A A A A A A A A A A A A A A A A 8 Q A A A F t D b 2 5 0 Z W 5 0 X 1 R 5 c G V z X S 5 4 b W x Q S w E C L Q A U A A I A C A C 0 c Z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9 1 + + u h i a 2 E K c Z 3 k r C 5 u Q 1 w A A A A A C A A A A A A A D Z g A A w A A A A B A A A A C 0 t O p m B G t b O l n W e 0 V x / 9 O 9 A A A A A A S A A A C g A A A A E A A A A K C b h z i F q h e A y 9 V V 7 x R j l f h Q A A A A V h Y + N m S k o C Y t m X J S a 3 k 9 F o / X A Z w n Z 0 X a / M Z 3 / G o 2 G 0 f S w a 7 A u r H 6 O y x 4 1 6 m O x 9 r R J N L 7 O c K L a b j 9 A z V 5 5 U h 5 g p i / C a v f 0 1 p X 6 N G b Y / S t l X c U A A A A o f E Z g X K S R N w b 3 h + L j L k y Y i V q k F k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F7B4AC2B9FB47A2173F853ED4E5E6" ma:contentTypeVersion="11" ma:contentTypeDescription="Crée un document." ma:contentTypeScope="" ma:versionID="2554e4bc6a999e76a3fe33ccf7d06d9a">
  <xsd:schema xmlns:xsd="http://www.w3.org/2001/XMLSchema" xmlns:xs="http://www.w3.org/2001/XMLSchema" xmlns:p="http://schemas.microsoft.com/office/2006/metadata/properties" xmlns:ns2="eb2bd482-b9c2-4538-9042-cb52d8f965c5" xmlns:ns3="2d0cfb5c-b2c7-4d6c-9108-92e53811e18c" targetNamespace="http://schemas.microsoft.com/office/2006/metadata/properties" ma:root="true" ma:fieldsID="1797702264ec573e89d227db9e0e6766" ns2:_="" ns3:_="">
    <xsd:import namespace="eb2bd482-b9c2-4538-9042-cb52d8f965c5"/>
    <xsd:import namespace="2d0cfb5c-b2c7-4d6c-9108-92e53811e1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bd482-b9c2-4538-9042-cb52d8f965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cfb5c-b2c7-4d6c-9108-92e53811e18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8AEA2E-4B5E-466C-9D5B-55A2FC2BDFE3}">
  <ds:schemaRefs>
    <ds:schemaRef ds:uri="http://schemas.openxmlformats.org/package/2006/metadata/core-properties"/>
    <ds:schemaRef ds:uri="086be77a-1314-4cdb-9448-5831b00f4a7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D4E39A-9E5E-4187-BE97-46A0302C19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5210146-5E6E-48F2-8F9F-DB47B3D78118}"/>
</file>

<file path=customXml/itemProps4.xml><?xml version="1.0" encoding="utf-8"?>
<ds:datastoreItem xmlns:ds="http://schemas.openxmlformats.org/officeDocument/2006/customXml" ds:itemID="{69F5C76C-001F-4570-9AD5-B98CA2C9A6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BUDGET_N-1</vt:lpstr>
      <vt:lpstr>CA</vt:lpstr>
      <vt:lpstr>CA_BN-1</vt:lpstr>
      <vt:lpstr>CA_LE3</vt:lpstr>
      <vt:lpstr>CA_BN+1</vt:lpstr>
      <vt:lpstr>OPEX</vt:lpstr>
      <vt:lpstr>OPX_LE3 (2)</vt:lpstr>
      <vt:lpstr>OPX_BN-1</vt:lpstr>
      <vt:lpstr>OPX_LE3</vt:lpstr>
      <vt:lpstr>OPX_BN+1</vt:lpstr>
      <vt:lpstr>Anaplan Désignation (2)</vt:lpstr>
      <vt:lpstr>Anaplan Désignation</vt:lpstr>
      <vt:lpstr>Pour listes</vt:lpstr>
      <vt:lpstr>Codes articles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marnould</dc:creator>
  <cp:keywords/>
  <dc:description/>
  <cp:lastModifiedBy>Laura DIVET</cp:lastModifiedBy>
  <cp:revision/>
  <dcterms:created xsi:type="dcterms:W3CDTF">2019-01-15T13:52:25Z</dcterms:created>
  <dcterms:modified xsi:type="dcterms:W3CDTF">2023-09-29T13:31:08Z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0x0101004CDCC3BEFAD1DD4EAF7592423C0235E2</vt:lpwstr>
  </property>
  <property fmtid="{D5CDD505-2E9C-101B-9397-08002B2CF9AE}" pid="3" name="MSIP_Label_00b5fe95-8f20-4bf1-a4bc-7cba4c4dcd39_Enabled">
    <vt:lpwstr>true</vt:lpwstr>
  </property>
  <property fmtid="{D5CDD505-2E9C-101B-9397-08002B2CF9AE}" pid="4" name="MSIP_Label_00b5fe95-8f20-4bf1-a4bc-7cba4c4dcd39_SetDate">
    <vt:lpwstr>2021-04-13T14:01:25Z</vt:lpwstr>
  </property>
  <property fmtid="{D5CDD505-2E9C-101B-9397-08002B2CF9AE}" pid="5" name="MSIP_Label_00b5fe95-8f20-4bf1-a4bc-7cba4c4dcd39_Method">
    <vt:lpwstr>Standard</vt:lpwstr>
  </property>
  <property fmtid="{D5CDD505-2E9C-101B-9397-08002B2CF9AE}" pid="6" name="MSIP_Label_00b5fe95-8f20-4bf1-a4bc-7cba4c4dcd39_Name">
    <vt:lpwstr>Internal access</vt:lpwstr>
  </property>
  <property fmtid="{D5CDD505-2E9C-101B-9397-08002B2CF9AE}" pid="7" name="MSIP_Label_00b5fe95-8f20-4bf1-a4bc-7cba4c4dcd39_SiteId">
    <vt:lpwstr>34c5e68e-b374-47fe-91da-0e3d638792fb</vt:lpwstr>
  </property>
  <property fmtid="{D5CDD505-2E9C-101B-9397-08002B2CF9AE}" pid="8" name="MSIP_Label_00b5fe95-8f20-4bf1-a4bc-7cba4c4dcd39_ActionId">
    <vt:lpwstr>b9001dc5-0336-4fe7-b7b5-d97f16a101fe</vt:lpwstr>
  </property>
  <property fmtid="{D5CDD505-2E9C-101B-9397-08002B2CF9AE}" pid="9" name="MSIP_Label_00b5fe95-8f20-4bf1-a4bc-7cba4c4dcd39_ContentBits">
    <vt:lpwstr>0</vt:lpwstr>
  </property>
  <property fmtid="{D5CDD505-2E9C-101B-9397-08002B2CF9AE}" pid="10" name="MediaServiceImageTags">
    <vt:lpwstr/>
  </property>
</Properties>
</file>